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" sheetId="1" r:id="rId4"/>
    <sheet state="visible" name="Project Sheet" sheetId="2" r:id="rId5"/>
    <sheet state="visible" name="Working" sheetId="3" r:id="rId6"/>
    <sheet state="visible" name="SW Tools" sheetId="4" r:id="rId7"/>
    <sheet state="visible" name="Summary" sheetId="5" r:id="rId8"/>
  </sheets>
  <definedNames/>
  <calcPr/>
  <pivotCaches>
    <pivotCache cacheId="0" r:id="rId9"/>
    <pivotCache cacheId="1" r:id="rId10"/>
  </pivotCaches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">
      <text>
        <t xml:space="preserve">New Project status column for each month</t>
      </text>
    </comment>
  </commentList>
</comments>
</file>

<file path=xl/sharedStrings.xml><?xml version="1.0" encoding="utf-8"?>
<sst xmlns="http://schemas.openxmlformats.org/spreadsheetml/2006/main" count="875" uniqueCount="202">
  <si>
    <t>Timestamp</t>
  </si>
  <si>
    <t>Email Address</t>
  </si>
  <si>
    <t>Project Manager</t>
  </si>
  <si>
    <t>Achronix_JESD204C_IP_Enhancements_173</t>
  </si>
  <si>
    <t>Collins_PCIe_NVMe_Bridge_Solution_136</t>
  </si>
  <si>
    <t>Collins_PCIe_NVMe_Bridge_Solution_Stage2_171</t>
  </si>
  <si>
    <t>LFT_PCIe_CXL_Verilog_IP_Core_Development_167</t>
  </si>
  <si>
    <t>Keysight_Corvette_Gen5_Analyzer_156</t>
  </si>
  <si>
    <t>Keysight_Corvette_Gen5_Exerciser_157</t>
  </si>
  <si>
    <t>LFT_Software_Defined_Radio_(SDR)_125</t>
  </si>
  <si>
    <t>HAL_ARINC_TO_DVI_Converter_IP_151</t>
  </si>
  <si>
    <t>IRDE_Video_Processing_for_Thermal_Imager_v2_163</t>
  </si>
  <si>
    <t>Lattice_APPS_Support_T&amp;M_106</t>
  </si>
  <si>
    <t>Lattice_Automate_Stack_3.1_138</t>
  </si>
  <si>
    <t>Lattice_Display_Port_2.0_IP_099</t>
  </si>
  <si>
    <t>Lattice_IP_Design_&amp;_Verification_T&amp;M_121</t>
  </si>
  <si>
    <t>Lattice_JESD204B_IP_141</t>
  </si>
  <si>
    <t>Lattice_MIPI_To_HDMI_Reference_Design_153</t>
  </si>
  <si>
    <t>LFT_ARINC818_IP_Porting_on_NI_System_168</t>
  </si>
  <si>
    <t>LFT_eCPRI_IP_Development_117</t>
  </si>
  <si>
    <t>STD_Korea_ARINC_IP_152</t>
  </si>
  <si>
    <t>LFT_Lattice_Avant_FPGA_Based_Evaluation_Board_134</t>
  </si>
  <si>
    <t>CASDIC_Lab_STANAG_Video_Switching_Unit_Version2_150</t>
  </si>
  <si>
    <t>LFT_ ARNIC_Non_Revenue_108</t>
  </si>
  <si>
    <t>LFT_Intel_XEON_Single_Board_Computer_(SBC)_128</t>
  </si>
  <si>
    <t>WESEE_Lab_MPSOC_Based_Product_137</t>
  </si>
  <si>
    <t>ITI_ISS_Version2_090</t>
  </si>
  <si>
    <t>LRDE_EPS_Firmware_Development_154</t>
  </si>
  <si>
    <t>Keysight_Corvette_Gen5_Porting_On_Gen6_HW_160</t>
  </si>
  <si>
    <t>Keysight_Corvette_Gen6_Analyzer_T&amp;M_159</t>
  </si>
  <si>
    <t>Keysight_Corvette_Gen6_Exerciser_T&amp;M_158</t>
  </si>
  <si>
    <t>Keysight_CXL_2.0_Analyzer_145</t>
  </si>
  <si>
    <t>Keysight_CXL_2.0_Exercsier_144</t>
  </si>
  <si>
    <t>Keysight_CXL_3.0_Analyzer_147</t>
  </si>
  <si>
    <t>Keysight_CXL_3.0_Exercsier_146</t>
  </si>
  <si>
    <t>Keysight_PCIe_Gen5_Cutter_PTC_155</t>
  </si>
  <si>
    <t>IPRC_Lab_Data_Acquisition_System_031</t>
  </si>
  <si>
    <t>ITI_HCRR_052</t>
  </si>
  <si>
    <t>Lattice_Embedded_PTP_Stack_132</t>
  </si>
  <si>
    <t>Lattice_USB_Example_Design_129</t>
  </si>
  <si>
    <t>LFT_AMD_AI_Video_scalar_demo_164</t>
  </si>
  <si>
    <t>HAL_ARINC818_Analyzer_162</t>
  </si>
  <si>
    <t>Lattice_RCS_V2_166</t>
  </si>
  <si>
    <t>Astra_Microwave_Custom_Board_Booting_172</t>
  </si>
  <si>
    <t>LFT_Internal_Web_Portal_161</t>
  </si>
  <si>
    <t>Stryker_QT_GUI_SOW2-2_170</t>
  </si>
  <si>
    <t>Credo_PCIe_Retimer_T&amp;M_127</t>
  </si>
  <si>
    <t>Keysight_LOKI_PCIe_Gen6_LTSSM_085</t>
  </si>
  <si>
    <t>Keysight_Vision_PCIe_Gen6_LTSSM_112</t>
  </si>
  <si>
    <t>LFT_Achronix_JESD204C_TI_165</t>
  </si>
  <si>
    <t>Microxlab_Cytox_Phase3_116</t>
  </si>
  <si>
    <t>LFT_Achronix_Development_Board_169</t>
  </si>
  <si>
    <t>Astra_40G_UDP_IP_Stack_Development_174</t>
  </si>
  <si>
    <t>Achronix_Tool_Benchmarking_175</t>
  </si>
  <si>
    <t>Keysight_Vision_ED_Gen7_SKP_OS_Filtering_176</t>
  </si>
  <si>
    <t>LFT_ARINC818_Verification_177</t>
  </si>
  <si>
    <t>PM Name along with the project code</t>
  </si>
  <si>
    <t>Avant_G_Min_Versa_Board_Development_178</t>
  </si>
  <si>
    <t>CUS0179_LFT_Co_Pilot</t>
  </si>
  <si>
    <t/>
  </si>
  <si>
    <t>LFT_ARINC_818_Based_Product_Development_180</t>
  </si>
  <si>
    <t>IDEX_ImageProcessing_algorithm_Development_181</t>
  </si>
  <si>
    <t>PM Name</t>
  </si>
  <si>
    <t>akash.jain@logic-fruit.com</t>
  </si>
  <si>
    <t>Akash Jain</t>
  </si>
  <si>
    <t>Active</t>
  </si>
  <si>
    <t>abhishek.khandelwal@logic-fruit.com</t>
  </si>
  <si>
    <t>Abhishek Khandelwal</t>
  </si>
  <si>
    <t>monika.gupta@logic-fruit.com</t>
  </si>
  <si>
    <t>Monika Gupta</t>
  </si>
  <si>
    <t>Close</t>
  </si>
  <si>
    <t>deepak.goyal@logic-fruit.com</t>
  </si>
  <si>
    <t>Deepak Goyal</t>
  </si>
  <si>
    <t>shashank.chaurasia@logic-fruit.com</t>
  </si>
  <si>
    <t>Shashank Chaurasia</t>
  </si>
  <si>
    <t>Hold</t>
  </si>
  <si>
    <t>madhukar.manohar@logic-fruit.com</t>
  </si>
  <si>
    <t>Madhukar Manohar</t>
  </si>
  <si>
    <t>vishal.sinha@logic-fruit.com</t>
  </si>
  <si>
    <t>Vishal Sinha</t>
  </si>
  <si>
    <t>vineet.goel@logic-fruit.com</t>
  </si>
  <si>
    <t>Vineet Goel</t>
  </si>
  <si>
    <t>raghavan@logic-fruit.com</t>
  </si>
  <si>
    <t>Raghavan T V</t>
  </si>
  <si>
    <t>gurpreet.singh@logic-fruit.com</t>
  </si>
  <si>
    <t>Gurpreet Singh</t>
  </si>
  <si>
    <t>Support</t>
  </si>
  <si>
    <t>dhruv.saxena@logic-fruit.com</t>
  </si>
  <si>
    <t>Dhruv Kumar Saxena</t>
  </si>
  <si>
    <t>ramakrishna.dc@logic-fruit.com</t>
  </si>
  <si>
    <t>Mohammad Rafi</t>
  </si>
  <si>
    <t xml:space="preserve"> </t>
  </si>
  <si>
    <t>Not sure,  I am not PM of this Project. New PM name in Remarks</t>
  </si>
  <si>
    <t>rahul.sharma@logic-fruit.com</t>
  </si>
  <si>
    <t>Rahul Sharma</t>
  </si>
  <si>
    <t>puneet.sinha@logic-fruit.com</t>
  </si>
  <si>
    <t>Puneet Sinha</t>
  </si>
  <si>
    <t>sonu.sonkar@logic-fruit.com</t>
  </si>
  <si>
    <t>Sonu Sonkar</t>
  </si>
  <si>
    <t>Ramakrishna D C</t>
  </si>
  <si>
    <t>amritpreet.singh@logic-fruit.com</t>
  </si>
  <si>
    <t>Amritpreet Singh</t>
  </si>
  <si>
    <t>rafi.mohammad@logic-fruit.com</t>
  </si>
  <si>
    <t>Project 
Status (May 2024)</t>
  </si>
  <si>
    <t>Project 
Status (April 2024)</t>
  </si>
  <si>
    <t>Project % 
Completion 
(By PM)</t>
  </si>
  <si>
    <t>Sales Manager</t>
  </si>
  <si>
    <t>PO Amount (%age completion-Rs)</t>
  </si>
  <si>
    <t>Profit/Loss</t>
  </si>
  <si>
    <t>SW Work %</t>
  </si>
  <si>
    <t>FPGA Work %</t>
  </si>
  <si>
    <t>Hardware Work %</t>
  </si>
  <si>
    <t>Project 
Status
(Confirmation)</t>
  </si>
  <si>
    <t>30 %</t>
  </si>
  <si>
    <t>40 %</t>
  </si>
  <si>
    <t>100 %</t>
  </si>
  <si>
    <t>50 %</t>
  </si>
  <si>
    <t>60 %</t>
  </si>
  <si>
    <t>10 %</t>
  </si>
  <si>
    <t>90 %</t>
  </si>
  <si>
    <t>20 %</t>
  </si>
  <si>
    <t>70 %</t>
  </si>
  <si>
    <t>80 %</t>
  </si>
  <si>
    <t>NA</t>
  </si>
  <si>
    <t>Project Name As Per EOS form</t>
  </si>
  <si>
    <t>Manish Sharma</t>
  </si>
  <si>
    <t>Self Learning</t>
  </si>
  <si>
    <t>Sr.No</t>
  </si>
  <si>
    <t>Vendor Name</t>
  </si>
  <si>
    <t>Software Owner</t>
  </si>
  <si>
    <t>Project-1</t>
  </si>
  <si>
    <t>Utilization of SW tool in Project-1 (%)</t>
  </si>
  <si>
    <t>Project-2</t>
  </si>
  <si>
    <t>Utilization of SW tool in Project-2 (%)</t>
  </si>
  <si>
    <t>Project-3</t>
  </si>
  <si>
    <t>Utilization of SW tool in Project-3 (%)</t>
  </si>
  <si>
    <t>Project-4</t>
  </si>
  <si>
    <t>Utilization of SW tool in Project-4 (%)</t>
  </si>
  <si>
    <t>Project-5</t>
  </si>
  <si>
    <t>Utilization of SW tool in Project-5 (%)</t>
  </si>
  <si>
    <t>Project-6</t>
  </si>
  <si>
    <t>Utilization of SW tool in Project-6 (%)</t>
  </si>
  <si>
    <t>Project-7</t>
  </si>
  <si>
    <t>Utilization of SW tool in Project-7 (%)</t>
  </si>
  <si>
    <t>Project-8</t>
  </si>
  <si>
    <t>Utilization of SW tool in Project-8 (%)</t>
  </si>
  <si>
    <t>Project-9</t>
  </si>
  <si>
    <t>Utilization of SW tool in Project-9 (%)</t>
  </si>
  <si>
    <t>Project-10</t>
  </si>
  <si>
    <t>Utilization of SW tool in Project-10 (%)</t>
  </si>
  <si>
    <t>Actipro Software LLC</t>
  </si>
  <si>
    <t>Anil Nikhra</t>
  </si>
  <si>
    <t>LOGON Software (India) Private Limited</t>
  </si>
  <si>
    <t>Cadence</t>
  </si>
  <si>
    <t>Amazon</t>
  </si>
  <si>
    <t>Truechip</t>
  </si>
  <si>
    <t>Shashank</t>
  </si>
  <si>
    <t>KHUSHI COMMUNICATIONS PVT. LTD</t>
  </si>
  <si>
    <t>Rafi</t>
  </si>
  <si>
    <t>Lattice_Linux_PTP_111</t>
  </si>
  <si>
    <t>Mentor</t>
  </si>
  <si>
    <t>Lattice_IP_Turnkey_Mode_122</t>
  </si>
  <si>
    <t>AMD_AI_Video_scalar_demo_164</t>
  </si>
  <si>
    <t>Achronix_JESD204C_IP_Porting_124</t>
  </si>
  <si>
    <t>Vita</t>
  </si>
  <si>
    <t>Questa Prime Ap SW Subscription</t>
  </si>
  <si>
    <t>HDL Designer Ap SW</t>
  </si>
  <si>
    <t>Domain</t>
  </si>
  <si>
    <t>PO Amount</t>
  </si>
  <si>
    <t>Merged 
Profit/Loss (%age)</t>
  </si>
  <si>
    <t>ACHRONIX</t>
  </si>
  <si>
    <t>ARDENT</t>
  </si>
  <si>
    <t>ARINC</t>
  </si>
  <si>
    <t>BERT</t>
  </si>
  <si>
    <t>CAIR-LAB</t>
  </si>
  <si>
    <t>COLLINS</t>
  </si>
  <si>
    <t>CORVETTE</t>
  </si>
  <si>
    <t>CREDO</t>
  </si>
  <si>
    <t>CYTOX</t>
  </si>
  <si>
    <t>DEAL-LAB</t>
  </si>
  <si>
    <t>ECPRI</t>
  </si>
  <si>
    <t>ERIDAN</t>
  </si>
  <si>
    <t>FRONTGRADE</t>
  </si>
  <si>
    <t>IDEX</t>
  </si>
  <si>
    <t>IPRC</t>
  </si>
  <si>
    <t>IRDE-LAB</t>
  </si>
  <si>
    <t>ISTRAC</t>
  </si>
  <si>
    <t>ITI</t>
  </si>
  <si>
    <t>KANDOU</t>
  </si>
  <si>
    <t>LATTICE</t>
  </si>
  <si>
    <t>LFT</t>
  </si>
  <si>
    <t>LRDE-LAB</t>
  </si>
  <si>
    <t>MentorG</t>
  </si>
  <si>
    <t>METHODE</t>
  </si>
  <si>
    <t>SAC-LAB</t>
  </si>
  <si>
    <t>SBC</t>
  </si>
  <si>
    <t>SCHOONER</t>
  </si>
  <si>
    <t>SDR</t>
  </si>
  <si>
    <t>STRYKER</t>
  </si>
  <si>
    <t>XILINX</t>
  </si>
  <si>
    <t>Grand Total</t>
  </si>
  <si>
    <t>COUNTA of Project 
Status (April 2024)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</si>
</sst>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_(* #,##0_);_(* \(#,##0\);_(* &quot;-&quot;??_);_(@_)"/>
  </numFmts>
  <fonts count="11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name val="Calibri"/>
    </font>
    <font>
      <b/>
      <sz val="12.0"/>
      <color theme="1"/>
      <name val="Calibri"/>
    </font>
    <font>
      <b/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theme="1"/>
      <name val="Arial"/>
    </font>
    <font>
      <color theme="1"/>
      <name val="Arial"/>
    </font>
    <font>
      <b/>
      <sz val="11.0"/>
      <color theme="1"/>
      <name val="Calibri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left"/>
    </xf>
    <xf borderId="1" fillId="2" fontId="3" numFmtId="0" xfId="0" applyAlignment="1" applyBorder="1" applyFont="1">
      <alignment horizontal="left"/>
    </xf>
    <xf borderId="1" fillId="2" fontId="3" numFmtId="49" xfId="0" applyAlignment="1" applyBorder="1" applyFont="1" applyNumberFormat="1">
      <alignment horizontal="left"/>
    </xf>
    <xf borderId="1" fillId="2" fontId="3" numFmtId="0" xfId="0" applyAlignment="1" applyBorder="1" applyFont="1">
      <alignment horizontal="left" readingOrder="0"/>
    </xf>
    <xf borderId="1" fillId="2" fontId="3" numFmtId="0" xfId="0" applyAlignment="1" applyBorder="1" applyFont="1">
      <alignment horizontal="left" readingOrder="0" shrinkToFit="0" wrapText="1"/>
    </xf>
    <xf borderId="1" fillId="2" fontId="3" numFmtId="0" xfId="0" applyAlignment="1" applyBorder="1" applyFont="1">
      <alignment horizontal="left"/>
    </xf>
    <xf borderId="2" fillId="2" fontId="4" numFmtId="0" xfId="0" applyAlignment="1" applyBorder="1" applyFont="1">
      <alignment horizontal="center" readingOrder="0" vertical="bottom"/>
    </xf>
    <xf borderId="1" fillId="0" fontId="1" numFmtId="0" xfId="0" applyAlignment="1" applyBorder="1" applyFont="1">
      <alignment horizontal="left"/>
    </xf>
    <xf borderId="1" fillId="0" fontId="1" numFmtId="49" xfId="0" applyAlignment="1" applyBorder="1" applyFont="1" applyNumberFormat="1">
      <alignment horizontal="left"/>
    </xf>
    <xf borderId="1" fillId="0" fontId="5" numFmtId="0" xfId="0" applyAlignment="1" applyBorder="1" applyFont="1">
      <alignment horizontal="left" vertical="bottom"/>
    </xf>
    <xf borderId="1" fillId="0" fontId="6" numFmtId="9" xfId="0" applyAlignment="1" applyBorder="1" applyFont="1" applyNumberFormat="1">
      <alignment horizontal="left" vertical="bottom"/>
    </xf>
    <xf borderId="1" fillId="0" fontId="1" numFmtId="165" xfId="0" applyAlignment="1" applyBorder="1" applyFont="1" applyNumberFormat="1">
      <alignment horizontal="left"/>
    </xf>
    <xf borderId="1" fillId="0" fontId="1" numFmtId="3" xfId="0" applyAlignment="1" applyBorder="1" applyFont="1" applyNumberFormat="1">
      <alignment horizontal="left"/>
    </xf>
    <xf borderId="1" fillId="0" fontId="1" numFmtId="4" xfId="0" applyAlignment="1" applyBorder="1" applyFont="1" applyNumberFormat="1">
      <alignment horizontal="left"/>
    </xf>
    <xf borderId="1" fillId="0" fontId="1" numFmtId="10" xfId="0" applyAlignment="1" applyBorder="1" applyFont="1" applyNumberFormat="1">
      <alignment horizontal="left" shrinkToFit="0" wrapText="1"/>
    </xf>
    <xf borderId="1" fillId="0" fontId="6" numFmtId="0" xfId="0" applyAlignment="1" applyBorder="1" applyFont="1">
      <alignment horizontal="left" vertical="bottom"/>
    </xf>
    <xf borderId="1" fillId="0" fontId="6" numFmtId="3" xfId="0" applyAlignment="1" applyBorder="1" applyFont="1" applyNumberFormat="1">
      <alignment horizontal="left" vertical="bottom"/>
    </xf>
    <xf borderId="1" fillId="0" fontId="7" numFmtId="0" xfId="0" applyAlignment="1" applyBorder="1" applyFont="1">
      <alignment vertical="bottom"/>
    </xf>
    <xf borderId="1" fillId="0" fontId="1" numFmtId="0" xfId="0" applyBorder="1" applyFont="1"/>
    <xf borderId="1" fillId="0" fontId="5" numFmtId="0" xfId="0" applyAlignment="1" applyBorder="1" applyFont="1">
      <alignment horizontal="left" readingOrder="0" vertical="bottom"/>
    </xf>
    <xf borderId="1" fillId="0" fontId="5" numFmtId="9" xfId="0" applyAlignment="1" applyBorder="1" applyFont="1" applyNumberFormat="1">
      <alignment horizontal="left" vertical="bottom"/>
    </xf>
    <xf borderId="1" fillId="0" fontId="6" numFmtId="165" xfId="0" applyAlignment="1" applyBorder="1" applyFont="1" applyNumberFormat="1">
      <alignment horizontal="left" vertical="bottom"/>
    </xf>
    <xf borderId="1" fillId="0" fontId="8" numFmtId="0" xfId="0" applyAlignment="1" applyBorder="1" applyFont="1">
      <alignment horizontal="right" vertical="bottom"/>
    </xf>
    <xf borderId="1" fillId="0" fontId="8" numFmtId="0" xfId="0" applyAlignment="1" applyBorder="1" applyFont="1">
      <alignment vertical="bottom"/>
    </xf>
    <xf borderId="1" fillId="0" fontId="6" numFmtId="9" xfId="0" applyAlignment="1" applyBorder="1" applyFont="1" applyNumberFormat="1">
      <alignment horizontal="left" readingOrder="0" vertical="bottom"/>
    </xf>
    <xf borderId="1" fillId="0" fontId="1" numFmtId="0" xfId="0" applyAlignment="1" applyBorder="1" applyFont="1">
      <alignment horizontal="left" shrinkToFit="0" wrapText="1"/>
    </xf>
    <xf borderId="1" fillId="0" fontId="6" numFmtId="0" xfId="0" applyAlignment="1" applyBorder="1" applyFont="1">
      <alignment horizontal="left" readingOrder="0" vertical="bottom"/>
    </xf>
    <xf borderId="1" fillId="0" fontId="5" numFmtId="9" xfId="0" applyAlignment="1" applyBorder="1" applyFont="1" applyNumberFormat="1">
      <alignment horizontal="left" readingOrder="0" vertical="bottom"/>
    </xf>
    <xf borderId="1" fillId="0" fontId="8" numFmtId="0" xfId="0" applyAlignment="1" applyBorder="1" applyFont="1">
      <alignment vertical="bottom"/>
    </xf>
    <xf borderId="1" fillId="0" fontId="8" numFmtId="9" xfId="0" applyAlignment="1" applyBorder="1" applyFont="1" applyNumberFormat="1">
      <alignment vertical="bottom"/>
    </xf>
    <xf borderId="0" fillId="0" fontId="1" numFmtId="49" xfId="0" applyFont="1" applyNumberFormat="1"/>
    <xf borderId="1" fillId="0" fontId="1" numFmtId="49" xfId="0" applyBorder="1" applyFont="1" applyNumberFormat="1"/>
    <xf borderId="1" fillId="0" fontId="1" numFmtId="165" xfId="0" applyBorder="1" applyFont="1" applyNumberFormat="1"/>
    <xf borderId="1" fillId="0" fontId="1" numFmtId="3" xfId="0" applyBorder="1" applyFont="1" applyNumberFormat="1"/>
    <xf borderId="1" fillId="0" fontId="1" numFmtId="4" xfId="0" applyBorder="1" applyFont="1" applyNumberFormat="1"/>
    <xf borderId="1" fillId="0" fontId="1" numFmtId="10" xfId="0" applyBorder="1" applyFont="1" applyNumberFormat="1"/>
    <xf borderId="0" fillId="0" fontId="1" numFmtId="0" xfId="0" applyFont="1"/>
    <xf borderId="0" fillId="0" fontId="9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1" numFmtId="0" xfId="0" applyAlignment="1" applyFont="1">
      <alignment shrinkToFit="0" wrapText="1"/>
    </xf>
    <xf borderId="1" fillId="2" fontId="3" numFmtId="0" xfId="0" applyAlignment="1" applyBorder="1" applyFont="1">
      <alignment horizontal="left" shrinkToFit="0" wrapText="1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 shrinkToFit="0" wrapText="1"/>
    </xf>
    <xf borderId="1" fillId="0" fontId="10" numFmtId="0" xfId="0" applyAlignment="1" applyBorder="1" applyFont="1">
      <alignment readingOrder="0" shrinkToFit="0" vertical="bottom" wrapText="1"/>
    </xf>
    <xf borderId="1" fillId="0" fontId="10" numFmtId="4" xfId="0" applyAlignment="1" applyBorder="1" applyFont="1" applyNumberFormat="1">
      <alignment horizontal="center" readingOrder="0" shrinkToFit="0" vertical="bottom" wrapText="0"/>
    </xf>
    <xf borderId="1" fillId="0" fontId="10" numFmtId="0" xfId="0" applyAlignment="1" applyBorder="1" applyFont="1">
      <alignment horizontal="center" readingOrder="0" shrinkToFit="0" vertical="bottom" wrapText="0"/>
    </xf>
    <xf borderId="0" fillId="0" fontId="10" numFmtId="0" xfId="0" applyAlignment="1" applyFont="1">
      <alignment horizontal="center" readingOrder="0" shrinkToFit="0" vertical="bottom" wrapText="0"/>
    </xf>
    <xf borderId="0" fillId="0" fontId="5" numFmtId="9" xfId="0" applyAlignment="1" applyFont="1" applyNumberFormat="1">
      <alignment horizontal="left" vertical="bottom"/>
    </xf>
    <xf borderId="0" fillId="0" fontId="5" numFmtId="9" xfId="0" applyAlignment="1" applyFont="1" applyNumberFormat="1">
      <alignment horizontal="left" readingOrder="0" vertical="bottom"/>
    </xf>
    <xf borderId="0" fillId="2" fontId="3" numFmtId="0" xfId="0" applyAlignment="1" applyFont="1">
      <alignment horizontal="center" readingOrder="0" shrinkToFit="0" vertical="center" wrapText="0"/>
    </xf>
    <xf borderId="0" fillId="0" fontId="1" numFmtId="3" xfId="0" applyFont="1" applyNumberFormat="1"/>
    <xf borderId="0" fillId="0" fontId="1" numFmtId="4" xfId="0" applyFont="1" applyNumberFormat="1"/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P91" sheet="Project Sheet"/>
  </cacheSource>
  <cacheFields>
    <cacheField name="Sr.No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</sharedItems>
    </cacheField>
    <cacheField name="Customer Name" numFmtId="0">
      <sharedItems>
        <s v="ITI"/>
        <s v="KEYSIGHT"/>
        <s v="IPRC-LAB"/>
        <s v="IDEX LAB"/>
        <s v="MENTOR GRAPHICS"/>
        <s v="SAC-LAB"/>
        <s v="DEAL-LAB"/>
        <s v="CAIR-LAB"/>
        <s v="XILINX"/>
        <s v="Lattice"/>
        <s v="ARDENT"/>
        <s v="LFT"/>
        <s v="IRDE-LAB"/>
        <s v="Methode"/>
        <s v="TDFS"/>
        <s v="KANDOU"/>
        <s v="Microx Lab"/>
        <s v="CASDIC-LAB"/>
        <s v="ISTRAC"/>
        <s v="Eridan"/>
        <s v="Achronix"/>
        <s v="Credo"/>
        <s v="Stryker"/>
        <s v="Collins"/>
        <s v="WeSEE-Lab"/>
        <s v="Frontgrade"/>
        <s v="LRDE-Lab"/>
        <s v="HAL-BLR"/>
        <s v="Seoul Standard Co Ltd"/>
        <s v="HAL"/>
      </sharedItems>
    </cacheField>
    <cacheField name="Project Name As Per EOS form" numFmtId="49">
      <sharedItems>
        <s v="ITI_HCRR_052"/>
        <s v="Keysight_LOKI_PCIe_Gen6_LTSSM_085"/>
        <s v="IPRC_Lab_Data_Acquisition_System_031"/>
        <s v="ITI_ISS_Version2_090"/>
        <s v="ITI_Radio_Modem_022 "/>
        <s v="IDEX_Secure_USB_069"/>
        <s v="Mentor_Graphics_5G_SignalAnalysis_073"/>
        <s v="Mentor_Graphics_PCIe_Gen6_TL_Design_103"/>
        <s v="SAC_CCD_Project(Repeat Order)_055 "/>
        <s v="SAC_CCD_Project(2nd version)_079 "/>
        <s v="DEAL_Lab_RAS_084"/>
        <s v="CAIR_Lab_RODPU_25G_087"/>
        <s v="Xilinx_Smart_NIC_Card_T&amp;M_088"/>
        <s v="Lattice_Display_Port_2.0_IP_099"/>
        <s v="Keysight_Corvette_Gen5_Analyzer_156"/>
        <s v="Keysight_Corvette_Gen5_Exerciser_157"/>
        <s v="Keysight_Corvette_Gen6_Exerciser_T&amp;M_158"/>
        <s v="Keysight_Corvette_Gen6_Analyzer_T&amp;M_159"/>
        <s v="Keysight_Corvette_Gen5_Porting_On_Gen6_HW_160"/>
        <s v="ARDENT_PCIe_NVMe_Gen5_Bridge_Solution_100"/>
        <s v="Lattice_Automate_Stack_1.1_102"/>
        <s v="Lattice_5G_ORAN_Security_Stack_105"/>
        <s v="Lattice_APPS_Support_T&amp;M_106"/>
        <s v="LFT_JESD204C_IP_Development_093"/>
        <s v="Lattice_PCIe_PCS_support_T&amp;M_107"/>
        <s v="LFT_ARNIC_Non_Revenue_108"/>
        <s v="DEAL_Lab_IP_Gateway_086"/>
        <s v="Keysight_Vision_PG_FPGA_Design_064"/>
        <s v="IRDE_lab_Thermal_Image_Processing_058"/>
        <s v="ITI_10g_TypeB_017"/>
        <s v="Lattice_Automate_Stack_1.0_091"/>
        <s v="Lattice_App_Support_110"/>
        <s v="Methode_I2C_to_MDIO_Converter_version1_041"/>
        <s v="Lattice_JEDI_D1_HW_Bring_Up_097"/>
        <s v="TDFS_Lab_ARINC818_IP_AVPSM_Product_043"/>
        <s v="Kandou_Retimer_101"/>
        <s v="Lattice_Linux_PTP_111"/>
        <s v="Keysight_Vision_PCIe_Gen6_LTSSM_112"/>
        <s v="IRDE_Lab_Rigiflex_PCB_113"/>
        <s v="Microxlab_Cytox_Phase2_083"/>
        <s v="ITI_ISS_Version_1_018"/>
        <s v="Keysight_Ketch_NVMe_114"/>
        <s v="CASDIC_Lab_STANAG_Video_Switching_Unit_Version1_115"/>
        <s v="Microxlab_Cytox_Phase3_116"/>
        <s v="LFT_eCPRI_IP_Development_117"/>
        <s v="ISTRAC_Lab_RF_Recorder_003"/>
        <s v="LFT_Multi_Functional_Monitor_(MFM)_118"/>
        <s v="Methode_SFP_TX_Disable_119"/>
        <s v="Lattice_Automate_Stack_3.0_120"/>
        <s v="Lattice_IP_Design_&amp;_Verification_T&amp;M_121"/>
        <s v="Lattice_IP_Turnkey_Mode_122"/>
        <s v="Eridan_Everest_123"/>
        <s v="Achronix_JESD204C_IP_Porting_124"/>
        <s v="LFT_Software_Defined_Radio_(SDR)_125"/>
        <s v="XILINX_HDCP_Linux_Drivers_for_HDMI_2.1_126"/>
        <s v="Credo_PCIe_Retimer_T&amp;M_127"/>
        <s v="LFT_Intel_XEON_Single_Board_Computer_(SBC)_128"/>
        <s v="Lattice_USB_Example_Design_129"/>
        <s v="Lattice_RCS_T&amp;M_130"/>
        <s v="Methode_I2C_to_MDIO_Converter_version2_131"/>
        <s v="Lattice_Embedded_PTP_Stack_132"/>
        <s v="ISTRAC_lab_IF_Recorder_001"/>
        <s v="Stryker_FPGA_Support_133"/>
        <s v="LFT_Lattice_Avant_FPGA_Based_Evaluation_Board_134"/>
        <s v="Collins_PCIe_NVMe_Bridge_Solution_136"/>
        <s v="WESEE_Lab_MPSOC_Based_Product_137"/>
        <s v="Lattice_Automate_Stack_3.1_138"/>
        <s v="Stryker_QT_Support_T&amp;M_139"/>
        <s v="Achronix_PCIe_Root_Port_Demo_140"/>
        <s v="Lattice_JESD204B_IP_141"/>
        <s v="Frontgrade_BRAM_and_PCIe_Testing_142"/>
        <s v="LRDE_ARINC_BASED_PRODUCTS_143"/>
        <s v="Keysight_CXL_2.0_Exercsier_144"/>
        <s v="Keysight_CXL_2.0_Analyzer_145"/>
        <s v="Keysight_CXL_3.0_Exercsier_146"/>
        <s v="Keysight_CXL_3.0_Analyzer_147"/>
        <s v="Lattice_BSP_Support_T&amp;M_148"/>
        <s v="Lattice_BSP_Development_149"/>
        <s v="CASDIC_Lab_STANAG_Video_Switching_Unit_Version2_150"/>
        <s v="HAL_ARINC_TO_DVI_Converter_IP_151"/>
        <s v="STD_Korea_ARINC_IP_152"/>
        <s v="Lattice_MIPI_To_HDMI_Reference_Design_153"/>
        <s v="LRDE_EPS_Firmware_Development_154"/>
        <s v="Keysight_PCIe_Gen5_Cutter_PTC_155"/>
        <s v="LFT_Internal_Web_Portal_161"/>
        <s v="HAL_ARINC818_Analyzer_162"/>
        <s v="IRDE_Video_Processing_for_Thermal_Imager_v2_163"/>
        <s v="LFT_AMD_AI_Video_scalar_demo_164"/>
        <s v="LFT_Achronix_JESD204C_TI_165"/>
        <s v="Lattice_RCS_V2_166"/>
      </sharedItems>
    </cacheField>
    <cacheField name="Project Manager" numFmtId="0">
      <sharedItems>
        <s v="Mohammad Rafi"/>
        <s v="Deepak Goyal"/>
        <s v="Raghavan T V"/>
        <s v="Sonu Sonkar"/>
        <s v="Vineet Goel"/>
        <s v="Vishal Sinha"/>
        <s v="Monika Gupta"/>
        <s v="Sanjeev Kumar"/>
        <s v="Shashank Chaurasia"/>
        <s v="Rahul Sharma"/>
        <s v="Sagar Gupta"/>
        <s v="Madhukar Manohar"/>
        <s v="Akash Jain"/>
        <s v="Vijay Pal Sharma"/>
        <s v="Gurpreet Singh"/>
        <s v="Ramakrishna D C"/>
        <s v="Dhruv Kumar Saxena"/>
        <s v="Gurpreet Singh "/>
      </sharedItems>
    </cacheField>
    <cacheField name="Project &#10;Status (May 2024)" numFmtId="0">
      <sharedItems>
        <s v="Hold"/>
        <s v="Support"/>
        <s v="Active"/>
        <s v="Close"/>
      </sharedItems>
    </cacheField>
    <cacheField name="Project &#10;Status (April 2024)" numFmtId="0">
      <sharedItems>
        <s v="Hold"/>
        <s v="Support"/>
        <s v="Active"/>
        <s v="Close"/>
      </sharedItems>
    </cacheField>
    <cacheField name="Project % &#10;Completion &#10;(By PM)" numFmtId="9">
      <sharedItems containsSemiMixedTypes="0" containsString="0" containsNumber="1">
        <n v="0.4"/>
        <n v="1.0"/>
        <n v="0.9"/>
        <n v="0.5"/>
        <n v="0.6"/>
        <n v="0.8"/>
        <n v="0.7"/>
        <n v="0.3"/>
        <n v="0.0"/>
        <n v="0.1"/>
        <n v="0.2"/>
      </sharedItems>
    </cacheField>
    <cacheField name="Sales Manager" numFmtId="0">
      <sharedItems containsString="0" containsBlank="1">
        <m/>
      </sharedItems>
    </cacheField>
    <cacheField name="PO &#10;Amount &#10;(in Lac's) &#10;(w/o GST)">
      <sharedItems containsMixedTypes="1" containsNumber="1">
        <e v="#N/A"/>
        <n v="1019.0"/>
        <n v="546.0"/>
        <n v="41.0"/>
        <n v="1608.0"/>
        <n v="19.0"/>
        <n v="94.0"/>
        <n v="310.0"/>
        <n v="73.0"/>
        <n v="90.0"/>
        <n v="343.0"/>
        <n v="1668.0"/>
        <n v="1368.89"/>
        <n v="1068.8899999999999"/>
        <n v="263.2"/>
        <n v="51.0"/>
        <n v="56.0"/>
        <n v="136.0"/>
        <n v="432.0"/>
        <n v="5.0"/>
        <n v="54.0"/>
        <n v="0.0"/>
        <n v="38.0"/>
        <n v="50.0"/>
        <n v="43.0"/>
        <n v="135.0"/>
        <n v="181.0"/>
        <n v="31.0"/>
        <n v="246.0"/>
        <n v="494.0"/>
        <n v="40.0"/>
        <n v="212.8"/>
        <n v="9.0"/>
        <n v="7.0"/>
        <n v="465.0"/>
        <n v="85.0"/>
        <n v="80.80000000000001"/>
        <n v="79.0"/>
        <n v="175.0"/>
        <n v="447.0"/>
        <n v="380.0"/>
        <n v="22.68"/>
        <n v="162.0"/>
        <n v="32.0"/>
        <n v="248.0"/>
        <n v="201.6"/>
        <n v="57.6"/>
        <n v="53.0"/>
        <n v="264.8"/>
        <n v="42.0"/>
        <n v="216.0"/>
        <n v="15.0"/>
        <n v="272.0"/>
        <n v="80.0"/>
        <n v="13.770000000000001"/>
        <n v="70.0"/>
        <n v="655.5"/>
        <n v="643.5"/>
        <n v="24.75"/>
        <n v="76.8"/>
        <n v="165.0"/>
        <n v="52.0"/>
        <n v="48.0"/>
        <n v="427.0"/>
        <n v="288.0"/>
        <n v="20.0"/>
        <n v="29.52"/>
      </sharedItems>
    </cacheField>
    <cacheField name="Total &#10;Expenses &#10;Incurred &#10;(including 40% &#10;overhead)">
      <sharedItems containsMixedTypes="1" containsNumber="1">
        <n v="619.0"/>
        <n v="434.0"/>
        <n v="767.0"/>
        <n v="167.0"/>
        <n v="929.0"/>
        <n v="212.0"/>
        <n v="687.0"/>
        <n v="23.0"/>
        <n v="336.0"/>
        <n v="189.0"/>
        <n v="100.0"/>
        <n v="200.0"/>
        <n v="146.0"/>
        <n v="355.0"/>
        <n v="1641.498836"/>
        <n v="1607.498836"/>
        <n v="503.56424799999996"/>
        <n v="878.5642479999999"/>
        <n v="26.0"/>
        <n v="10.0"/>
        <n v="21.0"/>
        <n v="68.0"/>
        <n v="96.0"/>
        <n v="117.0"/>
        <n v="70.0"/>
        <n v="194.0"/>
        <n v="41.0"/>
        <n v="51.0"/>
        <n v="179.0"/>
        <n v="130.0"/>
        <n v="0.0"/>
        <n v="15.0"/>
        <n v="58.0"/>
        <n v="897.0"/>
        <n v="5.0"/>
        <n v="235.0"/>
        <n v="128.0"/>
        <s v="-"/>
        <n v="147.0"/>
        <n v="397.0"/>
        <n v="86.0"/>
        <n v="4.0"/>
        <n v="24.0"/>
        <n v="2.0"/>
        <n v="426.0"/>
        <n v="195.0"/>
        <n v="110.0"/>
        <n v="44.0"/>
        <n v="267.0"/>
        <n v="166.0"/>
        <n v="90.0"/>
        <n v="33.0"/>
        <n v="66.0"/>
        <n v="299.0"/>
        <n v="42.0"/>
        <n v="156.0"/>
        <n v="93.0"/>
        <n v="8.0"/>
        <n v="30.0"/>
        <n v="17.0"/>
        <n v="153.0"/>
        <n v="610.0"/>
        <n v="545.0"/>
        <n v="164.0"/>
        <n v="115.0"/>
        <n v="13.0"/>
        <n v="35.0"/>
        <n v="40.0"/>
        <n v="186.0"/>
        <n v="85.0"/>
        <n v="9.0"/>
        <n v="52.0"/>
        <n v="34.0"/>
      </sharedItems>
    </cacheField>
    <cacheField name="Mar'24 &#10;Expenses &#10;Incurred &#10;(including 40% &#10;overhead)" numFmtId="4">
      <sharedItems containsSemiMixedTypes="0" containsString="0" containsNumber="1">
        <n v="0.0"/>
        <n v="21.09461"/>
        <n v="4.673703"/>
        <n v="16.16656"/>
        <n v="36.03578"/>
        <n v="8.74671"/>
        <n v="0.084"/>
        <n v="6.512786"/>
        <n v="15.23173"/>
        <n v="3.6334340000000003"/>
        <n v="4.139884"/>
        <n v="18.33726"/>
        <n v="58.26577"/>
        <n v="1.4890510000000001"/>
        <n v="0.24214400000000003"/>
        <n v="31.99641"/>
        <n v="0.113526"/>
        <n v="19.79162"/>
        <n v="16.66988"/>
        <n v="74.52595"/>
        <n v="43.32556"/>
        <n v="36.01268"/>
        <n v="4.238444"/>
        <n v="1.4524579999999998"/>
        <n v="76.34204"/>
        <n v="29.24314"/>
        <n v="2.12373"/>
        <n v="23.76262"/>
        <n v="11.53491"/>
        <n v="4.302466"/>
        <n v="8.823483000000001"/>
      </sharedItems>
    </cacheField>
    <cacheField name="Profit" numFmtId="10">
      <sharedItems containsBlank="1">
        <e v="#N/A"/>
        <e v="#VALUE!"/>
        <m/>
      </sharedItems>
    </cacheField>
    <cacheField name="Project Description" numFmtId="0">
      <sharedItems>
        <s v="Development of High Capacity Radio Relay operating in 4.4G to 5G band"/>
        <s v=" Support for LOKI / THOR PCIe Gen6 LTSSM and LOKI / THOR USB LTSSM "/>
        <s v=" Development of Data Acquisition system for the IPRC LB "/>
        <s v=" Development of Multipost Integrated Selection System(MPISS) "/>
        <s v=" Point to point wireless data communication device based on 802.11n "/>
        <s v=" Development of system for Encryption / decryption of USB 3.0 mass storage device "/>
        <s v=" Software library for 5G ORAN signal generation and analysis  "/>
        <s v=" Development of PCIe Gen6 Transaction Layer RTL Code for Mentor Graphics Noida "/>
        <s v=" Development of Test Jig For testing CCD Sensor at SAC lab Ahemadabad "/>
        <s v=" Development of Test Jig For testing New CCD Sensor at SAC lab Ahemadabad "/>
        <s v=" Radio application software for SDR proprietary nodes "/>
        <s v=" Design and Development of 25G Fiber Optic hardwarr and Board Support Package (FPGA glue logic and SW drivers) "/>
        <s v=" Support for development of smartnic based FPGA chip "/>
        <s v=" Devlopment of the Display Port 2.0 Ip for Lattice CertusPro and Avant FPGA "/>
        <s v=" Development of PCIe Gen5 Exerciser Product on Ultrascale Plus FPGA "/>
        <s v=" Development of PCIe Gen5 Protocol Analyzer Product on Ultrascale Plus FPGA "/>
        <s v=" Development of PCIe Gen6 Exerciser Product on Versal FPGA "/>
        <s v=" Development of PCIe Gen6 Protocol Analyzer Product on Versal FPGA "/>
        <s v=" Porting PCIe Gen5 Exerciser / Analyzer design on PCIe Gen6 HW "/>
        <s v=" Development of bridging design on the achronix FPGA board for the Gen5 NVMe SSD "/>
        <s v=" Development of the Main and Node system for industrial use with BLDC Motor predictive maintenance "/>
        <s v=" Devlopment of the 5G side band security using AES, SHA, RSA Algos. "/>
        <s v=" Provide the Support to the Lattice Application team on PCIe,Ethernet,DDR3 and Automate stack "/>
        <s v=" LFT Self Funded JESD 204C IP development Project targeted for Xilinx FPGA and tested with Xilinx IP "/>
        <s v=" Provide the support for PCS layer bug fixing in T&amp;M mode "/>
        <s v=" Entry to record investigation, internal development around ARINC. "/>
        <s v=" IP gateway between ethernet network and SDR proprietary networks "/>
        <s v=" Designing Vision BERT Front end interface around SERDES with the Keysight BBN Team "/>
        <s v=" Devlopment of Bad pixel removal, AGC for the thermal camera  "/>
        <s v=" Development of HW, IP, Software for 10 Gigabit Ethernet Electrical/ Optical Type-B to transfer high-speed secured&#10;1/10Gb data over the Microwave Radio/Satellite link between IP/MPLS Routers. "/>
        <s v=" Provide the support  for Automate Stack to the Apps team "/>
        <s v=" Implenet the I2C to MDIO convertor for the SFP module "/>
        <s v=" Devlope the CertusPro-NX based devlopment board and create the demo for 10G Ethernet "/>
        <s v=" Development of ARINC818 Video Processing and Switching Module "/>
        <s v=" Support for understanding PCIe retimer requirements and architecture "/>
        <s v=" Development of HW, RTL/IP and SW for IEEE1588 PTP. The PTP engine is implemented in Linux environment "/>
        <s v=" Porting on PCIe Gen6 LTSSM on Vision PG to test with LOKI ED. "/>
        <s v=" Provide the Rigiflex cable and give the support for Thermal Imager ver1 "/>
        <s v=" Development of Phase 2 design of Lock in amplifier and signal source generator of two mix frequencies to be used for medical application  "/>
        <s v=" Design and Development fo EVMs (for election process) "/>
        <s v=" No Go-ahead from Customer. Delete this entry.  "/>
        <s v=" Integration of SVPSM modue with SBC  "/>
        <s v=" Development of Phase 3 design of Lock in amplifier and signal source generator of two mix frequencies to be used for medical application "/>
        <s v=" Devlopment of the eCPRI IP  "/>
        <s v=" Development of RF recorder "/>
        <s v=" Project clubbed under LRDE ARINC product development "/>
        <s v=" Bug fixing for the last release MDIO interface "/>
        <s v=" Inhance the Ethercontrol IP and OPCUA support with Ethernet interface on Automate 2.0 Ver "/>
        <s v=" Provide the Design support for QSPI Flash controller and Verification support for PCIe, QSPI, Octal SPI and Flash controller  "/>
        <s v=" Implement and verify the multiple IPs i.e. MDIO, AXI Slice, eSPI, I3C filter, Video Scaler "/>
        <s v=" Feasibility Study for porting of 5G Front Haul IP developed for Xilinx FPGA to CertusProNX FPGA of Lattice "/>
        <s v=" JESD204C IP porting on Achronix Vectorpath board to test with AD9082 HW  "/>
        <s v=" Experimentation on SDRs and 6G with opensource code "/>
        <s v=" Porting of HDCP 1.4 Tx/Rx and HDCP 2.3 Tx/Rx Linux drivers for HDMI 2.1  "/>
        <s v=" PCIe Gen6 retimer verification "/>
        <s v=" Developing Single board computer using Intel Xeon processor - Internal Development  "/>
        <s v=" Development of Example design for the USB Hard IP "/>
        <s v=" Rapid context switching project - XO3D , CPNX (Merge with 121) "/>
        <s v=" Development of PTP embedded stack using RISC-V CPU "/>
        <s v=" Development of IF recorder "/>
        <s v=" Bypass the DSP SRAM interface using intel FPGA B/W DPS processor and FPGA "/>
        <s v=" Lattice Avex evaluation board is a combination of Avant-E FPGA with AM68A processor which gives the user an enhanced opportunity to develop the Image/Video processing, IP/Network Camera, Industrial switching/communication, AI based applications and many "/>
        <s v=" Developing encryption/decryption bridge solution between host PC and NVMe SSD using achronix FPGA based eval board "/>
        <s v=" PCIE form factor based ARINC429,MIL1553 on MPSOC Hardware "/>
        <s v=" Devlopment of the Lattice Automate stack "/>
        <s v=" QT HMI Development "/>
        <s v=" PCIe root port demo application development "/>
        <s v="  Devlopment of the JESD204B IP for Lattice Certus-Pro FPGA "/>
        <s v=" Testing for BRAM and PCIe Hard IP for Certus PRO - NX FPGA "/>
        <s v=" Development of ARINC818 Analyzer &amp; Converters "/>
        <s v=" Development of CXL 2.0 Exerciser Product "/>
        <s v=" Development of CXL 2.0 Protocol Analyzer Product "/>
        <s v=" Development of CXL 3.0 Exerciser Product "/>
        <s v=" Development of CXL 3.0 Protocol Analyzer Product "/>
        <s v=" BSP JIRA fixes "/>
        <s v=" BSP I3C TSE devlopment "/>
        <s v=" Development of SVPSM board and Certification for CASDIC DRDO Lab "/>
        <s v="  Devlopment of the ARINC818 to DVI convertor on AMD Ultrascale FPGA  "/>
        <s v=" Devlopment of the ARINC818 IP with Parameter control "/>
        <s v="  Devlopment of the MIPI(Camera) to HDMI demo with some video processing Algo. "/>
        <s v=" Embedded Processing System Firmware Development "/>
        <s v=" Developing Protocol Test Compliance (PTC) application on top of PCIe Gen5 exerciser product "/>
        <s v="  Internal Web Portal  "/>
        <s v="Design and Development of ARINC818 Analyzer for HAL"/>
        <s v="Add the symbology and Ethernet support in the Thermal Imager Ver 1 project."/>
        <s v="Implementation of Video scalar on AMD FPGA AI Engine"/>
        <s v="JESD204C ported on Vectorpath HW to demo with AFE7920EVM HW"/>
        <s v="Phase 2 development for RCS project "/>
      </sharedItems>
    </cacheField>
    <cacheField name="PO Amount (%age completion-Rs)">
      <sharedItems containsMixedTypes="1" containsNumber="1">
        <e v="#N/A"/>
        <n v="1019.0"/>
        <n v="546.0"/>
        <n v="41.0"/>
        <n v="1608.0"/>
        <n v="19.0"/>
        <n v="94.0"/>
        <n v="310.0"/>
        <n v="73.0"/>
        <n v="90.0"/>
        <n v="343.0"/>
        <n v="1501.2"/>
        <n v="1095.112"/>
        <n v="855.112"/>
        <n v="184.23999999999998"/>
        <n v="15.299999999999999"/>
        <n v="56.0"/>
        <n v="136.0"/>
        <n v="432.0"/>
        <n v="5.0"/>
        <n v="54.0"/>
        <n v="0.0"/>
        <n v="38.0"/>
        <n v="50.0"/>
        <n v="43.0"/>
        <n v="135.0"/>
        <n v="181.0"/>
        <n v="31.0"/>
        <n v="246.0"/>
        <n v="494.0"/>
        <n v="40.0"/>
        <n v="212.8"/>
        <n v="9.0"/>
        <n v="7.0"/>
        <n v="465.0"/>
        <n v="85.0"/>
        <n v="64.64000000000001"/>
        <n v="79.0"/>
        <n v="175.0"/>
        <n v="447.0"/>
        <n v="380.0"/>
        <n v="22.68"/>
        <n v="162.0"/>
        <n v="32.0"/>
        <n v="248.0"/>
        <n v="181.44"/>
        <n v="57.6"/>
        <n v="53.0"/>
        <n v="264.8"/>
        <n v="42.0"/>
        <n v="216.0"/>
        <n v="15.0"/>
        <n v="272.0"/>
        <n v="80.0"/>
        <n v="13.770000000000001"/>
        <n v="70.0"/>
        <n v="524.4"/>
        <n v="514.8000000000001"/>
        <n v="24.75"/>
        <n v="76.8"/>
        <n v="148.5"/>
        <n v="52.0"/>
        <n v="43.2"/>
        <n v="42.7"/>
        <n v="86.39999999999999"/>
        <n v="2.0"/>
        <n v="8.200000000000001"/>
        <n v="17.712"/>
      </sharedItems>
    </cacheField>
    <cacheField name="Profit/Loss">
      <sharedItems containsMixedTypes="1" containsNumber="1">
        <e v="#N/A"/>
        <n v="585.0"/>
        <n v="-383.0"/>
        <n v="-171.0"/>
        <n v="921.0"/>
        <n v="-4.0"/>
        <n v="-242.0"/>
        <n v="121.0"/>
        <n v="-27.0"/>
        <n v="-110.0"/>
        <n v="197.0"/>
        <n v="-140.29883599999994"/>
        <n v="-106.29883599999994"/>
        <n v="591.5477520000002"/>
        <n v="-23.45224799999994"/>
        <n v="158.23999999999998"/>
        <n v="5.299999999999999"/>
        <n v="35.0"/>
        <n v="68.0"/>
        <n v="336.0"/>
        <n v="-112.0"/>
        <n v="-16.0"/>
        <n v="-194.0"/>
        <n v="-3.0"/>
        <n v="-1.0"/>
        <n v="22.0"/>
        <n v="-44.0"/>
        <n v="51.0"/>
        <n v="16.0"/>
        <n v="188.0"/>
        <n v="-403.0"/>
        <n v="-22.19999999999999"/>
        <n v="-128.0"/>
        <e v="#VALUE!"/>
        <n v="-140.0"/>
        <n v="-23.0"/>
        <n v="44.0"/>
        <n v="-21.359999999999985"/>
        <n v="-51.0"/>
        <n v="-24.0"/>
        <n v="5.0"/>
        <n v="107.0"/>
        <n v="21.0"/>
        <n v="185.0"/>
        <n v="7.68"/>
        <n v="52.0"/>
        <n v="6.0"/>
        <n v="-19.0"/>
        <n v="-166.0"/>
        <n v="91.44"/>
        <n v="-33.0"/>
        <n v="0.0"/>
        <n v="-8.399999999999999"/>
        <n v="-246.0"/>
        <n v="4.0"/>
        <n v="-42.0"/>
        <n v="231.8"/>
        <n v="-114.0"/>
        <n v="123.0"/>
        <n v="7.0"/>
        <n v="242.0"/>
        <n v="63.0"/>
        <n v="9.770000000000001"/>
        <n v="-83.0"/>
        <n v="-85.60000000000002"/>
        <n v="-20.600000000000023"/>
        <n v="350.80000000000007"/>
        <n v="399.80000000000007"/>
        <n v="11.75"/>
        <n v="41.8"/>
        <n v="-7.5"/>
        <n v="23.0"/>
        <n v="12.0"/>
        <n v="22.200000000000003"/>
        <n v="-143.3"/>
        <n v="1.3999999999999915"/>
        <n v="-9.0"/>
        <n v="-50.0"/>
        <n v="-14.799999999999999"/>
        <n v="-34.0"/>
        <n v="-10.0"/>
        <n v="-3.2880000000000003"/>
      </sharedItems>
    </cacheField>
    <cacheField name="Domain" numFmtId="3">
      <sharedItems>
        <s v="ITI"/>
        <s v="BERT"/>
        <s v="IPRC"/>
        <s v="IDEX"/>
        <s v="MentorG"/>
        <s v="SAC-LAB"/>
        <s v="DEAL-LAB"/>
        <s v="CAIR-LAB"/>
        <s v="XILINX"/>
        <s v="LATTICE"/>
        <s v="CORVETTE"/>
        <s v="ARDENT"/>
        <s v="ACHRONIX"/>
        <s v="ARINC"/>
        <s v="IRDE-LAB"/>
        <s v="METHODE"/>
        <s v="KANDOU"/>
        <s v="CYTOX"/>
        <s v="ECPRI"/>
        <s v="ISTRAC"/>
        <s v="ERIDAN"/>
        <s v="SDR"/>
        <s v="CREDO"/>
        <s v="SBC"/>
        <s v="STRYKER"/>
        <s v="COLLINS"/>
        <s v="FRONTGRADE"/>
        <s v="SCHOONER"/>
        <s v="LRDE-LAB"/>
        <s v="LFT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F1:G91" sheet="Project Sheet"/>
  </cacheSource>
  <cacheFields>
    <cacheField name="Project &#10;Status (April 2024)" numFmtId="0">
      <sharedItems>
        <s v="Hold"/>
        <s v="Support"/>
        <s v="Active"/>
        <s v="Close"/>
      </sharedItems>
    </cacheField>
    <cacheField name="Project % &#10;Completion &#10;(By PM)" numFmtId="9">
      <sharedItems containsSemiMixedTypes="0" containsString="0" containsNumber="1">
        <n v="0.4"/>
        <n v="1.0"/>
        <n v="0.9"/>
        <n v="0.5"/>
        <n v="0.6"/>
        <n v="0.8"/>
        <n v="0.7"/>
        <n v="0.3"/>
        <n v="0.0"/>
        <n v="0.1"/>
        <n v="0.2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Summary" cacheId="0" dataCaption="" compact="0" compactData="0">
  <location ref="A1:C32" firstHeaderRow="0" firstDataRow="2" firstDataCol="0"/>
  <pivotFields>
    <pivotField name="Sr.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Customer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Project Name As Per EOS form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Project Manag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Project &#10;Status (May 2024)" compact="0" outline="0" multipleItemSelectionAllowed="1" showAll="0">
      <items>
        <item x="0"/>
        <item x="1"/>
        <item x="2"/>
        <item x="3"/>
        <item t="default"/>
      </items>
    </pivotField>
    <pivotField name="Project &#10;Status (April 2024)" compact="0" outline="0" multipleItemSelectionAllowed="1" showAll="0">
      <items>
        <item x="0"/>
        <item x="1"/>
        <item x="2"/>
        <item x="3"/>
        <item t="default"/>
      </items>
    </pivotField>
    <pivotField name="Project % &#10;Completion &#10;(By PM)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Sales Manager" compact="0" outline="0" multipleItemSelectionAllowed="1" showAll="0">
      <items>
        <item x="0"/>
        <item t="default"/>
      </items>
    </pivotField>
    <pivotField name="PO &#10;Amount &#10;(in Lac's) &#10;(w/o GST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Total &#10;Expenses &#10;Incurred &#10;(including 40% &#10;overhead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name="Mar'24 &#10;Expenses &#10;Incurred &#10;(including 40% &#10;overhead)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Profit" compact="0" numFmtId="10" outline="0" multipleItemSelectionAllowed="1" showAll="0">
      <items>
        <item x="0"/>
        <item x="1"/>
        <item x="2"/>
        <item t="default"/>
      </items>
    </pivotField>
    <pivotField name="Project 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PO Amount (%age completion-Rs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Profit/Los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ame="Domain" axis="axisRow" compact="0" numFmtId="3" outline="0" multipleItemSelectionAllowed="1" showAll="0" sortType="ascending">
      <items>
        <item x="12"/>
        <item x="11"/>
        <item x="13"/>
        <item x="1"/>
        <item x="7"/>
        <item x="25"/>
        <item x="10"/>
        <item x="22"/>
        <item x="17"/>
        <item x="6"/>
        <item x="18"/>
        <item x="20"/>
        <item x="26"/>
        <item x="3"/>
        <item x="2"/>
        <item x="14"/>
        <item x="19"/>
        <item x="0"/>
        <item x="16"/>
        <item x="9"/>
        <item x="29"/>
        <item x="28"/>
        <item x="4"/>
        <item x="15"/>
        <item x="5"/>
        <item x="23"/>
        <item x="27"/>
        <item x="21"/>
        <item x="24"/>
        <item x="8"/>
        <item t="default"/>
      </items>
    </pivotField>
  </pivotFields>
  <rowFields>
    <field x="15"/>
  </rowFields>
  <colFields>
    <field x="-2"/>
  </colFields>
  <dataFields>
    <dataField name="PO Amount" fld="13" baseField="0"/>
    <dataField name="Profit/Loss" fld="14" baseField="0"/>
  </dataFields>
</pivotTableDefinition>
</file>

<file path=xl/pivotTables/pivotTable2.xml><?xml version="1.0" encoding="utf-8"?>
<pivotTableDefinition xmlns="http://schemas.openxmlformats.org/spreadsheetml/2006/main" name="Summary 2" cacheId="1" dataCaption="" compact="0" compactData="0">
  <location ref="A37:B42" firstHeaderRow="0" firstDataRow="1" firstDataCol="0"/>
  <pivotFields>
    <pivotField name="Project &#10;Status (April 2024)" axis="axisRow" dataField="1" compact="0" outline="0" multipleItemSelectionAllowed="1" showAll="0" sortType="ascending">
      <items>
        <item x="2"/>
        <item x="3"/>
        <item x="0"/>
        <item x="1"/>
        <item t="default"/>
      </items>
    </pivotField>
    <pivotField name="Project % &#10;Completion &#10;(By PM)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>
    <field x="0"/>
  </rowFields>
  <dataFields>
    <dataField name="COUNTA of Project &#10;Status (April 2024)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38"/>
    <col customWidth="1" min="2" max="2" width="28.5"/>
    <col customWidth="1" min="3" max="3" width="16.88"/>
    <col customWidth="1" min="4" max="4" width="34.88"/>
    <col customWidth="1" min="5" max="5" width="32.63"/>
    <col customWidth="1" min="6" max="6" width="38.75"/>
    <col customWidth="1" min="7" max="7" width="40.25"/>
    <col customWidth="1" min="8" max="8" width="30.75"/>
    <col customWidth="1" min="9" max="9" width="31.25"/>
    <col customWidth="1" min="10" max="10" width="32.63"/>
    <col customWidth="1" min="11" max="11" width="31.75"/>
    <col customWidth="1" min="12" max="12" width="41.75"/>
    <col customWidth="1" min="13" max="13" width="26.25"/>
    <col customWidth="1" min="14" max="14" width="26.0"/>
    <col customWidth="1" min="15" max="15" width="25.75"/>
    <col customWidth="1" min="16" max="16" width="33.75"/>
    <col customWidth="1" min="17" max="17" width="21.25"/>
    <col customWidth="1" min="18" max="18" width="36.63"/>
    <col customWidth="1" min="19" max="19" width="37.13"/>
    <col customWidth="1" min="20" max="20" width="26.63"/>
    <col customWidth="1" min="21" max="21" width="22.0"/>
    <col customWidth="1" min="22" max="22" width="43.88"/>
    <col customWidth="1" min="23" max="23" width="46.88"/>
    <col customWidth="1" min="24" max="24" width="25.88"/>
    <col customWidth="1" min="25" max="25" width="42.0"/>
    <col customWidth="1" min="26" max="26" width="33.75"/>
    <col customWidth="1" min="27" max="27" width="17.63"/>
    <col customWidth="1" min="28" max="28" width="32.0"/>
    <col customWidth="1" min="29" max="29" width="41.38"/>
    <col customWidth="1" min="30" max="30" width="35.13"/>
    <col customWidth="1" min="31" max="31" width="35.63"/>
    <col customWidth="1" min="32" max="32" width="25.88"/>
    <col customWidth="1" min="33" max="33" width="26.38"/>
    <col customWidth="1" min="34" max="34" width="25.88"/>
    <col customWidth="1" min="35" max="35" width="26.38"/>
    <col customWidth="1" min="36" max="36" width="30.5"/>
    <col customWidth="1" min="37" max="37" width="32.25"/>
    <col customWidth="1" min="38" max="38" width="12.38"/>
    <col customWidth="1" min="39" max="39" width="27.88"/>
    <col customWidth="1" min="40" max="40" width="27.5"/>
    <col customWidth="1" min="41" max="41" width="30.38"/>
    <col customWidth="1" min="42" max="42" width="24.25"/>
    <col customWidth="1" min="43" max="43" width="17.0"/>
    <col customWidth="1" min="44" max="44" width="36.13"/>
    <col customWidth="1" min="45" max="45" width="23.75"/>
    <col customWidth="1" min="46" max="46" width="24.38"/>
    <col customWidth="1" min="47" max="47" width="25.13"/>
    <col customWidth="1" min="48" max="48" width="31.88"/>
    <col customWidth="1" min="49" max="49" width="32.38"/>
    <col customWidth="1" min="50" max="50" width="26.63"/>
    <col customWidth="1" min="51" max="51" width="23.5"/>
    <col customWidth="1" min="52" max="52" width="31.25"/>
    <col customWidth="1" min="53" max="53" width="35.5"/>
    <col customWidth="1" min="54" max="54" width="26.75"/>
    <col customWidth="1" min="55" max="55" width="39.25"/>
    <col customWidth="1" min="56" max="56" width="25.63"/>
    <col customWidth="1" min="57" max="57" width="28.75"/>
    <col customWidth="1" min="58" max="58" width="25.88"/>
    <col customWidth="1" min="59" max="59" width="42.0"/>
    <col customWidth="1" min="60" max="60" width="33.75"/>
    <col customWidth="1" min="61" max="61" width="35.63"/>
    <col customWidth="1" min="62" max="62" width="25.88"/>
    <col customWidth="1" min="63" max="63" width="26.38"/>
    <col customWidth="1" min="64" max="64" width="25.88"/>
    <col customWidth="1" min="65" max="65" width="26.38"/>
    <col customWidth="1" min="66" max="66" width="30.5"/>
    <col customWidth="1" min="67" max="67" width="12.38"/>
    <col customWidth="1" min="68" max="68" width="36.13"/>
    <col customWidth="1" min="69" max="69" width="27.5"/>
    <col customWidth="1" min="70" max="70" width="23.75"/>
    <col customWidth="1" min="71" max="71" width="24.38"/>
    <col customWidth="1" min="72" max="72" width="31.88"/>
    <col customWidth="1" min="73" max="73" width="32.38"/>
    <col customWidth="1" min="74" max="74" width="26.75"/>
    <col customWidth="1" min="75" max="75" width="39.25"/>
    <col customWidth="1" min="76" max="76" width="36.13"/>
    <col customWidth="1" min="77" max="77" width="19.38"/>
    <col customWidth="1" min="78" max="78" width="36.63"/>
    <col customWidth="1" min="79" max="79" width="18.88"/>
    <col customWidth="1" min="80" max="80" width="40.5"/>
    <col customWidth="1" min="81" max="81" width="40.88"/>
    <col customWidth="1" min="82" max="82" width="25.63"/>
    <col customWidth="1" min="83" max="83" width="24.38"/>
    <col customWidth="1" min="84" max="84" width="8.38"/>
    <col customWidth="1" min="85" max="91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23</v>
      </c>
      <c r="BG1" s="2" t="s">
        <v>24</v>
      </c>
      <c r="BH1" s="2" t="s">
        <v>25</v>
      </c>
      <c r="BI1" s="2" t="s">
        <v>30</v>
      </c>
      <c r="BJ1" s="2" t="s">
        <v>31</v>
      </c>
      <c r="BK1" s="2" t="s">
        <v>32</v>
      </c>
      <c r="BL1" s="2" t="s">
        <v>33</v>
      </c>
      <c r="BM1" s="2" t="s">
        <v>34</v>
      </c>
      <c r="BN1" s="2" t="s">
        <v>35</v>
      </c>
      <c r="BO1" s="2" t="s">
        <v>37</v>
      </c>
      <c r="BP1" s="2" t="s">
        <v>57</v>
      </c>
      <c r="BQ1" s="2" t="s">
        <v>39</v>
      </c>
      <c r="BR1" s="2" t="s">
        <v>44</v>
      </c>
      <c r="BS1" s="2" t="s">
        <v>45</v>
      </c>
      <c r="BT1" s="2" t="s">
        <v>47</v>
      </c>
      <c r="BU1" s="2" t="s">
        <v>48</v>
      </c>
      <c r="BV1" s="2" t="s">
        <v>53</v>
      </c>
      <c r="BW1" s="2" t="s">
        <v>54</v>
      </c>
      <c r="BX1" s="2" t="s">
        <v>57</v>
      </c>
      <c r="BY1" s="2" t="s">
        <v>58</v>
      </c>
      <c r="BZ1" s="2" t="s">
        <v>17</v>
      </c>
      <c r="CA1" s="2" t="s">
        <v>59</v>
      </c>
      <c r="CB1" s="2" t="s">
        <v>60</v>
      </c>
      <c r="CC1" s="2" t="s">
        <v>61</v>
      </c>
      <c r="CD1" s="2" t="s">
        <v>55</v>
      </c>
      <c r="CE1" s="2" t="s">
        <v>45</v>
      </c>
      <c r="CF1" s="2" t="s">
        <v>62</v>
      </c>
      <c r="CG1" s="2"/>
    </row>
    <row r="2" hidden="1">
      <c r="A2" s="3">
        <v>45372.52476799769</v>
      </c>
      <c r="B2" s="4" t="s">
        <v>63</v>
      </c>
      <c r="C2" s="4" t="s">
        <v>64</v>
      </c>
      <c r="AY2" s="4" t="s">
        <v>65</v>
      </c>
    </row>
    <row r="3" hidden="1">
      <c r="A3" s="3">
        <v>45372.530302997686</v>
      </c>
      <c r="B3" s="4" t="s">
        <v>66</v>
      </c>
      <c r="C3" s="4" t="s">
        <v>67</v>
      </c>
      <c r="AZ3" s="4" t="s">
        <v>65</v>
      </c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</row>
    <row r="4" hidden="1">
      <c r="A4" s="3">
        <v>45372.581213564816</v>
      </c>
      <c r="B4" s="4" t="s">
        <v>68</v>
      </c>
      <c r="C4" s="4" t="s">
        <v>69</v>
      </c>
      <c r="AC4" s="4" t="s">
        <v>70</v>
      </c>
      <c r="AD4" s="4" t="s">
        <v>65</v>
      </c>
      <c r="AE4" s="4" t="s">
        <v>65</v>
      </c>
      <c r="AF4" s="4" t="s">
        <v>65</v>
      </c>
      <c r="AG4" s="4" t="s">
        <v>65</v>
      </c>
      <c r="AH4" s="4" t="s">
        <v>65</v>
      </c>
      <c r="AI4" s="4" t="s">
        <v>65</v>
      </c>
      <c r="AJ4" s="4" t="s">
        <v>65</v>
      </c>
    </row>
    <row r="5" hidden="1">
      <c r="A5" s="3">
        <v>45372.6017771412</v>
      </c>
      <c r="B5" s="4" t="s">
        <v>71</v>
      </c>
      <c r="C5" s="4" t="s">
        <v>72</v>
      </c>
      <c r="AU5" s="4" t="s">
        <v>65</v>
      </c>
      <c r="AV5" s="4" t="s">
        <v>65</v>
      </c>
      <c r="AW5" s="4" t="s">
        <v>65</v>
      </c>
      <c r="AX5" s="4" t="s">
        <v>70</v>
      </c>
    </row>
    <row r="6" hidden="1">
      <c r="A6" s="3">
        <v>45377.66083489583</v>
      </c>
      <c r="B6" s="4" t="s">
        <v>73</v>
      </c>
      <c r="C6" s="4" t="s">
        <v>74</v>
      </c>
      <c r="K6" s="4" t="s">
        <v>75</v>
      </c>
      <c r="L6" s="4" t="s">
        <v>65</v>
      </c>
      <c r="M6" s="4" t="s">
        <v>70</v>
      </c>
      <c r="N6" s="4" t="s">
        <v>70</v>
      </c>
      <c r="O6" s="4" t="s">
        <v>65</v>
      </c>
      <c r="P6" s="4" t="s">
        <v>70</v>
      </c>
      <c r="Q6" s="4" t="s">
        <v>70</v>
      </c>
      <c r="R6" s="4" t="s">
        <v>70</v>
      </c>
      <c r="S6" s="4" t="s">
        <v>65</v>
      </c>
      <c r="T6" s="4" t="s">
        <v>75</v>
      </c>
      <c r="U6" s="4" t="s">
        <v>70</v>
      </c>
    </row>
    <row r="7" hidden="1">
      <c r="A7" s="3">
        <v>45385.63527399306</v>
      </c>
      <c r="B7" s="4" t="s">
        <v>76</v>
      </c>
      <c r="C7" s="4" t="s">
        <v>77</v>
      </c>
      <c r="AP7" s="4" t="s">
        <v>70</v>
      </c>
    </row>
    <row r="8" hidden="1">
      <c r="A8" s="3">
        <v>45401.534316377314</v>
      </c>
      <c r="B8" s="4" t="s">
        <v>78</v>
      </c>
      <c r="C8" s="4" t="s">
        <v>79</v>
      </c>
      <c r="D8" s="4" t="s">
        <v>65</v>
      </c>
      <c r="BA8" s="4" t="s">
        <v>65</v>
      </c>
    </row>
    <row r="9" hidden="1">
      <c r="A9" s="3">
        <v>45401.54066305555</v>
      </c>
      <c r="B9" s="4" t="s">
        <v>76</v>
      </c>
      <c r="C9" s="4" t="s">
        <v>77</v>
      </c>
      <c r="AP9" s="4" t="s">
        <v>70</v>
      </c>
    </row>
    <row r="10" hidden="1">
      <c r="A10" s="3">
        <v>45401.552730752315</v>
      </c>
      <c r="B10" s="4" t="s">
        <v>80</v>
      </c>
      <c r="C10" s="4" t="s">
        <v>81</v>
      </c>
      <c r="E10" s="4" t="s">
        <v>70</v>
      </c>
      <c r="F10" s="4" t="s">
        <v>65</v>
      </c>
      <c r="G10" s="4" t="s">
        <v>75</v>
      </c>
    </row>
    <row r="11" hidden="1">
      <c r="A11" s="3">
        <v>45401.57753288194</v>
      </c>
      <c r="B11" s="4" t="s">
        <v>71</v>
      </c>
      <c r="C11" s="4" t="s">
        <v>72</v>
      </c>
      <c r="AU11" s="4" t="s">
        <v>65</v>
      </c>
      <c r="AV11" s="4" t="s">
        <v>65</v>
      </c>
      <c r="AW11" s="4" t="s">
        <v>65</v>
      </c>
      <c r="BB11" s="4" t="s">
        <v>70</v>
      </c>
      <c r="BC11" s="4" t="s">
        <v>65</v>
      </c>
    </row>
    <row r="12" hidden="1">
      <c r="A12" s="3">
        <v>45401.5979078588</v>
      </c>
      <c r="B12" s="4" t="s">
        <v>82</v>
      </c>
      <c r="C12" s="4" t="s">
        <v>83</v>
      </c>
      <c r="AA12" s="4" t="s">
        <v>65</v>
      </c>
      <c r="AB12" s="4" t="s">
        <v>65</v>
      </c>
    </row>
    <row r="13" hidden="1">
      <c r="A13" s="3">
        <v>45401.65621180556</v>
      </c>
      <c r="B13" s="4" t="s">
        <v>84</v>
      </c>
      <c r="C13" s="4" t="s">
        <v>85</v>
      </c>
      <c r="AQ13" s="4" t="s">
        <v>86</v>
      </c>
    </row>
    <row r="14" hidden="1">
      <c r="A14" s="3">
        <v>45404.404219178236</v>
      </c>
      <c r="B14" s="4" t="s">
        <v>87</v>
      </c>
      <c r="C14" s="4" t="s">
        <v>88</v>
      </c>
      <c r="AR14" s="4" t="s">
        <v>75</v>
      </c>
      <c r="BR14" s="4" t="s">
        <v>65</v>
      </c>
      <c r="BS14" s="4" t="s">
        <v>75</v>
      </c>
    </row>
    <row r="15" hidden="1">
      <c r="A15" s="3">
        <v>45404.462840625</v>
      </c>
      <c r="B15" s="4" t="s">
        <v>78</v>
      </c>
      <c r="C15" s="4" t="s">
        <v>79</v>
      </c>
      <c r="D15" s="4" t="s">
        <v>65</v>
      </c>
      <c r="BA15" s="4" t="s">
        <v>65</v>
      </c>
    </row>
    <row r="16" hidden="1">
      <c r="A16" s="3">
        <v>45404.72585834491</v>
      </c>
      <c r="B16" s="4" t="s">
        <v>89</v>
      </c>
      <c r="C16" s="4" t="s">
        <v>90</v>
      </c>
      <c r="AK16" s="4" t="s">
        <v>75</v>
      </c>
      <c r="BE16" s="4" t="s">
        <v>91</v>
      </c>
      <c r="BO16" s="4" t="s">
        <v>92</v>
      </c>
      <c r="BP16" s="4" t="s">
        <v>92</v>
      </c>
      <c r="BQ16" s="4" t="s">
        <v>92</v>
      </c>
    </row>
    <row r="17" hidden="1">
      <c r="A17" s="3">
        <v>45405.440289618055</v>
      </c>
      <c r="B17" s="4" t="s">
        <v>80</v>
      </c>
      <c r="C17" s="4" t="s">
        <v>81</v>
      </c>
      <c r="E17" s="4" t="s">
        <v>70</v>
      </c>
      <c r="F17" s="4" t="s">
        <v>92</v>
      </c>
      <c r="G17" s="4" t="s">
        <v>75</v>
      </c>
    </row>
    <row r="18" hidden="1">
      <c r="A18" s="3">
        <v>45405.98417064815</v>
      </c>
      <c r="B18" s="4" t="s">
        <v>93</v>
      </c>
      <c r="C18" s="4" t="s">
        <v>94</v>
      </c>
      <c r="W18" s="4" t="s">
        <v>65</v>
      </c>
      <c r="BF18" s="4" t="s">
        <v>65</v>
      </c>
      <c r="BG18" s="4" t="s">
        <v>65</v>
      </c>
      <c r="BH18" s="4" t="s">
        <v>70</v>
      </c>
    </row>
    <row r="19" hidden="1">
      <c r="A19" s="3">
        <v>45407.66595201389</v>
      </c>
      <c r="B19" s="4" t="s">
        <v>95</v>
      </c>
      <c r="C19" s="4" t="s">
        <v>96</v>
      </c>
      <c r="BD19" s="4" t="s">
        <v>65</v>
      </c>
    </row>
    <row r="20" hidden="1">
      <c r="A20" s="3">
        <v>45408.46461993056</v>
      </c>
      <c r="B20" s="4" t="s">
        <v>68</v>
      </c>
      <c r="C20" s="4" t="s">
        <v>69</v>
      </c>
      <c r="AD20" s="4" t="s">
        <v>65</v>
      </c>
      <c r="BI20" s="4" t="s">
        <v>65</v>
      </c>
      <c r="BJ20" s="4" t="s">
        <v>65</v>
      </c>
      <c r="BK20" s="4" t="s">
        <v>65</v>
      </c>
      <c r="BL20" s="4" t="s">
        <v>65</v>
      </c>
      <c r="BM20" s="4" t="s">
        <v>65</v>
      </c>
      <c r="BN20" s="4" t="s">
        <v>65</v>
      </c>
    </row>
    <row r="21" hidden="1">
      <c r="A21" s="3">
        <v>45408.55968810185</v>
      </c>
      <c r="B21" s="4" t="s">
        <v>71</v>
      </c>
      <c r="C21" s="4" t="s">
        <v>72</v>
      </c>
      <c r="AU21" s="4" t="s">
        <v>65</v>
      </c>
      <c r="BT21" s="4" t="s">
        <v>86</v>
      </c>
      <c r="BU21" s="4" t="s">
        <v>86</v>
      </c>
      <c r="BW21" s="4" t="s">
        <v>65</v>
      </c>
    </row>
    <row r="22" hidden="1">
      <c r="A22" s="3">
        <v>45408.77963564815</v>
      </c>
      <c r="B22" s="4" t="s">
        <v>97</v>
      </c>
      <c r="C22" s="4" t="s">
        <v>98</v>
      </c>
      <c r="H22" s="4" t="s">
        <v>65</v>
      </c>
      <c r="I22" s="4" t="s">
        <v>65</v>
      </c>
      <c r="J22" s="4" t="s">
        <v>65</v>
      </c>
    </row>
    <row r="23" hidden="1">
      <c r="A23" s="3">
        <v>45408.94498758102</v>
      </c>
      <c r="B23" s="4" t="s">
        <v>89</v>
      </c>
      <c r="C23" s="4" t="s">
        <v>99</v>
      </c>
      <c r="V23" s="4" t="s">
        <v>65</v>
      </c>
    </row>
    <row r="24">
      <c r="A24" s="3">
        <v>45432.463287754625</v>
      </c>
      <c r="B24" s="4" t="s">
        <v>78</v>
      </c>
      <c r="C24" s="4" t="s">
        <v>79</v>
      </c>
      <c r="D24" s="4" t="s">
        <v>65</v>
      </c>
      <c r="F24" s="4" t="s">
        <v>65</v>
      </c>
      <c r="L24" s="4" t="s">
        <v>65</v>
      </c>
      <c r="O24" s="4" t="s">
        <v>65</v>
      </c>
      <c r="S24" s="4" t="s">
        <v>65</v>
      </c>
      <c r="AO24" s="4" t="s">
        <v>65</v>
      </c>
      <c r="BA24" s="4" t="s">
        <v>65</v>
      </c>
      <c r="CC24" s="4" t="s">
        <v>65</v>
      </c>
    </row>
    <row r="25">
      <c r="A25" s="3">
        <v>45432.46395260417</v>
      </c>
      <c r="B25" s="4" t="s">
        <v>71</v>
      </c>
      <c r="C25" s="4" t="s">
        <v>72</v>
      </c>
      <c r="AU25" s="4" t="s">
        <v>65</v>
      </c>
      <c r="BT25" s="4" t="s">
        <v>86</v>
      </c>
      <c r="BU25" s="4" t="s">
        <v>86</v>
      </c>
      <c r="BW25" s="4" t="s">
        <v>75</v>
      </c>
    </row>
    <row r="26">
      <c r="A26" s="3">
        <v>45432.464014513884</v>
      </c>
      <c r="B26" s="4" t="s">
        <v>100</v>
      </c>
      <c r="C26" s="4" t="s">
        <v>101</v>
      </c>
      <c r="BY26" s="4" t="s">
        <v>65</v>
      </c>
    </row>
    <row r="27">
      <c r="A27" s="3">
        <v>45432.49157460648</v>
      </c>
      <c r="B27" s="4" t="s">
        <v>89</v>
      </c>
      <c r="C27" s="4" t="s">
        <v>99</v>
      </c>
      <c r="V27" s="4" t="s">
        <v>75</v>
      </c>
    </row>
    <row r="28">
      <c r="A28" s="3">
        <v>45432.5816212037</v>
      </c>
      <c r="B28" s="4" t="s">
        <v>66</v>
      </c>
      <c r="C28" s="4" t="s">
        <v>67</v>
      </c>
      <c r="AZ28" s="4" t="s">
        <v>65</v>
      </c>
    </row>
    <row r="29">
      <c r="A29" s="3">
        <v>45432.608019629624</v>
      </c>
      <c r="B29" s="4" t="s">
        <v>76</v>
      </c>
      <c r="C29" s="4" t="s">
        <v>77</v>
      </c>
      <c r="CB29" s="4" t="s">
        <v>65</v>
      </c>
    </row>
    <row r="30">
      <c r="A30" s="3">
        <v>45433.58347034722</v>
      </c>
      <c r="B30" s="4" t="s">
        <v>95</v>
      </c>
      <c r="C30" s="4" t="s">
        <v>96</v>
      </c>
      <c r="BD30" s="4" t="s">
        <v>75</v>
      </c>
    </row>
    <row r="31">
      <c r="A31" s="3">
        <v>45433.583472858794</v>
      </c>
      <c r="B31" s="4" t="s">
        <v>82</v>
      </c>
      <c r="C31" s="4" t="s">
        <v>83</v>
      </c>
      <c r="AA31" s="4" t="s">
        <v>65</v>
      </c>
      <c r="AB31" s="4" t="s">
        <v>65</v>
      </c>
      <c r="BX31" s="4" t="s">
        <v>65</v>
      </c>
    </row>
    <row r="32">
      <c r="A32" s="3">
        <v>45433.594807245376</v>
      </c>
      <c r="B32" s="4" t="s">
        <v>68</v>
      </c>
      <c r="C32" s="4" t="s">
        <v>69</v>
      </c>
      <c r="AD32" s="4" t="s">
        <v>65</v>
      </c>
      <c r="BI32" s="4" t="s">
        <v>65</v>
      </c>
      <c r="BJ32" s="4" t="s">
        <v>65</v>
      </c>
      <c r="BK32" s="4" t="s">
        <v>65</v>
      </c>
      <c r="BL32" s="4" t="s">
        <v>65</v>
      </c>
      <c r="BM32" s="4" t="s">
        <v>65</v>
      </c>
      <c r="BN32" s="4" t="s">
        <v>65</v>
      </c>
    </row>
    <row r="33">
      <c r="A33" s="3">
        <v>45433.59642991898</v>
      </c>
      <c r="B33" s="4" t="s">
        <v>80</v>
      </c>
      <c r="C33" s="4" t="s">
        <v>81</v>
      </c>
      <c r="G33" s="4" t="s">
        <v>75</v>
      </c>
    </row>
    <row r="34">
      <c r="A34" s="3">
        <v>45433.597489074076</v>
      </c>
      <c r="B34" s="4" t="s">
        <v>102</v>
      </c>
      <c r="C34" s="4" t="s">
        <v>90</v>
      </c>
      <c r="AK34" s="4" t="s">
        <v>75</v>
      </c>
      <c r="BO34" s="4" t="s">
        <v>75</v>
      </c>
      <c r="BQ34" s="4" t="s">
        <v>86</v>
      </c>
    </row>
    <row r="35">
      <c r="A35" s="3">
        <v>45433.597816134265</v>
      </c>
      <c r="B35" s="4" t="s">
        <v>93</v>
      </c>
      <c r="C35" s="4" t="s">
        <v>94</v>
      </c>
      <c r="W35" s="4" t="s">
        <v>65</v>
      </c>
      <c r="BG35" s="4" t="s">
        <v>65</v>
      </c>
    </row>
    <row r="36">
      <c r="A36" s="3">
        <v>45433.59835813657</v>
      </c>
      <c r="B36" s="4" t="s">
        <v>63</v>
      </c>
      <c r="C36" s="4" t="s">
        <v>64</v>
      </c>
      <c r="AY36" s="4" t="s">
        <v>65</v>
      </c>
    </row>
    <row r="37">
      <c r="A37" s="3">
        <v>45433.64501086806</v>
      </c>
      <c r="B37" s="4" t="s">
        <v>73</v>
      </c>
      <c r="C37" s="4" t="s">
        <v>74</v>
      </c>
      <c r="K37" s="4" t="s">
        <v>75</v>
      </c>
      <c r="T37" s="4" t="s">
        <v>75</v>
      </c>
      <c r="BZ37" s="4" t="s">
        <v>86</v>
      </c>
    </row>
    <row r="38">
      <c r="A38" s="3">
        <v>45433.649948969905</v>
      </c>
      <c r="B38" s="4" t="s">
        <v>97</v>
      </c>
      <c r="C38" s="4" t="s">
        <v>98</v>
      </c>
      <c r="H38" s="4" t="s">
        <v>65</v>
      </c>
      <c r="I38" s="4" t="s">
        <v>65</v>
      </c>
      <c r="J38" s="4" t="s">
        <v>65</v>
      </c>
    </row>
    <row r="39">
      <c r="A39" s="3">
        <v>45433.68150578704</v>
      </c>
      <c r="B39" s="4" t="s">
        <v>87</v>
      </c>
      <c r="C39" s="4" t="s">
        <v>88</v>
      </c>
      <c r="AR39" s="4" t="s">
        <v>65</v>
      </c>
      <c r="BR39" s="4" t="s">
        <v>65</v>
      </c>
      <c r="BS39" s="4" t="s">
        <v>70</v>
      </c>
    </row>
    <row r="40">
      <c r="A40" s="3">
        <v>45434.458417905094</v>
      </c>
      <c r="B40" s="4" t="s">
        <v>84</v>
      </c>
      <c r="C40" s="4" t="s">
        <v>85</v>
      </c>
      <c r="AQ40" s="4" t="s">
        <v>70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8.5"/>
    <col customWidth="1" min="3" max="3" width="46.88"/>
    <col customWidth="1" min="4" max="4" width="16.88"/>
    <col customWidth="1" min="5" max="5" width="18.25"/>
    <col customWidth="1" min="6" max="6" width="13.88"/>
    <col hidden="1" min="9" max="9" width="12.63"/>
    <col customWidth="1" hidden="1" min="10" max="10" width="15.13"/>
    <col customWidth="1" hidden="1" min="11" max="11" width="15.38"/>
    <col customWidth="1" hidden="1" min="12" max="12" width="13.25"/>
    <col customWidth="1" min="13" max="13" width="65.63"/>
    <col customWidth="1" hidden="1" min="14" max="14" width="14.63"/>
    <col hidden="1" min="15" max="18" width="12.63"/>
    <col customWidth="1" hidden="1" min="19" max="19" width="13.88"/>
    <col hidden="1" min="20" max="20" width="12.63"/>
  </cols>
  <sheetData>
    <row r="1">
      <c r="A1" s="6" t="str">
        <f>IFERROR(__xludf.DUMMYFUNCTION("importrange(""https://docs.google.com/spreadsheets/d/11O2z75LZmys-9Ot4FDphHpNnSPSC8enG7LorWizx81s/edit#gid=1725745759"",""Project Sheet!a2:b1000"")"),"Sr.No")</f>
        <v>Sr.No</v>
      </c>
      <c r="B1" s="7" t="str">
        <f>IFERROR(__xludf.DUMMYFUNCTION("""COMPUTED_VALUE"""),"Customer Name")</f>
        <v>Customer Name</v>
      </c>
      <c r="C1" s="8" t="str">
        <f>IFERROR(__xludf.DUMMYFUNCTION("importrange(""https://docs.google.com/spreadsheets/d/11O2z75LZmys-9Ot4FDphHpNnSPSC8enG7LorWizx81s/edit#gid=1725745759"",""Project Sheet!e2:e1000"")"),"Project Name As Per EOS form")</f>
        <v>Project Name As Per EOS form</v>
      </c>
      <c r="D1" s="7" t="str">
        <f>IFERROR(__xludf.DUMMYFUNCTION("importrange(""https://docs.google.com/spreadsheets/d/11O2z75LZmys-9Ot4FDphHpNnSPSC8enG7LorWizx81s/edit#gid=1725745759"",""Project Sheet!h2:h1000"")"),"Project Manager")</f>
        <v>Project Manager</v>
      </c>
      <c r="E1" s="9" t="s">
        <v>103</v>
      </c>
      <c r="F1" s="9" t="s">
        <v>104</v>
      </c>
      <c r="G1" s="7" t="s">
        <v>105</v>
      </c>
      <c r="H1" s="9" t="s">
        <v>106</v>
      </c>
      <c r="I1" s="7" t="str">
        <f>IFERROR(__xludf.DUMMYFUNCTION("importrange(""https://docs.google.com/spreadsheets/d/11O2z75LZmys-9Ot4FDphHpNnSPSC8enG7LorWizx81s/edit#gid=1725745759"",""Project Sheet!l2:p1000"")"),"PO 
Amount 
(in Lac's) 
(w/o GST)")</f>
        <v>PO 
Amount 
(in Lac's) 
(w/o GST)</v>
      </c>
      <c r="J1" s="7" t="str">
        <f>IFERROR(__xludf.DUMMYFUNCTION("""COMPUTED_VALUE"""),"Total 
Expenses 
Incurred 
(including 40% 
overhead)")</f>
        <v>Total 
Expenses 
Incurred 
(including 40% 
overhead)</v>
      </c>
      <c r="K1" s="7" t="str">
        <f>IFERROR(__xludf.DUMMYFUNCTION("""COMPUTED_VALUE"""),"Mar'24 
Expenses 
Incurred 
(including 40% 
overhead)")</f>
        <v>Mar'24 
Expenses 
Incurred 
(including 40% 
overhead)</v>
      </c>
      <c r="L1" s="7" t="str">
        <f>IFERROR(__xludf.DUMMYFUNCTION("""COMPUTED_VALUE"""),"Profit")</f>
        <v>Profit</v>
      </c>
      <c r="M1" s="10" t="str">
        <f>IFERROR(__xludf.DUMMYFUNCTION("""COMPUTED_VALUE"""),"Project Description")</f>
        <v>Project Description</v>
      </c>
      <c r="N1" s="10" t="s">
        <v>107</v>
      </c>
      <c r="O1" s="7" t="s">
        <v>108</v>
      </c>
      <c r="P1" s="11" t="str">
        <f>IFERROR(__xludf.DUMMYFUNCTION("importrange(""https://docs.google.com/spreadsheets/d/11O2z75LZmys-9Ot4FDphHpNnSPSC8enG7LorWizx81s/edit#gid=1725745759"",""Project Sheet!r2:r1000"")"),"Domain")</f>
        <v>Domain</v>
      </c>
      <c r="Q1" s="12" t="s">
        <v>109</v>
      </c>
      <c r="R1" s="12" t="s">
        <v>110</v>
      </c>
      <c r="S1" s="12" t="s">
        <v>111</v>
      </c>
      <c r="T1" s="9" t="s">
        <v>112</v>
      </c>
    </row>
    <row r="2">
      <c r="A2" s="13">
        <f>IFERROR(__xludf.DUMMYFUNCTION("""COMPUTED_VALUE"""),1.0)</f>
        <v>1</v>
      </c>
      <c r="B2" s="13" t="str">
        <f>IFERROR(__xludf.DUMMYFUNCTION("""COMPUTED_VALUE"""),"ITI")</f>
        <v>ITI</v>
      </c>
      <c r="C2" s="14" t="str">
        <f>IFERROR(__xludf.DUMMYFUNCTION("""COMPUTED_VALUE"""),"ITI_HCRR_052")</f>
        <v>ITI_HCRR_052</v>
      </c>
      <c r="D2" s="13" t="str">
        <f>IFERROR(__xludf.DUMMYFUNCTION("""COMPUTED_VALUE"""),"Mohammad Rafi")</f>
        <v>Mohammad Rafi</v>
      </c>
      <c r="E2" s="15" t="s">
        <v>75</v>
      </c>
      <c r="F2" s="15" t="s">
        <v>75</v>
      </c>
      <c r="G2" s="16">
        <v>0.4</v>
      </c>
      <c r="H2" s="13"/>
      <c r="I2" s="17" t="str">
        <f>IFERROR(__xludf.DUMMYFUNCTION("""COMPUTED_VALUE"""),"#N/A")</f>
        <v>#N/A</v>
      </c>
      <c r="J2" s="18">
        <f>IFERROR(__xludf.DUMMYFUNCTION("""COMPUTED_VALUE"""),619.0)</f>
        <v>619</v>
      </c>
      <c r="K2" s="19">
        <f>IFERROR(__xludf.DUMMYFUNCTION("""COMPUTED_VALUE"""),0.0)</f>
        <v>0</v>
      </c>
      <c r="L2" s="20" t="str">
        <f>IFERROR(__xludf.DUMMYFUNCTION("""COMPUTED_VALUE"""),"#N/A")</f>
        <v>#N/A</v>
      </c>
      <c r="M2" s="21" t="str">
        <f>IFERROR(__xludf.DUMMYFUNCTION("""COMPUTED_VALUE"""),"Development of High Capacity Radio Relay operating in 4.4G to 5G band")</f>
        <v>Development of High Capacity Radio Relay operating in 4.4G to 5G band</v>
      </c>
      <c r="N2" s="21" t="str">
        <f t="shared" ref="N2:N91" si="1">G2*I2</f>
        <v>#N/A</v>
      </c>
      <c r="O2" s="22" t="str">
        <f t="shared" ref="O2:O91" si="2">N2-J2</f>
        <v>#N/A</v>
      </c>
      <c r="P2" s="22" t="str">
        <f>IFERROR(__xludf.DUMMYFUNCTION("""COMPUTED_VALUE"""),"ITI")</f>
        <v>ITI</v>
      </c>
      <c r="Q2" s="23" t="s">
        <v>113</v>
      </c>
      <c r="R2" s="23" t="s">
        <v>114</v>
      </c>
      <c r="S2" s="23" t="s">
        <v>113</v>
      </c>
      <c r="T2" s="24"/>
    </row>
    <row r="3">
      <c r="A3" s="13">
        <f>IFERROR(__xludf.DUMMYFUNCTION("""COMPUTED_VALUE"""),2.0)</f>
        <v>2</v>
      </c>
      <c r="B3" s="13" t="str">
        <f>IFERROR(__xludf.DUMMYFUNCTION("""COMPUTED_VALUE"""),"KEYSIGHT")</f>
        <v>KEYSIGHT</v>
      </c>
      <c r="C3" s="14" t="str">
        <f>IFERROR(__xludf.DUMMYFUNCTION("""COMPUTED_VALUE"""),"Keysight_LOKI_PCIe_Gen6_LTSSM_085")</f>
        <v>Keysight_LOKI_PCIe_Gen6_LTSSM_085</v>
      </c>
      <c r="D3" s="13" t="str">
        <f>IFERROR(__xludf.DUMMYFUNCTION("""COMPUTED_VALUE"""),"Deepak Goyal")</f>
        <v>Deepak Goyal</v>
      </c>
      <c r="E3" s="25" t="s">
        <v>86</v>
      </c>
      <c r="F3" s="25" t="s">
        <v>86</v>
      </c>
      <c r="G3" s="26">
        <v>1.0</v>
      </c>
      <c r="H3" s="13"/>
      <c r="I3" s="17">
        <f>IFERROR(__xludf.DUMMYFUNCTION("""COMPUTED_VALUE"""),1019.0)</f>
        <v>1019</v>
      </c>
      <c r="J3" s="18">
        <f>IFERROR(__xludf.DUMMYFUNCTION("""COMPUTED_VALUE"""),434.0)</f>
        <v>434</v>
      </c>
      <c r="K3" s="19">
        <f>IFERROR(__xludf.DUMMYFUNCTION("""COMPUTED_VALUE"""),21.09461)</f>
        <v>21.09461</v>
      </c>
      <c r="L3" s="20" t="str">
        <f>IFERROR(__xludf.DUMMYFUNCTION("""COMPUTED_VALUE"""),"#VALUE!")</f>
        <v>#VALUE!</v>
      </c>
      <c r="M3" s="27" t="str">
        <f>IFERROR(__xludf.DUMMYFUNCTION("""COMPUTED_VALUE""")," Support for LOKI / THOR PCIe Gen6 LTSSM and LOKI / THOR USB LTSSM ")</f>
        <v>Support for LOKI / THOR PCIe Gen6 LTSSM and LOKI / THOR USB LTSSM</v>
      </c>
      <c r="N3" s="21">
        <f t="shared" si="1"/>
        <v>1019</v>
      </c>
      <c r="O3" s="22">
        <f t="shared" si="2"/>
        <v>585</v>
      </c>
      <c r="P3" s="22" t="str">
        <f>IFERROR(__xludf.DUMMYFUNCTION("""COMPUTED_VALUE"""),"BERT")</f>
        <v>BERT</v>
      </c>
      <c r="Q3" s="28">
        <v>0.0</v>
      </c>
      <c r="R3" s="29" t="s">
        <v>115</v>
      </c>
      <c r="S3" s="28">
        <v>0.0</v>
      </c>
      <c r="T3" s="24"/>
    </row>
    <row r="4">
      <c r="A4" s="13">
        <f>IFERROR(__xludf.DUMMYFUNCTION("""COMPUTED_VALUE"""),3.0)</f>
        <v>3</v>
      </c>
      <c r="B4" s="13" t="str">
        <f>IFERROR(__xludf.DUMMYFUNCTION("""COMPUTED_VALUE"""),"IPRC-LAB")</f>
        <v>IPRC-LAB</v>
      </c>
      <c r="C4" s="14" t="str">
        <f>IFERROR(__xludf.DUMMYFUNCTION("""COMPUTED_VALUE"""),"IPRC_Lab_Data_Acquisition_System_031")</f>
        <v>IPRC_Lab_Data_Acquisition_System_031</v>
      </c>
      <c r="D4" s="13" t="str">
        <f>IFERROR(__xludf.DUMMYFUNCTION("""COMPUTED_VALUE"""),"Mohammad Rafi")</f>
        <v>Mohammad Rafi</v>
      </c>
      <c r="E4" s="15" t="s">
        <v>75</v>
      </c>
      <c r="F4" s="15" t="s">
        <v>75</v>
      </c>
      <c r="G4" s="26">
        <v>0.9</v>
      </c>
      <c r="H4" s="13"/>
      <c r="I4" s="17" t="str">
        <f>IFERROR(__xludf.DUMMYFUNCTION("""COMPUTED_VALUE"""),"#N/A")</f>
        <v>#N/A</v>
      </c>
      <c r="J4" s="18">
        <f>IFERROR(__xludf.DUMMYFUNCTION("""COMPUTED_VALUE"""),767.0)</f>
        <v>767</v>
      </c>
      <c r="K4" s="19">
        <f>IFERROR(__xludf.DUMMYFUNCTION("""COMPUTED_VALUE"""),4.673703)</f>
        <v>4.673703</v>
      </c>
      <c r="L4" s="20" t="str">
        <f>IFERROR(__xludf.DUMMYFUNCTION("""COMPUTED_VALUE"""),"#N/A")</f>
        <v>#N/A</v>
      </c>
      <c r="M4" s="27" t="str">
        <f>IFERROR(__xludf.DUMMYFUNCTION("""COMPUTED_VALUE""")," Development of Data Acquisition system for the IPRC LB ")</f>
        <v>Development of Data Acquisition system for the IPRC LB</v>
      </c>
      <c r="N4" s="21" t="str">
        <f t="shared" si="1"/>
        <v>#N/A</v>
      </c>
      <c r="O4" s="22" t="str">
        <f t="shared" si="2"/>
        <v>#N/A</v>
      </c>
      <c r="P4" s="22" t="str">
        <f>IFERROR(__xludf.DUMMYFUNCTION("""COMPUTED_VALUE"""),"IPRC")</f>
        <v>IPRC</v>
      </c>
      <c r="Q4" s="23" t="s">
        <v>113</v>
      </c>
      <c r="R4" s="23" t="s">
        <v>113</v>
      </c>
      <c r="S4" s="23" t="s">
        <v>114</v>
      </c>
      <c r="T4" s="24"/>
    </row>
    <row r="5">
      <c r="A5" s="13">
        <f>IFERROR(__xludf.DUMMYFUNCTION("""COMPUTED_VALUE"""),4.0)</f>
        <v>4</v>
      </c>
      <c r="B5" s="13" t="str">
        <f>IFERROR(__xludf.DUMMYFUNCTION("""COMPUTED_VALUE"""),"ITI")</f>
        <v>ITI</v>
      </c>
      <c r="C5" s="14" t="str">
        <f>IFERROR(__xludf.DUMMYFUNCTION("""COMPUTED_VALUE"""),"ITI_ISS_Version2_090")</f>
        <v>ITI_ISS_Version2_090</v>
      </c>
      <c r="D5" s="13" t="str">
        <f>IFERROR(__xludf.DUMMYFUNCTION("""COMPUTED_VALUE"""),"Raghavan T V")</f>
        <v>Raghavan T V</v>
      </c>
      <c r="E5" s="25" t="s">
        <v>65</v>
      </c>
      <c r="F5" s="15" t="s">
        <v>65</v>
      </c>
      <c r="G5" s="26">
        <v>0.5</v>
      </c>
      <c r="H5" s="13"/>
      <c r="I5" s="17" t="str">
        <f>IFERROR(__xludf.DUMMYFUNCTION("""COMPUTED_VALUE"""),"#N/A")</f>
        <v>#N/A</v>
      </c>
      <c r="J5" s="18">
        <f>IFERROR(__xludf.DUMMYFUNCTION("""COMPUTED_VALUE"""),167.0)</f>
        <v>167</v>
      </c>
      <c r="K5" s="19">
        <f>IFERROR(__xludf.DUMMYFUNCTION("""COMPUTED_VALUE"""),16.16656)</f>
        <v>16.16656</v>
      </c>
      <c r="L5" s="20" t="str">
        <f>IFERROR(__xludf.DUMMYFUNCTION("""COMPUTED_VALUE"""),"#N/A")</f>
        <v>#N/A</v>
      </c>
      <c r="M5" s="27" t="str">
        <f>IFERROR(__xludf.DUMMYFUNCTION("""COMPUTED_VALUE""")," Development of Multipost Integrated Selection System(MPISS) ")</f>
        <v>Development of Multipost Integrated Selection System(MPISS)</v>
      </c>
      <c r="N5" s="21" t="str">
        <f t="shared" si="1"/>
        <v>#N/A</v>
      </c>
      <c r="O5" s="22" t="str">
        <f t="shared" si="2"/>
        <v>#N/A</v>
      </c>
      <c r="P5" s="22" t="str">
        <f>IFERROR(__xludf.DUMMYFUNCTION("""COMPUTED_VALUE"""),"ITI")</f>
        <v>ITI</v>
      </c>
      <c r="Q5" s="29" t="s">
        <v>116</v>
      </c>
      <c r="R5" s="28">
        <v>0.0</v>
      </c>
      <c r="S5" s="29" t="s">
        <v>116</v>
      </c>
      <c r="T5" s="24"/>
    </row>
    <row r="6">
      <c r="A6" s="13">
        <f>IFERROR(__xludf.DUMMYFUNCTION("""COMPUTED_VALUE"""),5.0)</f>
        <v>5</v>
      </c>
      <c r="B6" s="13" t="str">
        <f>IFERROR(__xludf.DUMMYFUNCTION("""COMPUTED_VALUE"""),"ITI")</f>
        <v>ITI</v>
      </c>
      <c r="C6" s="14" t="str">
        <f>IFERROR(__xludf.DUMMYFUNCTION("""COMPUTED_VALUE"""),"ITI_Radio_Modem_022 ")</f>
        <v>ITI_Radio_Modem_022 </v>
      </c>
      <c r="D6" s="13" t="str">
        <f>IFERROR(__xludf.DUMMYFUNCTION("""COMPUTED_VALUE"""),"Sonu Sonkar")</f>
        <v>Sonu Sonkar</v>
      </c>
      <c r="E6" s="15" t="s">
        <v>70</v>
      </c>
      <c r="F6" s="15" t="s">
        <v>70</v>
      </c>
      <c r="G6" s="26">
        <v>1.0</v>
      </c>
      <c r="H6" s="13"/>
      <c r="I6" s="17">
        <f>IFERROR(__xludf.DUMMYFUNCTION("""COMPUTED_VALUE"""),546.0)</f>
        <v>546</v>
      </c>
      <c r="J6" s="18">
        <f>IFERROR(__xludf.DUMMYFUNCTION("""COMPUTED_VALUE"""),929.0)</f>
        <v>929</v>
      </c>
      <c r="K6" s="19">
        <f>IFERROR(__xludf.DUMMYFUNCTION("""COMPUTED_VALUE"""),0.0)</f>
        <v>0</v>
      </c>
      <c r="L6" s="20" t="str">
        <f>IFERROR(__xludf.DUMMYFUNCTION("""COMPUTED_VALUE"""),"#VALUE!")</f>
        <v>#VALUE!</v>
      </c>
      <c r="M6" s="27" t="str">
        <f>IFERROR(__xludf.DUMMYFUNCTION("""COMPUTED_VALUE""")," Point to point wireless data communication device based on 802.11n ")</f>
        <v>Point to point wireless data communication device based on 802.11n</v>
      </c>
      <c r="N6" s="21">
        <f t="shared" si="1"/>
        <v>546</v>
      </c>
      <c r="O6" s="22">
        <f t="shared" si="2"/>
        <v>-383</v>
      </c>
      <c r="P6" s="22" t="str">
        <f>IFERROR(__xludf.DUMMYFUNCTION("""COMPUTED_VALUE"""),"ITI")</f>
        <v>ITI</v>
      </c>
      <c r="Q6" s="29" t="s">
        <v>113</v>
      </c>
      <c r="R6" s="29" t="s">
        <v>117</v>
      </c>
      <c r="S6" s="29" t="s">
        <v>118</v>
      </c>
      <c r="T6" s="24"/>
    </row>
    <row r="7">
      <c r="A7" s="13">
        <f>IFERROR(__xludf.DUMMYFUNCTION("""COMPUTED_VALUE"""),6.0)</f>
        <v>6</v>
      </c>
      <c r="B7" s="13" t="str">
        <f>IFERROR(__xludf.DUMMYFUNCTION("""COMPUTED_VALUE"""),"IDEX LAB")</f>
        <v>IDEX LAB</v>
      </c>
      <c r="C7" s="14" t="str">
        <f>IFERROR(__xludf.DUMMYFUNCTION("""COMPUTED_VALUE"""),"IDEX_Secure_USB_069")</f>
        <v>IDEX_Secure_USB_069</v>
      </c>
      <c r="D7" s="13" t="str">
        <f>IFERROR(__xludf.DUMMYFUNCTION("""COMPUTED_VALUE"""),"Deepak Goyal")</f>
        <v>Deepak Goyal</v>
      </c>
      <c r="E7" s="15" t="s">
        <v>70</v>
      </c>
      <c r="F7" s="15" t="s">
        <v>70</v>
      </c>
      <c r="G7" s="26">
        <v>1.0</v>
      </c>
      <c r="H7" s="13"/>
      <c r="I7" s="17">
        <f>IFERROR(__xludf.DUMMYFUNCTION("""COMPUTED_VALUE"""),41.0)</f>
        <v>41</v>
      </c>
      <c r="J7" s="18">
        <f>IFERROR(__xludf.DUMMYFUNCTION("""COMPUTED_VALUE"""),212.0)</f>
        <v>212</v>
      </c>
      <c r="K7" s="19">
        <f>IFERROR(__xludf.DUMMYFUNCTION("""COMPUTED_VALUE"""),0.0)</f>
        <v>0</v>
      </c>
      <c r="L7" s="20" t="str">
        <f>IFERROR(__xludf.DUMMYFUNCTION("""COMPUTED_VALUE"""),"#VALUE!")</f>
        <v>#VALUE!</v>
      </c>
      <c r="M7" s="27" t="str">
        <f>IFERROR(__xludf.DUMMYFUNCTION("""COMPUTED_VALUE""")," Development of system for Encryption / decryption of USB 3.0 mass storage device ")</f>
        <v>Development of system for Encryption / decryption of USB 3.0 mass storage device</v>
      </c>
      <c r="N7" s="21">
        <f t="shared" si="1"/>
        <v>41</v>
      </c>
      <c r="O7" s="22">
        <f t="shared" si="2"/>
        <v>-171</v>
      </c>
      <c r="P7" s="22" t="str">
        <f>IFERROR(__xludf.DUMMYFUNCTION("""COMPUTED_VALUE"""),"IDEX")</f>
        <v>IDEX</v>
      </c>
      <c r="Q7" s="28">
        <v>0.0</v>
      </c>
      <c r="R7" s="29" t="s">
        <v>119</v>
      </c>
      <c r="S7" s="29" t="s">
        <v>118</v>
      </c>
      <c r="T7" s="24"/>
    </row>
    <row r="8">
      <c r="A8" s="13">
        <f>IFERROR(__xludf.DUMMYFUNCTION("""COMPUTED_VALUE"""),7.0)</f>
        <v>7</v>
      </c>
      <c r="B8" s="13" t="str">
        <f>IFERROR(__xludf.DUMMYFUNCTION("""COMPUTED_VALUE"""),"MENTOR GRAPHICS")</f>
        <v>MENTOR GRAPHICS</v>
      </c>
      <c r="C8" s="14" t="str">
        <f>IFERROR(__xludf.DUMMYFUNCTION("""COMPUTED_VALUE"""),"Mentor_Graphics_5G_SignalAnalysis_073")</f>
        <v>Mentor_Graphics_5G_SignalAnalysis_073</v>
      </c>
      <c r="D8" s="13" t="str">
        <f>IFERROR(__xludf.DUMMYFUNCTION("""COMPUTED_VALUE"""),"Sonu Sonkar")</f>
        <v>Sonu Sonkar</v>
      </c>
      <c r="E8" s="15" t="s">
        <v>70</v>
      </c>
      <c r="F8" s="15" t="s">
        <v>70</v>
      </c>
      <c r="G8" s="26">
        <v>1.0</v>
      </c>
      <c r="H8" s="13"/>
      <c r="I8" s="17">
        <f>IFERROR(__xludf.DUMMYFUNCTION("""COMPUTED_VALUE"""),1608.0)</f>
        <v>1608</v>
      </c>
      <c r="J8" s="18">
        <f>IFERROR(__xludf.DUMMYFUNCTION("""COMPUTED_VALUE"""),687.0)</f>
        <v>687</v>
      </c>
      <c r="K8" s="19">
        <f>IFERROR(__xludf.DUMMYFUNCTION("""COMPUTED_VALUE"""),0.0)</f>
        <v>0</v>
      </c>
      <c r="L8" s="20" t="str">
        <f>IFERROR(__xludf.DUMMYFUNCTION("""COMPUTED_VALUE"""),"#VALUE!")</f>
        <v>#VALUE!</v>
      </c>
      <c r="M8" s="27" t="str">
        <f>IFERROR(__xludf.DUMMYFUNCTION("""COMPUTED_VALUE""")," Software library for 5G ORAN signal generation and analysis  ")</f>
        <v>Software library for 5G ORAN signal generation and analysis </v>
      </c>
      <c r="N8" s="21">
        <f t="shared" si="1"/>
        <v>1608</v>
      </c>
      <c r="O8" s="22">
        <f t="shared" si="2"/>
        <v>921</v>
      </c>
      <c r="P8" s="22" t="str">
        <f>IFERROR(__xludf.DUMMYFUNCTION("""COMPUTED_VALUE"""),"MentorG")</f>
        <v>MentorG</v>
      </c>
      <c r="Q8" s="29" t="s">
        <v>115</v>
      </c>
      <c r="R8" s="28">
        <v>0.0</v>
      </c>
      <c r="S8" s="28">
        <v>0.0</v>
      </c>
      <c r="T8" s="24"/>
    </row>
    <row r="9">
      <c r="A9" s="13">
        <f>IFERROR(__xludf.DUMMYFUNCTION("""COMPUTED_VALUE"""),8.0)</f>
        <v>8</v>
      </c>
      <c r="B9" s="13" t="str">
        <f>IFERROR(__xludf.DUMMYFUNCTION("""COMPUTED_VALUE"""),"MENTOR GRAPHICS")</f>
        <v>MENTOR GRAPHICS</v>
      </c>
      <c r="C9" s="14" t="str">
        <f>IFERROR(__xludf.DUMMYFUNCTION("""COMPUTED_VALUE"""),"Mentor_Graphics_PCIe_Gen6_TL_Design_103")</f>
        <v>Mentor_Graphics_PCIe_Gen6_TL_Design_103</v>
      </c>
      <c r="D9" s="13" t="str">
        <f>IFERROR(__xludf.DUMMYFUNCTION("""COMPUTED_VALUE"""),"Vineet Goel")</f>
        <v>Vineet Goel</v>
      </c>
      <c r="E9" s="15" t="s">
        <v>70</v>
      </c>
      <c r="F9" s="15" t="s">
        <v>70</v>
      </c>
      <c r="G9" s="26">
        <v>1.0</v>
      </c>
      <c r="H9" s="13"/>
      <c r="I9" s="17">
        <f>IFERROR(__xludf.DUMMYFUNCTION("""COMPUTED_VALUE"""),19.0)</f>
        <v>19</v>
      </c>
      <c r="J9" s="18">
        <f>IFERROR(__xludf.DUMMYFUNCTION("""COMPUTED_VALUE"""),23.0)</f>
        <v>23</v>
      </c>
      <c r="K9" s="19">
        <f>IFERROR(__xludf.DUMMYFUNCTION("""COMPUTED_VALUE"""),0.0)</f>
        <v>0</v>
      </c>
      <c r="L9" s="20" t="str">
        <f>IFERROR(__xludf.DUMMYFUNCTION("""COMPUTED_VALUE"""),"#VALUE!")</f>
        <v>#VALUE!</v>
      </c>
      <c r="M9" s="27" t="str">
        <f>IFERROR(__xludf.DUMMYFUNCTION("""COMPUTED_VALUE""")," Development of PCIe Gen6 Transaction Layer RTL Code for Mentor Graphics Noida ")</f>
        <v>Development of PCIe Gen6 Transaction Layer RTL Code for Mentor Graphics Noida</v>
      </c>
      <c r="N9" s="21">
        <f t="shared" si="1"/>
        <v>19</v>
      </c>
      <c r="O9" s="22">
        <f t="shared" si="2"/>
        <v>-4</v>
      </c>
      <c r="P9" s="22" t="str">
        <f>IFERROR(__xludf.DUMMYFUNCTION("""COMPUTED_VALUE"""),"MentorG")</f>
        <v>MentorG</v>
      </c>
      <c r="Q9" s="28">
        <v>0.0</v>
      </c>
      <c r="R9" s="29" t="s">
        <v>115</v>
      </c>
      <c r="S9" s="28">
        <v>0.0</v>
      </c>
      <c r="T9" s="24"/>
    </row>
    <row r="10">
      <c r="A10" s="13">
        <f>IFERROR(__xludf.DUMMYFUNCTION("""COMPUTED_VALUE"""),9.0)</f>
        <v>9</v>
      </c>
      <c r="B10" s="13" t="str">
        <f>IFERROR(__xludf.DUMMYFUNCTION("""COMPUTED_VALUE"""),"SAC-LAB")</f>
        <v>SAC-LAB</v>
      </c>
      <c r="C10" s="14" t="str">
        <f>IFERROR(__xludf.DUMMYFUNCTION("""COMPUTED_VALUE"""),"SAC_CCD_Project(Repeat Order)_055 ")</f>
        <v>SAC_CCD_Project(Repeat Order)_055 </v>
      </c>
      <c r="D10" s="13" t="str">
        <f>IFERROR(__xludf.DUMMYFUNCTION("""COMPUTED_VALUE"""),"Vineet Goel")</f>
        <v>Vineet Goel</v>
      </c>
      <c r="E10" s="15" t="s">
        <v>70</v>
      </c>
      <c r="F10" s="15" t="s">
        <v>70</v>
      </c>
      <c r="G10" s="26">
        <v>1.0</v>
      </c>
      <c r="H10" s="13"/>
      <c r="I10" s="17">
        <f>IFERROR(__xludf.DUMMYFUNCTION("""COMPUTED_VALUE"""),94.0)</f>
        <v>94</v>
      </c>
      <c r="J10" s="18">
        <f>IFERROR(__xludf.DUMMYFUNCTION("""COMPUTED_VALUE"""),336.0)</f>
        <v>336</v>
      </c>
      <c r="K10" s="19">
        <f>IFERROR(__xludf.DUMMYFUNCTION("""COMPUTED_VALUE"""),0.0)</f>
        <v>0</v>
      </c>
      <c r="L10" s="20" t="str">
        <f>IFERROR(__xludf.DUMMYFUNCTION("""COMPUTED_VALUE"""),"#VALUE!")</f>
        <v>#VALUE!</v>
      </c>
      <c r="M10" s="27" t="str">
        <f>IFERROR(__xludf.DUMMYFUNCTION("""COMPUTED_VALUE""")," Development of Test Jig For testing CCD Sensor at SAC lab Ahemadabad ")</f>
        <v>Development of Test Jig For testing CCD Sensor at SAC lab Ahemadabad</v>
      </c>
      <c r="N10" s="21">
        <f t="shared" si="1"/>
        <v>94</v>
      </c>
      <c r="O10" s="22">
        <f t="shared" si="2"/>
        <v>-242</v>
      </c>
      <c r="P10" s="22" t="str">
        <f>IFERROR(__xludf.DUMMYFUNCTION("""COMPUTED_VALUE"""),"SAC-LAB")</f>
        <v>SAC-LAB</v>
      </c>
      <c r="Q10" s="29" t="s">
        <v>113</v>
      </c>
      <c r="R10" s="29" t="s">
        <v>113</v>
      </c>
      <c r="S10" s="29" t="s">
        <v>114</v>
      </c>
      <c r="T10" s="24"/>
    </row>
    <row r="11">
      <c r="A11" s="13">
        <f>IFERROR(__xludf.DUMMYFUNCTION("""COMPUTED_VALUE"""),10.0)</f>
        <v>10</v>
      </c>
      <c r="B11" s="13" t="str">
        <f>IFERROR(__xludf.DUMMYFUNCTION("""COMPUTED_VALUE"""),"SAC-LAB")</f>
        <v>SAC-LAB</v>
      </c>
      <c r="C11" s="14" t="str">
        <f>IFERROR(__xludf.DUMMYFUNCTION("""COMPUTED_VALUE"""),"SAC_CCD_Project(2nd version)_079 ")</f>
        <v>SAC_CCD_Project(2nd version)_079 </v>
      </c>
      <c r="D11" s="13" t="str">
        <f>IFERROR(__xludf.DUMMYFUNCTION("""COMPUTED_VALUE"""),"Vineet Goel")</f>
        <v>Vineet Goel</v>
      </c>
      <c r="E11" s="15" t="s">
        <v>70</v>
      </c>
      <c r="F11" s="15" t="s">
        <v>70</v>
      </c>
      <c r="G11" s="26">
        <v>1.0</v>
      </c>
      <c r="H11" s="13"/>
      <c r="I11" s="17">
        <f>IFERROR(__xludf.DUMMYFUNCTION("""COMPUTED_VALUE"""),310.0)</f>
        <v>310</v>
      </c>
      <c r="J11" s="18">
        <f>IFERROR(__xludf.DUMMYFUNCTION("""COMPUTED_VALUE"""),189.0)</f>
        <v>189</v>
      </c>
      <c r="K11" s="19">
        <f>IFERROR(__xludf.DUMMYFUNCTION("""COMPUTED_VALUE"""),0.0)</f>
        <v>0</v>
      </c>
      <c r="L11" s="20" t="str">
        <f>IFERROR(__xludf.DUMMYFUNCTION("""COMPUTED_VALUE"""),"#VALUE!")</f>
        <v>#VALUE!</v>
      </c>
      <c r="M11" s="27" t="str">
        <f>IFERROR(__xludf.DUMMYFUNCTION("""COMPUTED_VALUE""")," Development of Test Jig For testing New CCD Sensor at SAC lab Ahemadabad ")</f>
        <v>Development of Test Jig For testing New CCD Sensor at SAC lab Ahemadabad</v>
      </c>
      <c r="N11" s="21">
        <f t="shared" si="1"/>
        <v>310</v>
      </c>
      <c r="O11" s="22">
        <f t="shared" si="2"/>
        <v>121</v>
      </c>
      <c r="P11" s="22" t="str">
        <f>IFERROR(__xludf.DUMMYFUNCTION("""COMPUTED_VALUE"""),"SAC-LAB")</f>
        <v>SAC-LAB</v>
      </c>
      <c r="Q11" s="29" t="s">
        <v>113</v>
      </c>
      <c r="R11" s="29" t="s">
        <v>113</v>
      </c>
      <c r="S11" s="29" t="s">
        <v>114</v>
      </c>
      <c r="T11" s="24"/>
    </row>
    <row r="12">
      <c r="A12" s="13">
        <f>IFERROR(__xludf.DUMMYFUNCTION("""COMPUTED_VALUE"""),11.0)</f>
        <v>11</v>
      </c>
      <c r="B12" s="13" t="str">
        <f>IFERROR(__xludf.DUMMYFUNCTION("""COMPUTED_VALUE"""),"DEAL-LAB")</f>
        <v>DEAL-LAB</v>
      </c>
      <c r="C12" s="14" t="str">
        <f>IFERROR(__xludf.DUMMYFUNCTION("""COMPUTED_VALUE"""),"DEAL_Lab_RAS_084")</f>
        <v>DEAL_Lab_RAS_084</v>
      </c>
      <c r="D12" s="13" t="str">
        <f>IFERROR(__xludf.DUMMYFUNCTION("""COMPUTED_VALUE"""),"Sonu Sonkar")</f>
        <v>Sonu Sonkar</v>
      </c>
      <c r="E12" s="15" t="s">
        <v>70</v>
      </c>
      <c r="F12" s="15" t="s">
        <v>70</v>
      </c>
      <c r="G12" s="26">
        <v>1.0</v>
      </c>
      <c r="H12" s="13"/>
      <c r="I12" s="17">
        <f>IFERROR(__xludf.DUMMYFUNCTION("""COMPUTED_VALUE"""),73.0)</f>
        <v>73</v>
      </c>
      <c r="J12" s="18">
        <f>IFERROR(__xludf.DUMMYFUNCTION("""COMPUTED_VALUE"""),100.0)</f>
        <v>100</v>
      </c>
      <c r="K12" s="19">
        <f>IFERROR(__xludf.DUMMYFUNCTION("""COMPUTED_VALUE"""),0.0)</f>
        <v>0</v>
      </c>
      <c r="L12" s="20" t="str">
        <f>IFERROR(__xludf.DUMMYFUNCTION("""COMPUTED_VALUE"""),"#VALUE!")</f>
        <v>#VALUE!</v>
      </c>
      <c r="M12" s="27" t="str">
        <f>IFERROR(__xludf.DUMMYFUNCTION("""COMPUTED_VALUE""")," Radio application software for SDR proprietary nodes ")</f>
        <v>Radio application software for SDR proprietary nodes</v>
      </c>
      <c r="N12" s="21">
        <f t="shared" si="1"/>
        <v>73</v>
      </c>
      <c r="O12" s="22">
        <f t="shared" si="2"/>
        <v>-27</v>
      </c>
      <c r="P12" s="22" t="str">
        <f>IFERROR(__xludf.DUMMYFUNCTION("""COMPUTED_VALUE"""),"DEAL-LAB")</f>
        <v>DEAL-LAB</v>
      </c>
      <c r="Q12" s="29" t="s">
        <v>115</v>
      </c>
      <c r="R12" s="28">
        <v>0.0</v>
      </c>
      <c r="S12" s="28">
        <v>0.0</v>
      </c>
      <c r="T12" s="24"/>
    </row>
    <row r="13">
      <c r="A13" s="13">
        <f>IFERROR(__xludf.DUMMYFUNCTION("""COMPUTED_VALUE"""),12.0)</f>
        <v>12</v>
      </c>
      <c r="B13" s="13" t="str">
        <f>IFERROR(__xludf.DUMMYFUNCTION("""COMPUTED_VALUE"""),"CAIR-LAB")</f>
        <v>CAIR-LAB</v>
      </c>
      <c r="C13" s="14" t="str">
        <f>IFERROR(__xludf.DUMMYFUNCTION("""COMPUTED_VALUE"""),"CAIR_Lab_RODPU_25G_087")</f>
        <v>CAIR_Lab_RODPU_25G_087</v>
      </c>
      <c r="D13" s="13" t="str">
        <f>IFERROR(__xludf.DUMMYFUNCTION("""COMPUTED_VALUE"""),"Mohammad Rafi")</f>
        <v>Mohammad Rafi</v>
      </c>
      <c r="E13" s="15" t="s">
        <v>70</v>
      </c>
      <c r="F13" s="15" t="s">
        <v>70</v>
      </c>
      <c r="G13" s="26">
        <v>1.0</v>
      </c>
      <c r="H13" s="13"/>
      <c r="I13" s="17">
        <f>IFERROR(__xludf.DUMMYFUNCTION("""COMPUTED_VALUE"""),90.0)</f>
        <v>90</v>
      </c>
      <c r="J13" s="18">
        <f>IFERROR(__xludf.DUMMYFUNCTION("""COMPUTED_VALUE"""),200.0)</f>
        <v>200</v>
      </c>
      <c r="K13" s="19">
        <f>IFERROR(__xludf.DUMMYFUNCTION("""COMPUTED_VALUE"""),0.0)</f>
        <v>0</v>
      </c>
      <c r="L13" s="20" t="str">
        <f>IFERROR(__xludf.DUMMYFUNCTION("""COMPUTED_VALUE"""),"#VALUE!")</f>
        <v>#VALUE!</v>
      </c>
      <c r="M13" s="27" t="str">
        <f>IFERROR(__xludf.DUMMYFUNCTION("""COMPUTED_VALUE""")," Design and Development of 25G Fiber Optic hardwarr and Board Support Package (FPGA glue logic and SW drivers) ")</f>
        <v>Design and Development of 25G Fiber Optic hardwarr and Board Support Package (FPGA glue logic and SW drivers)</v>
      </c>
      <c r="N13" s="21">
        <f t="shared" si="1"/>
        <v>90</v>
      </c>
      <c r="O13" s="22">
        <f t="shared" si="2"/>
        <v>-110</v>
      </c>
      <c r="P13" s="22" t="str">
        <f>IFERROR(__xludf.DUMMYFUNCTION("""COMPUTED_VALUE"""),"CAIR-LAB")</f>
        <v>CAIR-LAB</v>
      </c>
      <c r="Q13" s="23" t="s">
        <v>113</v>
      </c>
      <c r="R13" s="23" t="s">
        <v>120</v>
      </c>
      <c r="S13" s="23" t="s">
        <v>116</v>
      </c>
      <c r="T13" s="24"/>
    </row>
    <row r="14">
      <c r="A14" s="13">
        <f>IFERROR(__xludf.DUMMYFUNCTION("""COMPUTED_VALUE"""),13.0)</f>
        <v>13</v>
      </c>
      <c r="B14" s="13" t="str">
        <f>IFERROR(__xludf.DUMMYFUNCTION("""COMPUTED_VALUE"""),"XILINX")</f>
        <v>XILINX</v>
      </c>
      <c r="C14" s="14" t="str">
        <f>IFERROR(__xludf.DUMMYFUNCTION("""COMPUTED_VALUE"""),"Xilinx_Smart_NIC_Card_T&amp;M_088")</f>
        <v>Xilinx_Smart_NIC_Card_T&amp;M_088</v>
      </c>
      <c r="D14" s="13" t="str">
        <f>IFERROR(__xludf.DUMMYFUNCTION("""COMPUTED_VALUE"""),"Deepak Goyal")</f>
        <v>Deepak Goyal</v>
      </c>
      <c r="E14" s="15" t="s">
        <v>70</v>
      </c>
      <c r="F14" s="15" t="s">
        <v>70</v>
      </c>
      <c r="G14" s="26">
        <v>1.0</v>
      </c>
      <c r="H14" s="13"/>
      <c r="I14" s="17">
        <f>IFERROR(__xludf.DUMMYFUNCTION("""COMPUTED_VALUE"""),343.0)</f>
        <v>343</v>
      </c>
      <c r="J14" s="18">
        <f>IFERROR(__xludf.DUMMYFUNCTION("""COMPUTED_VALUE"""),146.0)</f>
        <v>146</v>
      </c>
      <c r="K14" s="19">
        <f>IFERROR(__xludf.DUMMYFUNCTION("""COMPUTED_VALUE"""),0.0)</f>
        <v>0</v>
      </c>
      <c r="L14" s="20" t="str">
        <f>IFERROR(__xludf.DUMMYFUNCTION("""COMPUTED_VALUE"""),"#VALUE!")</f>
        <v>#VALUE!</v>
      </c>
      <c r="M14" s="27" t="str">
        <f>IFERROR(__xludf.DUMMYFUNCTION("""COMPUTED_VALUE""")," Support for development of smartnic based FPGA chip ")</f>
        <v>Support for development of smartnic based FPGA chip</v>
      </c>
      <c r="N14" s="21">
        <f t="shared" si="1"/>
        <v>343</v>
      </c>
      <c r="O14" s="22">
        <f t="shared" si="2"/>
        <v>197</v>
      </c>
      <c r="P14" s="22" t="str">
        <f>IFERROR(__xludf.DUMMYFUNCTION("""COMPUTED_VALUE"""),"XILINX")</f>
        <v>XILINX</v>
      </c>
      <c r="Q14" s="28">
        <v>0.0</v>
      </c>
      <c r="R14" s="29" t="s">
        <v>115</v>
      </c>
      <c r="S14" s="28">
        <v>0.0</v>
      </c>
      <c r="T14" s="24"/>
    </row>
    <row r="15">
      <c r="A15" s="13">
        <f>IFERROR(__xludf.DUMMYFUNCTION("""COMPUTED_VALUE"""),14.0)</f>
        <v>14</v>
      </c>
      <c r="B15" s="13" t="str">
        <f>IFERROR(__xludf.DUMMYFUNCTION("""COMPUTED_VALUE"""),"Lattice")</f>
        <v>Lattice</v>
      </c>
      <c r="C15" s="14" t="str">
        <f>IFERROR(__xludf.DUMMYFUNCTION("""COMPUTED_VALUE"""),"Lattice_Display_Port_2.0_IP_099")</f>
        <v>Lattice_Display_Port_2.0_IP_099</v>
      </c>
      <c r="D15" s="13" t="str">
        <f>IFERROR(__xludf.DUMMYFUNCTION("""COMPUTED_VALUE"""),"Vishal Sinha")</f>
        <v>Vishal Sinha</v>
      </c>
      <c r="E15" s="25" t="s">
        <v>65</v>
      </c>
      <c r="F15" s="15" t="s">
        <v>65</v>
      </c>
      <c r="G15" s="26">
        <v>0.6</v>
      </c>
      <c r="H15" s="13"/>
      <c r="I15" s="17" t="str">
        <f>IFERROR(__xludf.DUMMYFUNCTION("""COMPUTED_VALUE"""),"#N/A")</f>
        <v>#N/A</v>
      </c>
      <c r="J15" s="18">
        <f>IFERROR(__xludf.DUMMYFUNCTION("""COMPUTED_VALUE"""),355.0)</f>
        <v>355</v>
      </c>
      <c r="K15" s="19">
        <f>IFERROR(__xludf.DUMMYFUNCTION("""COMPUTED_VALUE"""),36.03578)</f>
        <v>36.03578</v>
      </c>
      <c r="L15" s="20" t="str">
        <f>IFERROR(__xludf.DUMMYFUNCTION("""COMPUTED_VALUE"""),"#N/A")</f>
        <v>#N/A</v>
      </c>
      <c r="M15" s="27" t="str">
        <f>IFERROR(__xludf.DUMMYFUNCTION("""COMPUTED_VALUE""")," Devlopment of the Display Port 2.0 Ip for Lattice CertusPro and Avant FPGA ")</f>
        <v>Devlopment of the Display Port 2.0 Ip for Lattice CertusPro and Avant FPGA</v>
      </c>
      <c r="N15" s="21" t="str">
        <f t="shared" si="1"/>
        <v>#N/A</v>
      </c>
      <c r="O15" s="22" t="str">
        <f t="shared" si="2"/>
        <v>#N/A</v>
      </c>
      <c r="P15" s="22" t="str">
        <f>IFERROR(__xludf.DUMMYFUNCTION("""COMPUTED_VALUE"""),"LATTICE")</f>
        <v>LATTICE</v>
      </c>
      <c r="Q15" s="28">
        <v>0.0</v>
      </c>
      <c r="R15" s="29" t="s">
        <v>115</v>
      </c>
      <c r="S15" s="28">
        <v>0.0</v>
      </c>
      <c r="T15" s="24"/>
    </row>
    <row r="16">
      <c r="A16" s="13">
        <f>IFERROR(__xludf.DUMMYFUNCTION("""COMPUTED_VALUE"""),15.0)</f>
        <v>15</v>
      </c>
      <c r="B16" s="13" t="str">
        <f>IFERROR(__xludf.DUMMYFUNCTION("""COMPUTED_VALUE"""),"KEYSIGHT")</f>
        <v>KEYSIGHT</v>
      </c>
      <c r="C16" s="14" t="str">
        <f>IFERROR(__xludf.DUMMYFUNCTION("""COMPUTED_VALUE"""),"Keysight_Corvette_Gen5_Analyzer_156")</f>
        <v>Keysight_Corvette_Gen5_Analyzer_156</v>
      </c>
      <c r="D16" s="13" t="str">
        <f>IFERROR(__xludf.DUMMYFUNCTION("""COMPUTED_VALUE"""),"Sonu Sonkar")</f>
        <v>Sonu Sonkar</v>
      </c>
      <c r="E16" s="15" t="s">
        <v>65</v>
      </c>
      <c r="F16" s="15" t="s">
        <v>65</v>
      </c>
      <c r="G16" s="26">
        <v>0.9</v>
      </c>
      <c r="H16" s="13"/>
      <c r="I16" s="17">
        <f>IFERROR(__xludf.DUMMYFUNCTION("""COMPUTED_VALUE"""),1668.0)</f>
        <v>1668</v>
      </c>
      <c r="J16" s="18">
        <f>IFERROR(__xludf.DUMMYFUNCTION("""COMPUTED_VALUE"""),1641.498836)</f>
        <v>1641.498836</v>
      </c>
      <c r="K16" s="19">
        <f>IFERROR(__xludf.DUMMYFUNCTION("""COMPUTED_VALUE"""),0.0)</f>
        <v>0</v>
      </c>
      <c r="L16" s="20" t="str">
        <f>IFERROR(__xludf.DUMMYFUNCTION("""COMPUTED_VALUE"""),"#VALUE!")</f>
        <v>#VALUE!</v>
      </c>
      <c r="M16" s="27" t="str">
        <f>IFERROR(__xludf.DUMMYFUNCTION("""COMPUTED_VALUE""")," Development of PCIe Gen5 Exerciser Product on Ultrascale Plus FPGA ")</f>
        <v>Development of PCIe Gen5 Exerciser Product on Ultrascale Plus FPGA</v>
      </c>
      <c r="N16" s="21">
        <f t="shared" si="1"/>
        <v>1501.2</v>
      </c>
      <c r="O16" s="22">
        <f t="shared" si="2"/>
        <v>-140.298836</v>
      </c>
      <c r="P16" s="22" t="str">
        <f>IFERROR(__xludf.DUMMYFUNCTION("""COMPUTED_VALUE"""),"CORVETTE")</f>
        <v>CORVETTE</v>
      </c>
      <c r="Q16" s="29" t="s">
        <v>116</v>
      </c>
      <c r="R16" s="29" t="s">
        <v>113</v>
      </c>
      <c r="S16" s="29" t="s">
        <v>120</v>
      </c>
      <c r="T16" s="24"/>
    </row>
    <row r="17">
      <c r="A17" s="13">
        <f>IFERROR(__xludf.DUMMYFUNCTION("""COMPUTED_VALUE"""),16.0)</f>
        <v>16</v>
      </c>
      <c r="B17" s="13" t="str">
        <f>IFERROR(__xludf.DUMMYFUNCTION("""COMPUTED_VALUE"""),"KEYSIGHT")</f>
        <v>KEYSIGHT</v>
      </c>
      <c r="C17" s="14" t="str">
        <f>IFERROR(__xludf.DUMMYFUNCTION("""COMPUTED_VALUE"""),"Keysight_Corvette_Gen5_Exerciser_157")</f>
        <v>Keysight_Corvette_Gen5_Exerciser_157</v>
      </c>
      <c r="D17" s="13" t="str">
        <f>IFERROR(__xludf.DUMMYFUNCTION("""COMPUTED_VALUE"""),"Sonu Sonkar")</f>
        <v>Sonu Sonkar</v>
      </c>
      <c r="E17" s="15" t="s">
        <v>65</v>
      </c>
      <c r="F17" s="15" t="s">
        <v>65</v>
      </c>
      <c r="G17" s="26">
        <v>0.9</v>
      </c>
      <c r="H17" s="13"/>
      <c r="I17" s="17">
        <f>IFERROR(__xludf.DUMMYFUNCTION("""COMPUTED_VALUE"""),1668.0)</f>
        <v>1668</v>
      </c>
      <c r="J17" s="18">
        <f>IFERROR(__xludf.DUMMYFUNCTION("""COMPUTED_VALUE"""),1607.498836)</f>
        <v>1607.498836</v>
      </c>
      <c r="K17" s="19">
        <f>IFERROR(__xludf.DUMMYFUNCTION("""COMPUTED_VALUE"""),0.0)</f>
        <v>0</v>
      </c>
      <c r="L17" s="20" t="str">
        <f>IFERROR(__xludf.DUMMYFUNCTION("""COMPUTED_VALUE"""),"#VALUE!")</f>
        <v>#VALUE!</v>
      </c>
      <c r="M17" s="27" t="str">
        <f>IFERROR(__xludf.DUMMYFUNCTION("""COMPUTED_VALUE""")," Development of PCIe Gen5 Protocol Analyzer Product on Ultrascale Plus FPGA ")</f>
        <v>Development of PCIe Gen5 Protocol Analyzer Product on Ultrascale Plus FPGA</v>
      </c>
      <c r="N17" s="21">
        <f t="shared" si="1"/>
        <v>1501.2</v>
      </c>
      <c r="O17" s="22">
        <f t="shared" si="2"/>
        <v>-106.298836</v>
      </c>
      <c r="P17" s="22" t="str">
        <f>IFERROR(__xludf.DUMMYFUNCTION("""COMPUTED_VALUE"""),"CORVETTE")</f>
        <v>CORVETTE</v>
      </c>
      <c r="Q17" s="29" t="s">
        <v>116</v>
      </c>
      <c r="R17" s="29" t="s">
        <v>113</v>
      </c>
      <c r="S17" s="29" t="s">
        <v>120</v>
      </c>
      <c r="T17" s="24"/>
    </row>
    <row r="18">
      <c r="A18" s="13">
        <f>IFERROR(__xludf.DUMMYFUNCTION("""COMPUTED_VALUE"""),17.0)</f>
        <v>17</v>
      </c>
      <c r="B18" s="13" t="str">
        <f>IFERROR(__xludf.DUMMYFUNCTION("""COMPUTED_VALUE"""),"KEYSIGHT")</f>
        <v>KEYSIGHT</v>
      </c>
      <c r="C18" s="14" t="str">
        <f>IFERROR(__xludf.DUMMYFUNCTION("""COMPUTED_VALUE"""),"Keysight_Corvette_Gen6_Exerciser_T&amp;M_158")</f>
        <v>Keysight_Corvette_Gen6_Exerciser_T&amp;M_158</v>
      </c>
      <c r="D18" s="13" t="str">
        <f>IFERROR(__xludf.DUMMYFUNCTION("""COMPUTED_VALUE"""),"Monika Gupta")</f>
        <v>Monika Gupta</v>
      </c>
      <c r="E18" s="25" t="s">
        <v>65</v>
      </c>
      <c r="F18" s="15" t="s">
        <v>65</v>
      </c>
      <c r="G18" s="30">
        <v>0.8</v>
      </c>
      <c r="H18" s="13"/>
      <c r="I18" s="17">
        <f>IFERROR(__xludf.DUMMYFUNCTION("""COMPUTED_VALUE"""),1368.89)</f>
        <v>1368.89</v>
      </c>
      <c r="J18" s="18">
        <f>IFERROR(__xludf.DUMMYFUNCTION("""COMPUTED_VALUE"""),503.56424799999996)</f>
        <v>503.564248</v>
      </c>
      <c r="K18" s="19">
        <f>IFERROR(__xludf.DUMMYFUNCTION("""COMPUTED_VALUE"""),0.0)</f>
        <v>0</v>
      </c>
      <c r="L18" s="20" t="str">
        <f>IFERROR(__xludf.DUMMYFUNCTION("""COMPUTED_VALUE"""),"#VALUE!")</f>
        <v>#VALUE!</v>
      </c>
      <c r="M18" s="27" t="str">
        <f>IFERROR(__xludf.DUMMYFUNCTION("""COMPUTED_VALUE""")," Development of PCIe Gen6 Exerciser Product on Versal FPGA ")</f>
        <v>Development of PCIe Gen6 Exerciser Product on Versal FPGA</v>
      </c>
      <c r="N18" s="21">
        <f t="shared" si="1"/>
        <v>1095.112</v>
      </c>
      <c r="O18" s="22">
        <f t="shared" si="2"/>
        <v>591.547752</v>
      </c>
      <c r="P18" s="22" t="str">
        <f>IFERROR(__xludf.DUMMYFUNCTION("""COMPUTED_VALUE"""),"CORVETTE")</f>
        <v>CORVETTE</v>
      </c>
      <c r="Q18" s="29" t="s">
        <v>116</v>
      </c>
      <c r="R18" s="29" t="s">
        <v>116</v>
      </c>
      <c r="S18" s="28">
        <v>0.0</v>
      </c>
      <c r="T18" s="24"/>
    </row>
    <row r="19">
      <c r="A19" s="13">
        <f>IFERROR(__xludf.DUMMYFUNCTION("""COMPUTED_VALUE"""),18.0)</f>
        <v>18</v>
      </c>
      <c r="B19" s="13" t="str">
        <f>IFERROR(__xludf.DUMMYFUNCTION("""COMPUTED_VALUE"""),"KEYSIGHT")</f>
        <v>KEYSIGHT</v>
      </c>
      <c r="C19" s="14" t="str">
        <f>IFERROR(__xludf.DUMMYFUNCTION("""COMPUTED_VALUE"""),"Keysight_Corvette_Gen6_Analyzer_T&amp;M_159")</f>
        <v>Keysight_Corvette_Gen6_Analyzer_T&amp;M_159</v>
      </c>
      <c r="D19" s="13" t="str">
        <f>IFERROR(__xludf.DUMMYFUNCTION("""COMPUTED_VALUE"""),"Monika Gupta")</f>
        <v>Monika Gupta</v>
      </c>
      <c r="E19" s="25" t="s">
        <v>65</v>
      </c>
      <c r="F19" s="15" t="s">
        <v>65</v>
      </c>
      <c r="G19" s="30">
        <v>0.8</v>
      </c>
      <c r="H19" s="13"/>
      <c r="I19" s="17">
        <f>IFERROR(__xludf.DUMMYFUNCTION("""COMPUTED_VALUE"""),1068.8899999999999)</f>
        <v>1068.89</v>
      </c>
      <c r="J19" s="18">
        <f>IFERROR(__xludf.DUMMYFUNCTION("""COMPUTED_VALUE"""),878.5642479999999)</f>
        <v>878.564248</v>
      </c>
      <c r="K19" s="19">
        <f>IFERROR(__xludf.DUMMYFUNCTION("""COMPUTED_VALUE"""),0.0)</f>
        <v>0</v>
      </c>
      <c r="L19" s="20" t="str">
        <f>IFERROR(__xludf.DUMMYFUNCTION("""COMPUTED_VALUE"""),"#VALUE!")</f>
        <v>#VALUE!</v>
      </c>
      <c r="M19" s="27" t="str">
        <f>IFERROR(__xludf.DUMMYFUNCTION("""COMPUTED_VALUE""")," Development of PCIe Gen6 Protocol Analyzer Product on Versal FPGA ")</f>
        <v>Development of PCIe Gen6 Protocol Analyzer Product on Versal FPGA</v>
      </c>
      <c r="N19" s="21">
        <f t="shared" si="1"/>
        <v>855.112</v>
      </c>
      <c r="O19" s="22">
        <f t="shared" si="2"/>
        <v>-23.452248</v>
      </c>
      <c r="P19" s="22" t="str">
        <f>IFERROR(__xludf.DUMMYFUNCTION("""COMPUTED_VALUE"""),"CORVETTE")</f>
        <v>CORVETTE</v>
      </c>
      <c r="Q19" s="29" t="s">
        <v>116</v>
      </c>
      <c r="R19" s="29" t="s">
        <v>116</v>
      </c>
      <c r="S19" s="28">
        <v>0.0</v>
      </c>
      <c r="T19" s="24"/>
    </row>
    <row r="20">
      <c r="A20" s="13">
        <f>IFERROR(__xludf.DUMMYFUNCTION("""COMPUTED_VALUE"""),19.0)</f>
        <v>19</v>
      </c>
      <c r="B20" s="13" t="str">
        <f>IFERROR(__xludf.DUMMYFUNCTION("""COMPUTED_VALUE"""),"KEYSIGHT")</f>
        <v>KEYSIGHT</v>
      </c>
      <c r="C20" s="14" t="str">
        <f>IFERROR(__xludf.DUMMYFUNCTION("""COMPUTED_VALUE"""),"Keysight_Corvette_Gen5_Porting_On_Gen6_HW_160")</f>
        <v>Keysight_Corvette_Gen5_Porting_On_Gen6_HW_160</v>
      </c>
      <c r="D20" s="13" t="str">
        <f>IFERROR(__xludf.DUMMYFUNCTION("""COMPUTED_VALUE"""),"Monika Gupta")</f>
        <v>Monika Gupta</v>
      </c>
      <c r="E20" s="15" t="s">
        <v>70</v>
      </c>
      <c r="F20" s="25" t="s">
        <v>70</v>
      </c>
      <c r="G20" s="30">
        <v>0.7</v>
      </c>
      <c r="H20" s="13"/>
      <c r="I20" s="17">
        <f>IFERROR(__xludf.DUMMYFUNCTION("""COMPUTED_VALUE"""),263.2)</f>
        <v>263.2</v>
      </c>
      <c r="J20" s="18">
        <f>IFERROR(__xludf.DUMMYFUNCTION("""COMPUTED_VALUE"""),26.0)</f>
        <v>26</v>
      </c>
      <c r="K20" s="19">
        <f>IFERROR(__xludf.DUMMYFUNCTION("""COMPUTED_VALUE"""),8.74671)</f>
        <v>8.74671</v>
      </c>
      <c r="L20" s="20" t="str">
        <f>IFERROR(__xludf.DUMMYFUNCTION("""COMPUTED_VALUE"""),"#VALUE!")</f>
        <v>#VALUE!</v>
      </c>
      <c r="M20" s="27" t="str">
        <f>IFERROR(__xludf.DUMMYFUNCTION("""COMPUTED_VALUE""")," Porting PCIe Gen5 Exerciser / Analyzer design on PCIe Gen6 HW ")</f>
        <v>Porting PCIe Gen5 Exerciser / Analyzer design on PCIe Gen6 HW</v>
      </c>
      <c r="N20" s="21">
        <f t="shared" si="1"/>
        <v>184.24</v>
      </c>
      <c r="O20" s="22">
        <f t="shared" si="2"/>
        <v>158.24</v>
      </c>
      <c r="P20" s="22" t="str">
        <f>IFERROR(__xludf.DUMMYFUNCTION("""COMPUTED_VALUE"""),"CORVETTE")</f>
        <v>CORVETTE</v>
      </c>
      <c r="Q20" s="29" t="s">
        <v>114</v>
      </c>
      <c r="R20" s="29" t="s">
        <v>117</v>
      </c>
      <c r="S20" s="28">
        <v>0.0</v>
      </c>
      <c r="T20" s="24"/>
    </row>
    <row r="21">
      <c r="A21" s="13">
        <f>IFERROR(__xludf.DUMMYFUNCTION("""COMPUTED_VALUE"""),20.0)</f>
        <v>20</v>
      </c>
      <c r="B21" s="13" t="str">
        <f>IFERROR(__xludf.DUMMYFUNCTION("""COMPUTED_VALUE"""),"ARDENT")</f>
        <v>ARDENT</v>
      </c>
      <c r="C21" s="14" t="str">
        <f>IFERROR(__xludf.DUMMYFUNCTION("""COMPUTED_VALUE"""),"ARDENT_PCIe_NVMe_Gen5_Bridge_Solution_100")</f>
        <v>ARDENT_PCIe_NVMe_Gen5_Bridge_Solution_100</v>
      </c>
      <c r="D21" s="13" t="str">
        <f>IFERROR(__xludf.DUMMYFUNCTION("""COMPUTED_VALUE"""),"Sanjeev Kumar")</f>
        <v>Sanjeev Kumar</v>
      </c>
      <c r="E21" s="15" t="s">
        <v>70</v>
      </c>
      <c r="F21" s="15" t="s">
        <v>70</v>
      </c>
      <c r="G21" s="26">
        <v>0.3</v>
      </c>
      <c r="H21" s="13"/>
      <c r="I21" s="17">
        <f>IFERROR(__xludf.DUMMYFUNCTION("""COMPUTED_VALUE"""),51.0)</f>
        <v>51</v>
      </c>
      <c r="J21" s="18">
        <f>IFERROR(__xludf.DUMMYFUNCTION("""COMPUTED_VALUE"""),10.0)</f>
        <v>10</v>
      </c>
      <c r="K21" s="19">
        <f>IFERROR(__xludf.DUMMYFUNCTION("""COMPUTED_VALUE"""),0.0)</f>
        <v>0</v>
      </c>
      <c r="L21" s="20" t="str">
        <f>IFERROR(__xludf.DUMMYFUNCTION("""COMPUTED_VALUE"""),"#VALUE!")</f>
        <v>#VALUE!</v>
      </c>
      <c r="M21" s="27" t="str">
        <f>IFERROR(__xludf.DUMMYFUNCTION("""COMPUTED_VALUE""")," Development of bridging design on the achronix FPGA board for the Gen5 NVMe SSD ")</f>
        <v>Development of bridging design on the achronix FPGA board for the Gen5 NVMe SSD</v>
      </c>
      <c r="N21" s="21">
        <f t="shared" si="1"/>
        <v>15.3</v>
      </c>
      <c r="O21" s="22">
        <f t="shared" si="2"/>
        <v>5.3</v>
      </c>
      <c r="P21" s="22" t="str">
        <f>IFERROR(__xludf.DUMMYFUNCTION("""COMPUTED_VALUE"""),"ARDENT")</f>
        <v>ARDENT</v>
      </c>
      <c r="Q21" s="28">
        <v>0.0</v>
      </c>
      <c r="R21" s="29" t="s">
        <v>115</v>
      </c>
      <c r="S21" s="28">
        <v>0.0</v>
      </c>
      <c r="T21" s="24"/>
    </row>
    <row r="22">
      <c r="A22" s="13">
        <f>IFERROR(__xludf.DUMMYFUNCTION("""COMPUTED_VALUE"""),21.0)</f>
        <v>21</v>
      </c>
      <c r="B22" s="13" t="str">
        <f>IFERROR(__xludf.DUMMYFUNCTION("""COMPUTED_VALUE"""),"Lattice")</f>
        <v>Lattice</v>
      </c>
      <c r="C22" s="14" t="str">
        <f>IFERROR(__xludf.DUMMYFUNCTION("""COMPUTED_VALUE"""),"Lattice_Automate_Stack_1.1_102")</f>
        <v>Lattice_Automate_Stack_1.1_102</v>
      </c>
      <c r="D22" s="13" t="str">
        <f>IFERROR(__xludf.DUMMYFUNCTION("""COMPUTED_VALUE"""),"Shashank Chaurasia")</f>
        <v>Shashank Chaurasia</v>
      </c>
      <c r="E22" s="15" t="s">
        <v>70</v>
      </c>
      <c r="F22" s="15" t="s">
        <v>70</v>
      </c>
      <c r="G22" s="26">
        <v>1.0</v>
      </c>
      <c r="H22" s="13"/>
      <c r="I22" s="17">
        <f>IFERROR(__xludf.DUMMYFUNCTION("""COMPUTED_VALUE"""),56.0)</f>
        <v>56</v>
      </c>
      <c r="J22" s="18">
        <f>IFERROR(__xludf.DUMMYFUNCTION("""COMPUTED_VALUE"""),21.0)</f>
        <v>21</v>
      </c>
      <c r="K22" s="19">
        <f>IFERROR(__xludf.DUMMYFUNCTION("""COMPUTED_VALUE"""),0.0)</f>
        <v>0</v>
      </c>
      <c r="L22" s="20" t="str">
        <f>IFERROR(__xludf.DUMMYFUNCTION("""COMPUTED_VALUE"""),"#VALUE!")</f>
        <v>#VALUE!</v>
      </c>
      <c r="M22" s="27" t="str">
        <f>IFERROR(__xludf.DUMMYFUNCTION("""COMPUTED_VALUE""")," Development of the Main and Node system for industrial use with BLDC Motor predictive maintenance ")</f>
        <v>Development of the Main and Node system for industrial use with BLDC Motor predictive maintenance</v>
      </c>
      <c r="N22" s="21">
        <f t="shared" si="1"/>
        <v>56</v>
      </c>
      <c r="O22" s="22">
        <f t="shared" si="2"/>
        <v>35</v>
      </c>
      <c r="P22" s="22" t="str">
        <f>IFERROR(__xludf.DUMMYFUNCTION("""COMPUTED_VALUE"""),"LATTICE")</f>
        <v>LATTICE</v>
      </c>
      <c r="Q22" s="29" t="s">
        <v>116</v>
      </c>
      <c r="R22" s="29" t="s">
        <v>116</v>
      </c>
      <c r="S22" s="28">
        <v>0.0</v>
      </c>
      <c r="T22" s="24"/>
    </row>
    <row r="23">
      <c r="A23" s="13">
        <f>IFERROR(__xludf.DUMMYFUNCTION("""COMPUTED_VALUE"""),22.0)</f>
        <v>22</v>
      </c>
      <c r="B23" s="13" t="str">
        <f>IFERROR(__xludf.DUMMYFUNCTION("""COMPUTED_VALUE"""),"Lattice")</f>
        <v>Lattice</v>
      </c>
      <c r="C23" s="14" t="str">
        <f>IFERROR(__xludf.DUMMYFUNCTION("""COMPUTED_VALUE"""),"Lattice_5G_ORAN_Security_Stack_105")</f>
        <v>Lattice_5G_ORAN_Security_Stack_105</v>
      </c>
      <c r="D23" s="13" t="str">
        <f>IFERROR(__xludf.DUMMYFUNCTION("""COMPUTED_VALUE"""),"Shashank Chaurasia")</f>
        <v>Shashank Chaurasia</v>
      </c>
      <c r="E23" s="15" t="s">
        <v>70</v>
      </c>
      <c r="F23" s="15" t="s">
        <v>70</v>
      </c>
      <c r="G23" s="26">
        <v>1.0</v>
      </c>
      <c r="H23" s="13"/>
      <c r="I23" s="17">
        <f>IFERROR(__xludf.DUMMYFUNCTION("""COMPUTED_VALUE"""),136.0)</f>
        <v>136</v>
      </c>
      <c r="J23" s="18">
        <f>IFERROR(__xludf.DUMMYFUNCTION("""COMPUTED_VALUE"""),68.0)</f>
        <v>68</v>
      </c>
      <c r="K23" s="19">
        <f>IFERROR(__xludf.DUMMYFUNCTION("""COMPUTED_VALUE"""),0.0)</f>
        <v>0</v>
      </c>
      <c r="L23" s="20" t="str">
        <f>IFERROR(__xludf.DUMMYFUNCTION("""COMPUTED_VALUE"""),"#VALUE!")</f>
        <v>#VALUE!</v>
      </c>
      <c r="M23" s="27" t="str">
        <f>IFERROR(__xludf.DUMMYFUNCTION("""COMPUTED_VALUE""")," Devlopment of the 5G side band security using AES, SHA, RSA Algos. ")</f>
        <v>Devlopment of the 5G side band security using AES, SHA, RSA Algos.</v>
      </c>
      <c r="N23" s="21">
        <f t="shared" si="1"/>
        <v>136</v>
      </c>
      <c r="O23" s="22">
        <f t="shared" si="2"/>
        <v>68</v>
      </c>
      <c r="P23" s="22" t="str">
        <f>IFERROR(__xludf.DUMMYFUNCTION("""COMPUTED_VALUE"""),"LATTICE")</f>
        <v>LATTICE</v>
      </c>
      <c r="Q23" s="29" t="s">
        <v>116</v>
      </c>
      <c r="R23" s="29" t="s">
        <v>116</v>
      </c>
      <c r="S23" s="28">
        <v>0.0</v>
      </c>
      <c r="T23" s="24"/>
    </row>
    <row r="24">
      <c r="A24" s="13">
        <f>IFERROR(__xludf.DUMMYFUNCTION("""COMPUTED_VALUE"""),23.0)</f>
        <v>23</v>
      </c>
      <c r="B24" s="13" t="str">
        <f>IFERROR(__xludf.DUMMYFUNCTION("""COMPUTED_VALUE"""),"Lattice")</f>
        <v>Lattice</v>
      </c>
      <c r="C24" s="14" t="str">
        <f>IFERROR(__xludf.DUMMYFUNCTION("""COMPUTED_VALUE"""),"Lattice_APPS_Support_T&amp;M_106")</f>
        <v>Lattice_APPS_Support_T&amp;M_106</v>
      </c>
      <c r="D24" s="13" t="str">
        <f>IFERROR(__xludf.DUMMYFUNCTION("""COMPUTED_VALUE"""),"Shashank Chaurasia")</f>
        <v>Shashank Chaurasia</v>
      </c>
      <c r="E24" s="15" t="s">
        <v>70</v>
      </c>
      <c r="F24" s="25" t="s">
        <v>70</v>
      </c>
      <c r="G24" s="26">
        <v>1.0</v>
      </c>
      <c r="H24" s="13"/>
      <c r="I24" s="17">
        <f>IFERROR(__xludf.DUMMYFUNCTION("""COMPUTED_VALUE"""),432.0)</f>
        <v>432</v>
      </c>
      <c r="J24" s="18">
        <f>IFERROR(__xludf.DUMMYFUNCTION("""COMPUTED_VALUE"""),96.0)</f>
        <v>96</v>
      </c>
      <c r="K24" s="19">
        <f>IFERROR(__xludf.DUMMYFUNCTION("""COMPUTED_VALUE"""),0.084)</f>
        <v>0.084</v>
      </c>
      <c r="L24" s="20" t="str">
        <f>IFERROR(__xludf.DUMMYFUNCTION("""COMPUTED_VALUE"""),"#VALUE!")</f>
        <v>#VALUE!</v>
      </c>
      <c r="M24" s="27" t="str">
        <f>IFERROR(__xludf.DUMMYFUNCTION("""COMPUTED_VALUE""")," Provide the Support to the Lattice Application team on PCIe,Ethernet,DDR3 and Automate stack ")</f>
        <v>Provide the Support to the Lattice Application team on PCIe,Ethernet,DDR3 and Automate stack</v>
      </c>
      <c r="N24" s="21">
        <f t="shared" si="1"/>
        <v>432</v>
      </c>
      <c r="O24" s="22">
        <f t="shared" si="2"/>
        <v>336</v>
      </c>
      <c r="P24" s="22" t="str">
        <f>IFERROR(__xludf.DUMMYFUNCTION("""COMPUTED_VALUE"""),"LATTICE")</f>
        <v>LATTICE</v>
      </c>
      <c r="Q24" s="29" t="s">
        <v>113</v>
      </c>
      <c r="R24" s="29" t="s">
        <v>121</v>
      </c>
      <c r="S24" s="28">
        <v>0.0</v>
      </c>
      <c r="T24" s="24"/>
    </row>
    <row r="25">
      <c r="A25" s="13">
        <f>IFERROR(__xludf.DUMMYFUNCTION("""COMPUTED_VALUE"""),24.0)</f>
        <v>24</v>
      </c>
      <c r="B25" s="13" t="str">
        <f>IFERROR(__xludf.DUMMYFUNCTION("""COMPUTED_VALUE"""),"LFT")</f>
        <v>LFT</v>
      </c>
      <c r="C25" s="14" t="str">
        <f>IFERROR(__xludf.DUMMYFUNCTION("""COMPUTED_VALUE"""),"LFT_JESD204C_IP_Development_093")</f>
        <v>LFT_JESD204C_IP_Development_093</v>
      </c>
      <c r="D25" s="13" t="str">
        <f>IFERROR(__xludf.DUMMYFUNCTION("""COMPUTED_VALUE"""),"Vineet Goel")</f>
        <v>Vineet Goel</v>
      </c>
      <c r="E25" s="15" t="s">
        <v>70</v>
      </c>
      <c r="F25" s="15" t="s">
        <v>70</v>
      </c>
      <c r="G25" s="26">
        <v>1.0</v>
      </c>
      <c r="H25" s="13"/>
      <c r="I25" s="17">
        <f>IFERROR(__xludf.DUMMYFUNCTION("""COMPUTED_VALUE"""),5.0)</f>
        <v>5</v>
      </c>
      <c r="J25" s="18">
        <f>IFERROR(__xludf.DUMMYFUNCTION("""COMPUTED_VALUE"""),117.0)</f>
        <v>117</v>
      </c>
      <c r="K25" s="19">
        <f>IFERROR(__xludf.DUMMYFUNCTION("""COMPUTED_VALUE"""),0.0)</f>
        <v>0</v>
      </c>
      <c r="L25" s="20" t="str">
        <f>IFERROR(__xludf.DUMMYFUNCTION("""COMPUTED_VALUE"""),"#VALUE!")</f>
        <v>#VALUE!</v>
      </c>
      <c r="M25" s="27" t="str">
        <f>IFERROR(__xludf.DUMMYFUNCTION("""COMPUTED_VALUE""")," LFT Self Funded JESD 204C IP development Project targeted for Xilinx FPGA and tested with Xilinx IP ")</f>
        <v>LFT Self Funded JESD 204C IP development Project targeted for Xilinx FPGA and tested with Xilinx IP</v>
      </c>
      <c r="N25" s="21">
        <f t="shared" si="1"/>
        <v>5</v>
      </c>
      <c r="O25" s="22">
        <f t="shared" si="2"/>
        <v>-112</v>
      </c>
      <c r="P25" s="22" t="str">
        <f>IFERROR(__xludf.DUMMYFUNCTION("""COMPUTED_VALUE"""),"ACHRONIX")</f>
        <v>ACHRONIX</v>
      </c>
      <c r="Q25" s="28">
        <v>0.0</v>
      </c>
      <c r="R25" s="29" t="s">
        <v>115</v>
      </c>
      <c r="S25" s="28">
        <v>0.0</v>
      </c>
      <c r="T25" s="24"/>
    </row>
    <row r="26">
      <c r="A26" s="13">
        <f>IFERROR(__xludf.DUMMYFUNCTION("""COMPUTED_VALUE"""),25.0)</f>
        <v>25</v>
      </c>
      <c r="B26" s="13" t="str">
        <f>IFERROR(__xludf.DUMMYFUNCTION("""COMPUTED_VALUE"""),"Lattice")</f>
        <v>Lattice</v>
      </c>
      <c r="C26" s="14" t="str">
        <f>IFERROR(__xludf.DUMMYFUNCTION("""COMPUTED_VALUE"""),"Lattice_PCIe_PCS_support_T&amp;M_107")</f>
        <v>Lattice_PCIe_PCS_support_T&amp;M_107</v>
      </c>
      <c r="D26" s="13" t="str">
        <f>IFERROR(__xludf.DUMMYFUNCTION("""COMPUTED_VALUE"""),"Shashank Chaurasia")</f>
        <v>Shashank Chaurasia</v>
      </c>
      <c r="E26" s="15" t="s">
        <v>70</v>
      </c>
      <c r="F26" s="15" t="s">
        <v>70</v>
      </c>
      <c r="G26" s="26">
        <v>1.0</v>
      </c>
      <c r="H26" s="13"/>
      <c r="I26" s="17">
        <f>IFERROR(__xludf.DUMMYFUNCTION("""COMPUTED_VALUE"""),54.0)</f>
        <v>54</v>
      </c>
      <c r="J26" s="18">
        <f>IFERROR(__xludf.DUMMYFUNCTION("""COMPUTED_VALUE"""),70.0)</f>
        <v>70</v>
      </c>
      <c r="K26" s="19">
        <f>IFERROR(__xludf.DUMMYFUNCTION("""COMPUTED_VALUE"""),0.0)</f>
        <v>0</v>
      </c>
      <c r="L26" s="20" t="str">
        <f>IFERROR(__xludf.DUMMYFUNCTION("""COMPUTED_VALUE"""),"#VALUE!")</f>
        <v>#VALUE!</v>
      </c>
      <c r="M26" s="27" t="str">
        <f>IFERROR(__xludf.DUMMYFUNCTION("""COMPUTED_VALUE""")," Provide the support for PCS layer bug fixing in T&amp;M mode ")</f>
        <v>Provide the support for PCS layer bug fixing in T&amp;M mode</v>
      </c>
      <c r="N26" s="21">
        <f t="shared" si="1"/>
        <v>54</v>
      </c>
      <c r="O26" s="22">
        <f t="shared" si="2"/>
        <v>-16</v>
      </c>
      <c r="P26" s="22" t="str">
        <f>IFERROR(__xludf.DUMMYFUNCTION("""COMPUTED_VALUE"""),"LATTICE")</f>
        <v>LATTICE</v>
      </c>
      <c r="Q26" s="28">
        <v>0.0</v>
      </c>
      <c r="R26" s="29" t="s">
        <v>115</v>
      </c>
      <c r="S26" s="28">
        <v>0.0</v>
      </c>
      <c r="T26" s="24"/>
    </row>
    <row r="27">
      <c r="A27" s="13">
        <f>IFERROR(__xludf.DUMMYFUNCTION("""COMPUTED_VALUE"""),26.0)</f>
        <v>26</v>
      </c>
      <c r="B27" s="13" t="str">
        <f>IFERROR(__xludf.DUMMYFUNCTION("""COMPUTED_VALUE"""),"LFT")</f>
        <v>LFT</v>
      </c>
      <c r="C27" s="14" t="str">
        <f>IFERROR(__xludf.DUMMYFUNCTION("""COMPUTED_VALUE"""),"LFT_ARNIC_Non_Revenue_108")</f>
        <v>LFT_ARNIC_Non_Revenue_108</v>
      </c>
      <c r="D27" s="13" t="str">
        <f>IFERROR(__xludf.DUMMYFUNCTION("""COMPUTED_VALUE"""),"Rahul Sharma")</f>
        <v>Rahul Sharma</v>
      </c>
      <c r="E27" s="15" t="s">
        <v>70</v>
      </c>
      <c r="F27" s="25" t="s">
        <v>70</v>
      </c>
      <c r="G27" s="26">
        <v>1.0</v>
      </c>
      <c r="H27" s="13"/>
      <c r="I27" s="17">
        <f>IFERROR(__xludf.DUMMYFUNCTION("""COMPUTED_VALUE"""),0.0)</f>
        <v>0</v>
      </c>
      <c r="J27" s="18">
        <f>IFERROR(__xludf.DUMMYFUNCTION("""COMPUTED_VALUE"""),194.0)</f>
        <v>194</v>
      </c>
      <c r="K27" s="19">
        <f>IFERROR(__xludf.DUMMYFUNCTION("""COMPUTED_VALUE"""),6.512786)</f>
        <v>6.512786</v>
      </c>
      <c r="L27" s="31"/>
      <c r="M27" s="27" t="str">
        <f>IFERROR(__xludf.DUMMYFUNCTION("""COMPUTED_VALUE""")," Entry to record investigation, internal development around ARINC. ")</f>
        <v>Entry to record investigation, internal development around ARINC.</v>
      </c>
      <c r="N27" s="21">
        <f t="shared" si="1"/>
        <v>0</v>
      </c>
      <c r="O27" s="22">
        <f t="shared" si="2"/>
        <v>-194</v>
      </c>
      <c r="P27" s="22" t="str">
        <f>IFERROR(__xludf.DUMMYFUNCTION("""COMPUTED_VALUE"""),"ARINC")</f>
        <v>ARINC</v>
      </c>
      <c r="Q27" s="29" t="s">
        <v>120</v>
      </c>
      <c r="R27" s="29" t="s">
        <v>113</v>
      </c>
      <c r="S27" s="29" t="s">
        <v>116</v>
      </c>
      <c r="T27" s="24"/>
    </row>
    <row r="28">
      <c r="A28" s="13">
        <f>IFERROR(__xludf.DUMMYFUNCTION("""COMPUTED_VALUE"""),27.0)</f>
        <v>27</v>
      </c>
      <c r="B28" s="13" t="str">
        <f>IFERROR(__xludf.DUMMYFUNCTION("""COMPUTED_VALUE"""),"DEAL-LAB")</f>
        <v>DEAL-LAB</v>
      </c>
      <c r="C28" s="14" t="str">
        <f>IFERROR(__xludf.DUMMYFUNCTION("""COMPUTED_VALUE"""),"DEAL_Lab_IP_Gateway_086")</f>
        <v>DEAL_Lab_IP_Gateway_086</v>
      </c>
      <c r="D28" s="13" t="str">
        <f>IFERROR(__xludf.DUMMYFUNCTION("""COMPUTED_VALUE"""),"Sonu Sonkar")</f>
        <v>Sonu Sonkar</v>
      </c>
      <c r="E28" s="15" t="s">
        <v>70</v>
      </c>
      <c r="F28" s="15" t="s">
        <v>70</v>
      </c>
      <c r="G28" s="26">
        <v>1.0</v>
      </c>
      <c r="H28" s="13"/>
      <c r="I28" s="17">
        <f>IFERROR(__xludf.DUMMYFUNCTION("""COMPUTED_VALUE"""),38.0)</f>
        <v>38</v>
      </c>
      <c r="J28" s="18">
        <f>IFERROR(__xludf.DUMMYFUNCTION("""COMPUTED_VALUE"""),41.0)</f>
        <v>41</v>
      </c>
      <c r="K28" s="19">
        <f>IFERROR(__xludf.DUMMYFUNCTION("""COMPUTED_VALUE"""),0.0)</f>
        <v>0</v>
      </c>
      <c r="L28" s="20" t="str">
        <f>IFERROR(__xludf.DUMMYFUNCTION("""COMPUTED_VALUE"""),"#VALUE!")</f>
        <v>#VALUE!</v>
      </c>
      <c r="M28" s="27" t="str">
        <f>IFERROR(__xludf.DUMMYFUNCTION("""COMPUTED_VALUE""")," IP gateway between ethernet network and SDR proprietary networks ")</f>
        <v>IP gateway between ethernet network and SDR proprietary networks</v>
      </c>
      <c r="N28" s="21">
        <f t="shared" si="1"/>
        <v>38</v>
      </c>
      <c r="O28" s="22">
        <f t="shared" si="2"/>
        <v>-3</v>
      </c>
      <c r="P28" s="22" t="str">
        <f>IFERROR(__xludf.DUMMYFUNCTION("""COMPUTED_VALUE"""),"DEAL-LAB")</f>
        <v>DEAL-LAB</v>
      </c>
      <c r="Q28" s="29" t="s">
        <v>115</v>
      </c>
      <c r="R28" s="28">
        <v>0.0</v>
      </c>
      <c r="S28" s="28">
        <v>0.0</v>
      </c>
      <c r="T28" s="24"/>
    </row>
    <row r="29">
      <c r="A29" s="13">
        <f>IFERROR(__xludf.DUMMYFUNCTION("""COMPUTED_VALUE"""),28.0)</f>
        <v>28</v>
      </c>
      <c r="B29" s="13" t="str">
        <f>IFERROR(__xludf.DUMMYFUNCTION("""COMPUTED_VALUE"""),"KEYSIGHT")</f>
        <v>KEYSIGHT</v>
      </c>
      <c r="C29" s="14" t="str">
        <f>IFERROR(__xludf.DUMMYFUNCTION("""COMPUTED_VALUE"""),"Keysight_Vision_PG_FPGA_Design_064")</f>
        <v>Keysight_Vision_PG_FPGA_Design_064</v>
      </c>
      <c r="D29" s="13" t="str">
        <f>IFERROR(__xludf.DUMMYFUNCTION("""COMPUTED_VALUE"""),"Vineet Goel")</f>
        <v>Vineet Goel</v>
      </c>
      <c r="E29" s="15" t="s">
        <v>70</v>
      </c>
      <c r="F29" s="15" t="s">
        <v>70</v>
      </c>
      <c r="G29" s="26">
        <v>1.0</v>
      </c>
      <c r="H29" s="13"/>
      <c r="I29" s="17">
        <f>IFERROR(__xludf.DUMMYFUNCTION("""COMPUTED_VALUE"""),50.0)</f>
        <v>50</v>
      </c>
      <c r="J29" s="18">
        <f>IFERROR(__xludf.DUMMYFUNCTION("""COMPUTED_VALUE"""),51.0)</f>
        <v>51</v>
      </c>
      <c r="K29" s="19">
        <f>IFERROR(__xludf.DUMMYFUNCTION("""COMPUTED_VALUE"""),0.0)</f>
        <v>0</v>
      </c>
      <c r="L29" s="20" t="str">
        <f>IFERROR(__xludf.DUMMYFUNCTION("""COMPUTED_VALUE"""),"#VALUE!")</f>
        <v>#VALUE!</v>
      </c>
      <c r="M29" s="27" t="str">
        <f>IFERROR(__xludf.DUMMYFUNCTION("""COMPUTED_VALUE""")," Designing Vision BERT Front end interface around SERDES with the Keysight BBN Team ")</f>
        <v>Designing Vision BERT Front end interface around SERDES with the Keysight BBN Team</v>
      </c>
      <c r="N29" s="21">
        <f t="shared" si="1"/>
        <v>50</v>
      </c>
      <c r="O29" s="22">
        <f t="shared" si="2"/>
        <v>-1</v>
      </c>
      <c r="P29" s="22" t="str">
        <f>IFERROR(__xludf.DUMMYFUNCTION("""COMPUTED_VALUE"""),"BERT")</f>
        <v>BERT</v>
      </c>
      <c r="Q29" s="28">
        <v>0.0</v>
      </c>
      <c r="R29" s="29" t="s">
        <v>115</v>
      </c>
      <c r="S29" s="28">
        <v>0.0</v>
      </c>
      <c r="T29" s="24"/>
    </row>
    <row r="30">
      <c r="A30" s="13">
        <f>IFERROR(__xludf.DUMMYFUNCTION("""COMPUTED_VALUE"""),29.0)</f>
        <v>29</v>
      </c>
      <c r="B30" s="13" t="str">
        <f>IFERROR(__xludf.DUMMYFUNCTION("""COMPUTED_VALUE"""),"IRDE-LAB")</f>
        <v>IRDE-LAB</v>
      </c>
      <c r="C30" s="14" t="str">
        <f>IFERROR(__xludf.DUMMYFUNCTION("""COMPUTED_VALUE"""),"IRDE_lab_Thermal_Image_Processing_058")</f>
        <v>IRDE_lab_Thermal_Image_Processing_058</v>
      </c>
      <c r="D30" s="13" t="str">
        <f>IFERROR(__xludf.DUMMYFUNCTION("""COMPUTED_VALUE"""),"Shashank Chaurasia")</f>
        <v>Shashank Chaurasia</v>
      </c>
      <c r="E30" s="15" t="s">
        <v>70</v>
      </c>
      <c r="F30" s="15" t="s">
        <v>70</v>
      </c>
      <c r="G30" s="26">
        <v>1.0</v>
      </c>
      <c r="H30" s="13"/>
      <c r="I30" s="17">
        <f>IFERROR(__xludf.DUMMYFUNCTION("""COMPUTED_VALUE"""),43.0)</f>
        <v>43</v>
      </c>
      <c r="J30" s="18">
        <f>IFERROR(__xludf.DUMMYFUNCTION("""COMPUTED_VALUE"""),21.0)</f>
        <v>21</v>
      </c>
      <c r="K30" s="19">
        <f>IFERROR(__xludf.DUMMYFUNCTION("""COMPUTED_VALUE"""),0.0)</f>
        <v>0</v>
      </c>
      <c r="L30" s="20" t="str">
        <f>IFERROR(__xludf.DUMMYFUNCTION("""COMPUTED_VALUE"""),"#VALUE!")</f>
        <v>#VALUE!</v>
      </c>
      <c r="M30" s="27" t="str">
        <f>IFERROR(__xludf.DUMMYFUNCTION("""COMPUTED_VALUE""")," Devlopment of Bad pixel removal, AGC for the thermal camera  ")</f>
        <v>Devlopment of Bad pixel removal, AGC for the thermal camera </v>
      </c>
      <c r="N30" s="21">
        <f t="shared" si="1"/>
        <v>43</v>
      </c>
      <c r="O30" s="22">
        <f t="shared" si="2"/>
        <v>22</v>
      </c>
      <c r="P30" s="22" t="str">
        <f>IFERROR(__xludf.DUMMYFUNCTION("""COMPUTED_VALUE"""),"IRDE-LAB")</f>
        <v>IRDE-LAB</v>
      </c>
      <c r="Q30" s="29" t="s">
        <v>118</v>
      </c>
      <c r="R30" s="29" t="s">
        <v>119</v>
      </c>
      <c r="S30" s="28">
        <v>0.0</v>
      </c>
      <c r="T30" s="24"/>
    </row>
    <row r="31">
      <c r="A31" s="13">
        <f>IFERROR(__xludf.DUMMYFUNCTION("""COMPUTED_VALUE"""),30.0)</f>
        <v>30</v>
      </c>
      <c r="B31" s="13" t="str">
        <f>IFERROR(__xludf.DUMMYFUNCTION("""COMPUTED_VALUE"""),"ITI")</f>
        <v>ITI</v>
      </c>
      <c r="C31" s="14" t="str">
        <f>IFERROR(__xludf.DUMMYFUNCTION("""COMPUTED_VALUE"""),"ITI_10g_TypeB_017")</f>
        <v>ITI_10g_TypeB_017</v>
      </c>
      <c r="D31" s="13" t="str">
        <f>IFERROR(__xludf.DUMMYFUNCTION("""COMPUTED_VALUE"""),"Sagar Gupta")</f>
        <v>Sagar Gupta</v>
      </c>
      <c r="E31" s="15" t="s">
        <v>70</v>
      </c>
      <c r="F31" s="15" t="s">
        <v>70</v>
      </c>
      <c r="G31" s="26">
        <v>1.0</v>
      </c>
      <c r="H31" s="13"/>
      <c r="I31" s="17">
        <f>IFERROR(__xludf.DUMMYFUNCTION("""COMPUTED_VALUE"""),135.0)</f>
        <v>135</v>
      </c>
      <c r="J31" s="18">
        <f>IFERROR(__xludf.DUMMYFUNCTION("""COMPUTED_VALUE"""),179.0)</f>
        <v>179</v>
      </c>
      <c r="K31" s="19">
        <f>IFERROR(__xludf.DUMMYFUNCTION("""COMPUTED_VALUE"""),0.0)</f>
        <v>0</v>
      </c>
      <c r="L31" s="20" t="str">
        <f>IFERROR(__xludf.DUMMYFUNCTION("""COMPUTED_VALUE"""),"#VALUE!")</f>
        <v>#VALUE!</v>
      </c>
      <c r="M31" s="27" t="str">
        <f>IFERROR(__xludf.DUMMYFUNCTION("""COMPUTED_VALUE""")," Development of HW, IP, Software for 10 Gigabit Ethernet Electrical/ Optical Type-B to transfer high-speed secured
1/10Gb data over the Microwave Radio/Satellite link between IP/MPLS Routers. ")</f>
        <v>Development of HW, IP, Software for 10 Gigabit Ethernet Electrical/ Optical Type-B to transfer high-speed secured
1/10Gb data over the Microwave Radio/Satellite link between IP/MPLS Routers.</v>
      </c>
      <c r="N31" s="21">
        <f t="shared" si="1"/>
        <v>135</v>
      </c>
      <c r="O31" s="22">
        <f t="shared" si="2"/>
        <v>-44</v>
      </c>
      <c r="P31" s="22" t="str">
        <f>IFERROR(__xludf.DUMMYFUNCTION("""COMPUTED_VALUE"""),"ITI")</f>
        <v>ITI</v>
      </c>
      <c r="Q31" s="29" t="s">
        <v>120</v>
      </c>
      <c r="R31" s="29" t="s">
        <v>113</v>
      </c>
      <c r="S31" s="29" t="s">
        <v>116</v>
      </c>
      <c r="T31" s="24"/>
    </row>
    <row r="32">
      <c r="A32" s="13">
        <f>IFERROR(__xludf.DUMMYFUNCTION("""COMPUTED_VALUE"""),31.0)</f>
        <v>31</v>
      </c>
      <c r="B32" s="13" t="str">
        <f>IFERROR(__xludf.DUMMYFUNCTION("""COMPUTED_VALUE"""),"Lattice")</f>
        <v>Lattice</v>
      </c>
      <c r="C32" s="14" t="str">
        <f>IFERROR(__xludf.DUMMYFUNCTION("""COMPUTED_VALUE"""),"Lattice_Automate_Stack_1.0_091")</f>
        <v>Lattice_Automate_Stack_1.0_091</v>
      </c>
      <c r="D32" s="13" t="str">
        <f>IFERROR(__xludf.DUMMYFUNCTION("""COMPUTED_VALUE"""),"Shashank Chaurasia")</f>
        <v>Shashank Chaurasia</v>
      </c>
      <c r="E32" s="15" t="s">
        <v>70</v>
      </c>
      <c r="F32" s="15" t="s">
        <v>70</v>
      </c>
      <c r="G32" s="26">
        <v>1.0</v>
      </c>
      <c r="H32" s="13"/>
      <c r="I32" s="17">
        <f>IFERROR(__xludf.DUMMYFUNCTION("""COMPUTED_VALUE"""),181.0)</f>
        <v>181</v>
      </c>
      <c r="J32" s="18">
        <f>IFERROR(__xludf.DUMMYFUNCTION("""COMPUTED_VALUE"""),130.0)</f>
        <v>130</v>
      </c>
      <c r="K32" s="19">
        <f>IFERROR(__xludf.DUMMYFUNCTION("""COMPUTED_VALUE"""),0.0)</f>
        <v>0</v>
      </c>
      <c r="L32" s="20" t="str">
        <f>IFERROR(__xludf.DUMMYFUNCTION("""COMPUTED_VALUE"""),"#VALUE!")</f>
        <v>#VALUE!</v>
      </c>
      <c r="M32" s="27" t="str">
        <f>IFERROR(__xludf.DUMMYFUNCTION("""COMPUTED_VALUE""")," Development of the Main and Node system for industrial use with BLDC Motor predictive maintenance ")</f>
        <v>Development of the Main and Node system for industrial use with BLDC Motor predictive maintenance</v>
      </c>
      <c r="N32" s="21">
        <f t="shared" si="1"/>
        <v>181</v>
      </c>
      <c r="O32" s="22">
        <f t="shared" si="2"/>
        <v>51</v>
      </c>
      <c r="P32" s="22" t="str">
        <f>IFERROR(__xludf.DUMMYFUNCTION("""COMPUTED_VALUE"""),"LATTICE")</f>
        <v>LATTICE</v>
      </c>
      <c r="Q32" s="29" t="s">
        <v>116</v>
      </c>
      <c r="R32" s="29" t="s">
        <v>116</v>
      </c>
      <c r="S32" s="28">
        <v>0.0</v>
      </c>
      <c r="T32" s="24"/>
    </row>
    <row r="33">
      <c r="A33" s="13">
        <f>IFERROR(__xludf.DUMMYFUNCTION("""COMPUTED_VALUE"""),32.0)</f>
        <v>32</v>
      </c>
      <c r="B33" s="13" t="str">
        <f>IFERROR(__xludf.DUMMYFUNCTION("""COMPUTED_VALUE"""),"Lattice")</f>
        <v>Lattice</v>
      </c>
      <c r="C33" s="14" t="str">
        <f>IFERROR(__xludf.DUMMYFUNCTION("""COMPUTED_VALUE"""),"Lattice_App_Support_110")</f>
        <v>Lattice_App_Support_110</v>
      </c>
      <c r="D33" s="13" t="str">
        <f>IFERROR(__xludf.DUMMYFUNCTION("""COMPUTED_VALUE"""),"Shashank Chaurasia")</f>
        <v>Shashank Chaurasia</v>
      </c>
      <c r="E33" s="15" t="s">
        <v>70</v>
      </c>
      <c r="F33" s="15" t="s">
        <v>70</v>
      </c>
      <c r="G33" s="26">
        <v>1.0</v>
      </c>
      <c r="H33" s="13"/>
      <c r="I33" s="17" t="str">
        <f>IFERROR(__xludf.DUMMYFUNCTION("""COMPUTED_VALUE"""),"#N/A")</f>
        <v>#N/A</v>
      </c>
      <c r="J33" s="18">
        <f>IFERROR(__xludf.DUMMYFUNCTION("""COMPUTED_VALUE"""),0.0)</f>
        <v>0</v>
      </c>
      <c r="K33" s="19">
        <f>IFERROR(__xludf.DUMMYFUNCTION("""COMPUTED_VALUE"""),0.0)</f>
        <v>0</v>
      </c>
      <c r="L33" s="31"/>
      <c r="M33" s="27" t="str">
        <f>IFERROR(__xludf.DUMMYFUNCTION("""COMPUTED_VALUE""")," Provide the support  for Automate Stack to the Apps team ")</f>
        <v>Provide the support  for Automate Stack to the Apps team</v>
      </c>
      <c r="N33" s="21" t="str">
        <f t="shared" si="1"/>
        <v>#N/A</v>
      </c>
      <c r="O33" s="22" t="str">
        <f t="shared" si="2"/>
        <v>#N/A</v>
      </c>
      <c r="P33" s="22" t="str">
        <f>IFERROR(__xludf.DUMMYFUNCTION("""COMPUTED_VALUE"""),"LATTICE")</f>
        <v>LATTICE</v>
      </c>
      <c r="Q33" s="29" t="s">
        <v>116</v>
      </c>
      <c r="R33" s="29" t="s">
        <v>116</v>
      </c>
      <c r="S33" s="28">
        <v>0.0</v>
      </c>
      <c r="T33" s="24"/>
    </row>
    <row r="34">
      <c r="A34" s="13">
        <f>IFERROR(__xludf.DUMMYFUNCTION("""COMPUTED_VALUE"""),33.0)</f>
        <v>33</v>
      </c>
      <c r="B34" s="13" t="str">
        <f>IFERROR(__xludf.DUMMYFUNCTION("""COMPUTED_VALUE"""),"Methode")</f>
        <v>Methode</v>
      </c>
      <c r="C34" s="14" t="str">
        <f>IFERROR(__xludf.DUMMYFUNCTION("""COMPUTED_VALUE"""),"Methode_I2C_to_MDIO_Converter_version1_041")</f>
        <v>Methode_I2C_to_MDIO_Converter_version1_041</v>
      </c>
      <c r="D34" s="13" t="str">
        <f>IFERROR(__xludf.DUMMYFUNCTION("""COMPUTED_VALUE"""),"Shashank Chaurasia")</f>
        <v>Shashank Chaurasia</v>
      </c>
      <c r="E34" s="15" t="s">
        <v>70</v>
      </c>
      <c r="F34" s="21" t="s">
        <v>70</v>
      </c>
      <c r="G34" s="26">
        <v>1.0</v>
      </c>
      <c r="H34" s="13"/>
      <c r="I34" s="17">
        <f>IFERROR(__xludf.DUMMYFUNCTION("""COMPUTED_VALUE"""),31.0)</f>
        <v>31</v>
      </c>
      <c r="J34" s="18">
        <f>IFERROR(__xludf.DUMMYFUNCTION("""COMPUTED_VALUE"""),15.0)</f>
        <v>15</v>
      </c>
      <c r="K34" s="19">
        <f>IFERROR(__xludf.DUMMYFUNCTION("""COMPUTED_VALUE"""),0.0)</f>
        <v>0</v>
      </c>
      <c r="L34" s="20" t="str">
        <f>IFERROR(__xludf.DUMMYFUNCTION("""COMPUTED_VALUE"""),"#VALUE!")</f>
        <v>#VALUE!</v>
      </c>
      <c r="M34" s="27" t="str">
        <f>IFERROR(__xludf.DUMMYFUNCTION("""COMPUTED_VALUE""")," Implenet the I2C to MDIO convertor for the SFP module ")</f>
        <v>Implenet the I2C to MDIO convertor for the SFP module</v>
      </c>
      <c r="N34" s="21">
        <f t="shared" si="1"/>
        <v>31</v>
      </c>
      <c r="O34" s="22">
        <f t="shared" si="2"/>
        <v>16</v>
      </c>
      <c r="P34" s="22" t="str">
        <f>IFERROR(__xludf.DUMMYFUNCTION("""COMPUTED_VALUE"""),"METHODE")</f>
        <v>METHODE</v>
      </c>
      <c r="Q34" s="28">
        <v>0.0</v>
      </c>
      <c r="R34" s="29" t="s">
        <v>115</v>
      </c>
      <c r="S34" s="28">
        <v>0.0</v>
      </c>
      <c r="T34" s="24"/>
    </row>
    <row r="35">
      <c r="A35" s="13">
        <f>IFERROR(__xludf.DUMMYFUNCTION("""COMPUTED_VALUE"""),34.0)</f>
        <v>34</v>
      </c>
      <c r="B35" s="13" t="str">
        <f>IFERROR(__xludf.DUMMYFUNCTION("""COMPUTED_VALUE"""),"Lattice")</f>
        <v>Lattice</v>
      </c>
      <c r="C35" s="14" t="str">
        <f>IFERROR(__xludf.DUMMYFUNCTION("""COMPUTED_VALUE"""),"Lattice_JEDI_D1_HW_Bring_Up_097")</f>
        <v>Lattice_JEDI_D1_HW_Bring_Up_097</v>
      </c>
      <c r="D35" s="13" t="str">
        <f>IFERROR(__xludf.DUMMYFUNCTION("""COMPUTED_VALUE"""),"Shashank Chaurasia")</f>
        <v>Shashank Chaurasia</v>
      </c>
      <c r="E35" s="15" t="s">
        <v>70</v>
      </c>
      <c r="F35" s="21" t="s">
        <v>70</v>
      </c>
      <c r="G35" s="26">
        <v>1.0</v>
      </c>
      <c r="H35" s="13"/>
      <c r="I35" s="17">
        <f>IFERROR(__xludf.DUMMYFUNCTION("""COMPUTED_VALUE"""),246.0)</f>
        <v>246</v>
      </c>
      <c r="J35" s="18">
        <f>IFERROR(__xludf.DUMMYFUNCTION("""COMPUTED_VALUE"""),58.0)</f>
        <v>58</v>
      </c>
      <c r="K35" s="19">
        <f>IFERROR(__xludf.DUMMYFUNCTION("""COMPUTED_VALUE"""),0.0)</f>
        <v>0</v>
      </c>
      <c r="L35" s="20" t="str">
        <f>IFERROR(__xludf.DUMMYFUNCTION("""COMPUTED_VALUE"""),"#VALUE!")</f>
        <v>#VALUE!</v>
      </c>
      <c r="M35" s="27" t="str">
        <f>IFERROR(__xludf.DUMMYFUNCTION("""COMPUTED_VALUE""")," Devlope the CertusPro-NX based devlopment board and create the demo for 10G Ethernet ")</f>
        <v>Devlope the CertusPro-NX based devlopment board and create the demo for 10G Ethernet</v>
      </c>
      <c r="N35" s="21">
        <f t="shared" si="1"/>
        <v>246</v>
      </c>
      <c r="O35" s="22">
        <f t="shared" si="2"/>
        <v>188</v>
      </c>
      <c r="P35" s="22" t="str">
        <f>IFERROR(__xludf.DUMMYFUNCTION("""COMPUTED_VALUE"""),"LATTICE")</f>
        <v>LATTICE</v>
      </c>
      <c r="Q35" s="28">
        <v>0.0</v>
      </c>
      <c r="R35" s="29" t="s">
        <v>117</v>
      </c>
      <c r="S35" s="29" t="s">
        <v>114</v>
      </c>
      <c r="T35" s="24"/>
    </row>
    <row r="36">
      <c r="A36" s="13">
        <f>IFERROR(__xludf.DUMMYFUNCTION("""COMPUTED_VALUE"""),35.0)</f>
        <v>35</v>
      </c>
      <c r="B36" s="13" t="str">
        <f>IFERROR(__xludf.DUMMYFUNCTION("""COMPUTED_VALUE"""),"TDFS")</f>
        <v>TDFS</v>
      </c>
      <c r="C36" s="14" t="str">
        <f>IFERROR(__xludf.DUMMYFUNCTION("""COMPUTED_VALUE"""),"TDFS_Lab_ARINC818_IP_AVPSM_Product_043")</f>
        <v>TDFS_Lab_ARINC818_IP_AVPSM_Product_043</v>
      </c>
      <c r="D36" s="13" t="str">
        <f>IFERROR(__xludf.DUMMYFUNCTION("""COMPUTED_VALUE"""),"Madhukar Manohar")</f>
        <v>Madhukar Manohar</v>
      </c>
      <c r="E36" s="15" t="s">
        <v>70</v>
      </c>
      <c r="F36" s="21" t="s">
        <v>70</v>
      </c>
      <c r="G36" s="26">
        <v>1.0</v>
      </c>
      <c r="H36" s="13"/>
      <c r="I36" s="17">
        <f>IFERROR(__xludf.DUMMYFUNCTION("""COMPUTED_VALUE"""),494.0)</f>
        <v>494</v>
      </c>
      <c r="J36" s="18">
        <f>IFERROR(__xludf.DUMMYFUNCTION("""COMPUTED_VALUE"""),897.0)</f>
        <v>897</v>
      </c>
      <c r="K36" s="19">
        <f>IFERROR(__xludf.DUMMYFUNCTION("""COMPUTED_VALUE"""),0.0)</f>
        <v>0</v>
      </c>
      <c r="L36" s="20" t="str">
        <f>IFERROR(__xludf.DUMMYFUNCTION("""COMPUTED_VALUE"""),"#VALUE!")</f>
        <v>#VALUE!</v>
      </c>
      <c r="M36" s="27" t="str">
        <f>IFERROR(__xludf.DUMMYFUNCTION("""COMPUTED_VALUE""")," Development of ARINC818 Video Processing and Switching Module ")</f>
        <v>Development of ARINC818 Video Processing and Switching Module</v>
      </c>
      <c r="N36" s="21">
        <f t="shared" si="1"/>
        <v>494</v>
      </c>
      <c r="O36" s="22">
        <f t="shared" si="2"/>
        <v>-403</v>
      </c>
      <c r="P36" s="22" t="str">
        <f>IFERROR(__xludf.DUMMYFUNCTION("""COMPUTED_VALUE"""),"ARINC")</f>
        <v>ARINC</v>
      </c>
      <c r="Q36" s="29" t="s">
        <v>113</v>
      </c>
      <c r="R36" s="29" t="s">
        <v>114</v>
      </c>
      <c r="S36" s="29" t="s">
        <v>113</v>
      </c>
      <c r="T36" s="24"/>
    </row>
    <row r="37">
      <c r="A37" s="13">
        <f>IFERROR(__xludf.DUMMYFUNCTION("""COMPUTED_VALUE"""),36.0)</f>
        <v>36</v>
      </c>
      <c r="B37" s="13" t="str">
        <f>IFERROR(__xludf.DUMMYFUNCTION("""COMPUTED_VALUE"""),"KANDOU")</f>
        <v>KANDOU</v>
      </c>
      <c r="C37" s="14" t="str">
        <f>IFERROR(__xludf.DUMMYFUNCTION("""COMPUTED_VALUE"""),"Kandou_Retimer_101")</f>
        <v>Kandou_Retimer_101</v>
      </c>
      <c r="D37" s="13" t="str">
        <f>IFERROR(__xludf.DUMMYFUNCTION("""COMPUTED_VALUE"""),"Deepak Goyal")</f>
        <v>Deepak Goyal</v>
      </c>
      <c r="E37" s="15" t="s">
        <v>70</v>
      </c>
      <c r="F37" s="21" t="s">
        <v>70</v>
      </c>
      <c r="G37" s="26">
        <v>1.0</v>
      </c>
      <c r="H37" s="13"/>
      <c r="I37" s="17">
        <f>IFERROR(__xludf.DUMMYFUNCTION("""COMPUTED_VALUE"""),40.0)</f>
        <v>40</v>
      </c>
      <c r="J37" s="18">
        <f>IFERROR(__xludf.DUMMYFUNCTION("""COMPUTED_VALUE"""),5.0)</f>
        <v>5</v>
      </c>
      <c r="K37" s="19">
        <f>IFERROR(__xludf.DUMMYFUNCTION("""COMPUTED_VALUE"""),0.0)</f>
        <v>0</v>
      </c>
      <c r="L37" s="20" t="str">
        <f>IFERROR(__xludf.DUMMYFUNCTION("""COMPUTED_VALUE"""),"#VALUE!")</f>
        <v>#VALUE!</v>
      </c>
      <c r="M37" s="27" t="str">
        <f>IFERROR(__xludf.DUMMYFUNCTION("""COMPUTED_VALUE""")," Support for understanding PCIe retimer requirements and architecture ")</f>
        <v>Support for understanding PCIe retimer requirements and architecture</v>
      </c>
      <c r="N37" s="21">
        <f t="shared" si="1"/>
        <v>40</v>
      </c>
      <c r="O37" s="22">
        <f t="shared" si="2"/>
        <v>35</v>
      </c>
      <c r="P37" s="22" t="str">
        <f>IFERROR(__xludf.DUMMYFUNCTION("""COMPUTED_VALUE"""),"KANDOU")</f>
        <v>KANDOU</v>
      </c>
      <c r="Q37" s="28">
        <v>0.0</v>
      </c>
      <c r="R37" s="29" t="s">
        <v>115</v>
      </c>
      <c r="S37" s="28">
        <v>0.0</v>
      </c>
      <c r="T37" s="24"/>
    </row>
    <row r="38">
      <c r="A38" s="13">
        <f>IFERROR(__xludf.DUMMYFUNCTION("""COMPUTED_VALUE"""),37.0)</f>
        <v>37</v>
      </c>
      <c r="B38" s="13" t="str">
        <f>IFERROR(__xludf.DUMMYFUNCTION("""COMPUTED_VALUE"""),"Lattice")</f>
        <v>Lattice</v>
      </c>
      <c r="C38" s="14" t="str">
        <f>IFERROR(__xludf.DUMMYFUNCTION("""COMPUTED_VALUE"""),"Lattice_Linux_PTP_111")</f>
        <v>Lattice_Linux_PTP_111</v>
      </c>
      <c r="D38" s="13" t="str">
        <f>IFERROR(__xludf.DUMMYFUNCTION("""COMPUTED_VALUE"""),"Mohammad Rafi")</f>
        <v>Mohammad Rafi</v>
      </c>
      <c r="E38" s="15" t="s">
        <v>70</v>
      </c>
      <c r="F38" s="21" t="s">
        <v>70</v>
      </c>
      <c r="G38" s="26">
        <v>1.0</v>
      </c>
      <c r="H38" s="13"/>
      <c r="I38" s="17">
        <f>IFERROR(__xludf.DUMMYFUNCTION("""COMPUTED_VALUE"""),212.8)</f>
        <v>212.8</v>
      </c>
      <c r="J38" s="18">
        <f>IFERROR(__xludf.DUMMYFUNCTION("""COMPUTED_VALUE"""),235.0)</f>
        <v>235</v>
      </c>
      <c r="K38" s="19">
        <f>IFERROR(__xludf.DUMMYFUNCTION("""COMPUTED_VALUE"""),0.0)</f>
        <v>0</v>
      </c>
      <c r="L38" s="20" t="str">
        <f>IFERROR(__xludf.DUMMYFUNCTION("""COMPUTED_VALUE"""),"#VALUE!")</f>
        <v>#VALUE!</v>
      </c>
      <c r="M38" s="27" t="str">
        <f>IFERROR(__xludf.DUMMYFUNCTION("""COMPUTED_VALUE""")," Development of HW, RTL/IP and SW for IEEE1588 PTP. The PTP engine is implemented in Linux environment ")</f>
        <v>Development of HW, RTL/IP and SW for IEEE1588 PTP. The PTP engine is implemented in Linux environment</v>
      </c>
      <c r="N38" s="21">
        <f t="shared" si="1"/>
        <v>212.8</v>
      </c>
      <c r="O38" s="22">
        <f t="shared" si="2"/>
        <v>-22.2</v>
      </c>
      <c r="P38" s="22" t="str">
        <f>IFERROR(__xludf.DUMMYFUNCTION("""COMPUTED_VALUE"""),"LATTICE")</f>
        <v>LATTICE</v>
      </c>
      <c r="Q38" s="23" t="s">
        <v>114</v>
      </c>
      <c r="R38" s="23" t="s">
        <v>114</v>
      </c>
      <c r="S38" s="23" t="s">
        <v>120</v>
      </c>
      <c r="T38" s="24"/>
    </row>
    <row r="39">
      <c r="A39" s="13">
        <f>IFERROR(__xludf.DUMMYFUNCTION("""COMPUTED_VALUE"""),38.0)</f>
        <v>38</v>
      </c>
      <c r="B39" s="13" t="str">
        <f>IFERROR(__xludf.DUMMYFUNCTION("""COMPUTED_VALUE"""),"KEYSIGHT")</f>
        <v>KEYSIGHT</v>
      </c>
      <c r="C39" s="14" t="str">
        <f>IFERROR(__xludf.DUMMYFUNCTION("""COMPUTED_VALUE"""),"Keysight_Vision_PCIe_Gen6_LTSSM_112")</f>
        <v>Keysight_Vision_PCIe_Gen6_LTSSM_112</v>
      </c>
      <c r="D39" s="13" t="str">
        <f>IFERROR(__xludf.DUMMYFUNCTION("""COMPUTED_VALUE"""),"Deepak Goyal")</f>
        <v>Deepak Goyal</v>
      </c>
      <c r="E39" s="32" t="s">
        <v>86</v>
      </c>
      <c r="F39" s="32" t="s">
        <v>86</v>
      </c>
      <c r="G39" s="33">
        <v>0.9</v>
      </c>
      <c r="H39" s="13"/>
      <c r="I39" s="17">
        <f>IFERROR(__xludf.DUMMYFUNCTION("""COMPUTED_VALUE"""),0.0)</f>
        <v>0</v>
      </c>
      <c r="J39" s="18">
        <f>IFERROR(__xludf.DUMMYFUNCTION("""COMPUTED_VALUE"""),128.0)</f>
        <v>128</v>
      </c>
      <c r="K39" s="19">
        <f>IFERROR(__xludf.DUMMYFUNCTION("""COMPUTED_VALUE"""),15.23173)</f>
        <v>15.23173</v>
      </c>
      <c r="L39" s="31"/>
      <c r="M39" s="27" t="str">
        <f>IFERROR(__xludf.DUMMYFUNCTION("""COMPUTED_VALUE""")," Porting on PCIe Gen6 LTSSM on Vision PG to test with LOKI ED. ")</f>
        <v>Porting on PCIe Gen6 LTSSM on Vision PG to test with LOKI ED.</v>
      </c>
      <c r="N39" s="21">
        <f t="shared" si="1"/>
        <v>0</v>
      </c>
      <c r="O39" s="22">
        <f t="shared" si="2"/>
        <v>-128</v>
      </c>
      <c r="P39" s="22" t="str">
        <f>IFERROR(__xludf.DUMMYFUNCTION("""COMPUTED_VALUE"""),"BERT")</f>
        <v>BERT</v>
      </c>
      <c r="Q39" s="28">
        <v>0.0</v>
      </c>
      <c r="R39" s="29" t="s">
        <v>115</v>
      </c>
      <c r="S39" s="28">
        <v>0.0</v>
      </c>
      <c r="T39" s="24"/>
    </row>
    <row r="40">
      <c r="A40" s="13">
        <f>IFERROR(__xludf.DUMMYFUNCTION("""COMPUTED_VALUE"""),39.0)</f>
        <v>39</v>
      </c>
      <c r="B40" s="13" t="str">
        <f>IFERROR(__xludf.DUMMYFUNCTION("""COMPUTED_VALUE"""),"IRDE-LAB")</f>
        <v>IRDE-LAB</v>
      </c>
      <c r="C40" s="14" t="str">
        <f>IFERROR(__xludf.DUMMYFUNCTION("""COMPUTED_VALUE"""),"IRDE_Lab_Rigiflex_PCB_113")</f>
        <v>IRDE_Lab_Rigiflex_PCB_113</v>
      </c>
      <c r="D40" s="13" t="str">
        <f>IFERROR(__xludf.DUMMYFUNCTION("""COMPUTED_VALUE"""),"Shashank Chaurasia")</f>
        <v>Shashank Chaurasia</v>
      </c>
      <c r="E40" s="15" t="s">
        <v>70</v>
      </c>
      <c r="F40" s="21" t="s">
        <v>70</v>
      </c>
      <c r="G40" s="26">
        <v>1.0</v>
      </c>
      <c r="H40" s="13"/>
      <c r="I40" s="17">
        <f>IFERROR(__xludf.DUMMYFUNCTION("""COMPUTED_VALUE"""),9.0)</f>
        <v>9</v>
      </c>
      <c r="J40" s="18" t="str">
        <f>IFERROR(__xludf.DUMMYFUNCTION("""COMPUTED_VALUE"""),"-")</f>
        <v>-</v>
      </c>
      <c r="K40" s="19">
        <f>IFERROR(__xludf.DUMMYFUNCTION("""COMPUTED_VALUE"""),0.0)</f>
        <v>0</v>
      </c>
      <c r="L40" s="20" t="str">
        <f>IFERROR(__xludf.DUMMYFUNCTION("""COMPUTED_VALUE"""),"#VALUE!")</f>
        <v>#VALUE!</v>
      </c>
      <c r="M40" s="27" t="str">
        <f>IFERROR(__xludf.DUMMYFUNCTION("""COMPUTED_VALUE""")," Provide the Rigiflex cable and give the support for Thermal Imager ver1 ")</f>
        <v>Provide the Rigiflex cable and give the support for Thermal Imager ver1</v>
      </c>
      <c r="N40" s="21">
        <f t="shared" si="1"/>
        <v>9</v>
      </c>
      <c r="O40" s="22" t="str">
        <f t="shared" si="2"/>
        <v>#VALUE!</v>
      </c>
      <c r="P40" s="22" t="str">
        <f>IFERROR(__xludf.DUMMYFUNCTION("""COMPUTED_VALUE"""),"IRDE-LAB")</f>
        <v>IRDE-LAB</v>
      </c>
      <c r="Q40" s="28">
        <v>0.0</v>
      </c>
      <c r="R40" s="29" t="s">
        <v>121</v>
      </c>
      <c r="S40" s="29" t="s">
        <v>113</v>
      </c>
      <c r="T40" s="24"/>
    </row>
    <row r="41">
      <c r="A41" s="13">
        <f>IFERROR(__xludf.DUMMYFUNCTION("""COMPUTED_VALUE"""),40.0)</f>
        <v>40</v>
      </c>
      <c r="B41" s="13" t="str">
        <f>IFERROR(__xludf.DUMMYFUNCTION("""COMPUTED_VALUE"""),"Microx Lab")</f>
        <v>Microx Lab</v>
      </c>
      <c r="C41" s="14" t="str">
        <f>IFERROR(__xludf.DUMMYFUNCTION("""COMPUTED_VALUE"""),"Microxlab_Cytox_Phase2_083")</f>
        <v>Microxlab_Cytox_Phase2_083</v>
      </c>
      <c r="D41" s="13" t="str">
        <f>IFERROR(__xludf.DUMMYFUNCTION("""COMPUTED_VALUE"""),"Sanjeev Kumar")</f>
        <v>Sanjeev Kumar</v>
      </c>
      <c r="E41" s="15" t="s">
        <v>70</v>
      </c>
      <c r="F41" s="21" t="s">
        <v>70</v>
      </c>
      <c r="G41" s="26">
        <v>1.0</v>
      </c>
      <c r="H41" s="13"/>
      <c r="I41" s="17">
        <f>IFERROR(__xludf.DUMMYFUNCTION("""COMPUTED_VALUE"""),7.0)</f>
        <v>7</v>
      </c>
      <c r="J41" s="18">
        <f>IFERROR(__xludf.DUMMYFUNCTION("""COMPUTED_VALUE"""),147.0)</f>
        <v>147</v>
      </c>
      <c r="K41" s="19">
        <f>IFERROR(__xludf.DUMMYFUNCTION("""COMPUTED_VALUE"""),0.0)</f>
        <v>0</v>
      </c>
      <c r="L41" s="20" t="str">
        <f>IFERROR(__xludf.DUMMYFUNCTION("""COMPUTED_VALUE"""),"#VALUE!")</f>
        <v>#VALUE!</v>
      </c>
      <c r="M41" s="27" t="str">
        <f>IFERROR(__xludf.DUMMYFUNCTION("""COMPUTED_VALUE""")," Development of Phase 2 design of Lock in amplifier and signal source generator of two mix frequencies to be used for medical application  ")</f>
        <v>Development of Phase 2 design of Lock in amplifier and signal source generator of two mix frequencies to be used for medical application </v>
      </c>
      <c r="N41" s="21">
        <f t="shared" si="1"/>
        <v>7</v>
      </c>
      <c r="O41" s="22">
        <f t="shared" si="2"/>
        <v>-140</v>
      </c>
      <c r="P41" s="22" t="str">
        <f>IFERROR(__xludf.DUMMYFUNCTION("""COMPUTED_VALUE"""),"CYTOX")</f>
        <v>CYTOX</v>
      </c>
      <c r="Q41" s="29" t="s">
        <v>120</v>
      </c>
      <c r="R41" s="29" t="s">
        <v>114</v>
      </c>
      <c r="S41" s="29" t="s">
        <v>114</v>
      </c>
      <c r="T41" s="24"/>
    </row>
    <row r="42">
      <c r="A42" s="13">
        <f>IFERROR(__xludf.DUMMYFUNCTION("""COMPUTED_VALUE"""),41.0)</f>
        <v>41</v>
      </c>
      <c r="B42" s="13" t="str">
        <f>IFERROR(__xludf.DUMMYFUNCTION("""COMPUTED_VALUE"""),"ITI")</f>
        <v>ITI</v>
      </c>
      <c r="C42" s="14" t="str">
        <f>IFERROR(__xludf.DUMMYFUNCTION("""COMPUTED_VALUE"""),"ITI_ISS_Version_1_018")</f>
        <v>ITI_ISS_Version_1_018</v>
      </c>
      <c r="D42" s="13" t="str">
        <f>IFERROR(__xludf.DUMMYFUNCTION("""COMPUTED_VALUE"""),"Mohammad Rafi")</f>
        <v>Mohammad Rafi</v>
      </c>
      <c r="E42" s="15" t="s">
        <v>70</v>
      </c>
      <c r="F42" s="21" t="s">
        <v>70</v>
      </c>
      <c r="G42" s="26">
        <v>1.0</v>
      </c>
      <c r="H42" s="13"/>
      <c r="I42" s="17">
        <f>IFERROR(__xludf.DUMMYFUNCTION("""COMPUTED_VALUE"""),465.0)</f>
        <v>465</v>
      </c>
      <c r="J42" s="18">
        <f>IFERROR(__xludf.DUMMYFUNCTION("""COMPUTED_VALUE"""),397.0)</f>
        <v>397</v>
      </c>
      <c r="K42" s="19">
        <f>IFERROR(__xludf.DUMMYFUNCTION("""COMPUTED_VALUE"""),0.0)</f>
        <v>0</v>
      </c>
      <c r="L42" s="20" t="str">
        <f>IFERROR(__xludf.DUMMYFUNCTION("""COMPUTED_VALUE"""),"#VALUE!")</f>
        <v>#VALUE!</v>
      </c>
      <c r="M42" s="27" t="str">
        <f>IFERROR(__xludf.DUMMYFUNCTION("""COMPUTED_VALUE""")," Design and Development fo EVMs (for election process) ")</f>
        <v>Design and Development fo EVMs (for election process)</v>
      </c>
      <c r="N42" s="21">
        <f t="shared" si="1"/>
        <v>465</v>
      </c>
      <c r="O42" s="22">
        <f t="shared" si="2"/>
        <v>68</v>
      </c>
      <c r="P42" s="22" t="str">
        <f>IFERROR(__xludf.DUMMYFUNCTION("""COMPUTED_VALUE"""),"ITI")</f>
        <v>ITI</v>
      </c>
      <c r="Q42" s="23" t="s">
        <v>117</v>
      </c>
      <c r="R42" s="28">
        <v>0.0</v>
      </c>
      <c r="S42" s="23" t="s">
        <v>114</v>
      </c>
      <c r="T42" s="24"/>
    </row>
    <row r="43">
      <c r="A43" s="13">
        <f>IFERROR(__xludf.DUMMYFUNCTION("""COMPUTED_VALUE"""),42.0)</f>
        <v>42</v>
      </c>
      <c r="B43" s="13" t="str">
        <f>IFERROR(__xludf.DUMMYFUNCTION("""COMPUTED_VALUE"""),"KEYSIGHT")</f>
        <v>KEYSIGHT</v>
      </c>
      <c r="C43" s="14" t="str">
        <f>IFERROR(__xludf.DUMMYFUNCTION("""COMPUTED_VALUE"""),"Keysight_Ketch_NVMe_114")</f>
        <v>Keysight_Ketch_NVMe_114</v>
      </c>
      <c r="D43" s="13" t="str">
        <f>IFERROR(__xludf.DUMMYFUNCTION("""COMPUTED_VALUE"""),"Rahul Sharma")</f>
        <v>Rahul Sharma</v>
      </c>
      <c r="E43" s="15" t="s">
        <v>70</v>
      </c>
      <c r="F43" s="21" t="s">
        <v>70</v>
      </c>
      <c r="G43" s="33">
        <v>0.0</v>
      </c>
      <c r="H43" s="13"/>
      <c r="I43" s="17">
        <f>IFERROR(__xludf.DUMMYFUNCTION("""COMPUTED_VALUE"""),0.0)</f>
        <v>0</v>
      </c>
      <c r="J43" s="18">
        <f>IFERROR(__xludf.DUMMYFUNCTION("""COMPUTED_VALUE"""),23.0)</f>
        <v>23</v>
      </c>
      <c r="K43" s="19">
        <f>IFERROR(__xludf.DUMMYFUNCTION("""COMPUTED_VALUE"""),0.0)</f>
        <v>0</v>
      </c>
      <c r="L43" s="31"/>
      <c r="M43" s="27" t="str">
        <f>IFERROR(__xludf.DUMMYFUNCTION("""COMPUTED_VALUE""")," No Go-ahead from Customer. Delete this entry.  ")</f>
        <v>No Go-ahead from Customer. Delete this entry. </v>
      </c>
      <c r="N43" s="21">
        <f t="shared" si="1"/>
        <v>0</v>
      </c>
      <c r="O43" s="22">
        <f t="shared" si="2"/>
        <v>-23</v>
      </c>
      <c r="P43" s="22" t="str">
        <f>IFERROR(__xludf.DUMMYFUNCTION("""COMPUTED_VALUE"""),"CORVETTE")</f>
        <v>CORVETTE</v>
      </c>
      <c r="Q43" s="29" t="s">
        <v>116</v>
      </c>
      <c r="R43" s="28">
        <v>0.0</v>
      </c>
      <c r="S43" s="29" t="s">
        <v>116</v>
      </c>
      <c r="T43" s="24"/>
    </row>
    <row r="44">
      <c r="A44" s="13">
        <f>IFERROR(__xludf.DUMMYFUNCTION("""COMPUTED_VALUE"""),43.0)</f>
        <v>43</v>
      </c>
      <c r="B44" s="13" t="str">
        <f>IFERROR(__xludf.DUMMYFUNCTION("""COMPUTED_VALUE"""),"CASDIC-LAB")</f>
        <v>CASDIC-LAB</v>
      </c>
      <c r="C44" s="14" t="str">
        <f>IFERROR(__xludf.DUMMYFUNCTION("""COMPUTED_VALUE"""),"CASDIC_Lab_STANAG_Video_Switching_Unit_Version1_115")</f>
        <v>CASDIC_Lab_STANAG_Video_Switching_Unit_Version1_115</v>
      </c>
      <c r="D44" s="13" t="str">
        <f>IFERROR(__xludf.DUMMYFUNCTION("""COMPUTED_VALUE"""),"Madhukar Manohar")</f>
        <v>Madhukar Manohar</v>
      </c>
      <c r="E44" s="15" t="s">
        <v>70</v>
      </c>
      <c r="F44" s="21" t="s">
        <v>70</v>
      </c>
      <c r="G44" s="26">
        <v>1.0</v>
      </c>
      <c r="H44" s="13"/>
      <c r="I44" s="17">
        <f>IFERROR(__xludf.DUMMYFUNCTION("""COMPUTED_VALUE"""),85.0)</f>
        <v>85</v>
      </c>
      <c r="J44" s="18">
        <f>IFERROR(__xludf.DUMMYFUNCTION("""COMPUTED_VALUE"""),41.0)</f>
        <v>41</v>
      </c>
      <c r="K44" s="19">
        <f>IFERROR(__xludf.DUMMYFUNCTION("""COMPUTED_VALUE"""),0.0)</f>
        <v>0</v>
      </c>
      <c r="L44" s="20" t="str">
        <f>IFERROR(__xludf.DUMMYFUNCTION("""COMPUTED_VALUE"""),"#VALUE!")</f>
        <v>#VALUE!</v>
      </c>
      <c r="M44" s="27" t="str">
        <f>IFERROR(__xludf.DUMMYFUNCTION("""COMPUTED_VALUE""")," Integration of SVPSM modue with SBC  ")</f>
        <v>Integration of SVPSM modue with SBC </v>
      </c>
      <c r="N44" s="21">
        <f t="shared" si="1"/>
        <v>85</v>
      </c>
      <c r="O44" s="22">
        <f t="shared" si="2"/>
        <v>44</v>
      </c>
      <c r="P44" s="22" t="str">
        <f>IFERROR(__xludf.DUMMYFUNCTION("""COMPUTED_VALUE"""),"ARINC")</f>
        <v>ARINC</v>
      </c>
      <c r="Q44" s="29" t="s">
        <v>122</v>
      </c>
      <c r="R44" s="29" t="s">
        <v>120</v>
      </c>
      <c r="S44" s="34"/>
      <c r="T44" s="24"/>
    </row>
    <row r="45">
      <c r="A45" s="13">
        <f>IFERROR(__xludf.DUMMYFUNCTION("""COMPUTED_VALUE"""),44.0)</f>
        <v>44</v>
      </c>
      <c r="B45" s="13" t="str">
        <f>IFERROR(__xludf.DUMMYFUNCTION("""COMPUTED_VALUE"""),"Microx Lab")</f>
        <v>Microx Lab</v>
      </c>
      <c r="C45" s="14" t="str">
        <f>IFERROR(__xludf.DUMMYFUNCTION("""COMPUTED_VALUE"""),"Microxlab_Cytox_Phase3_116")</f>
        <v>Microxlab_Cytox_Phase3_116</v>
      </c>
      <c r="D45" s="13" t="str">
        <f>IFERROR(__xludf.DUMMYFUNCTION("""COMPUTED_VALUE"""),"Akash Jain")</f>
        <v>Akash Jain</v>
      </c>
      <c r="E45" s="32" t="s">
        <v>65</v>
      </c>
      <c r="F45" s="21" t="s">
        <v>65</v>
      </c>
      <c r="G45" s="33">
        <v>0.8</v>
      </c>
      <c r="H45" s="13"/>
      <c r="I45" s="17">
        <f>IFERROR(__xludf.DUMMYFUNCTION("""COMPUTED_VALUE"""),80.80000000000001)</f>
        <v>80.8</v>
      </c>
      <c r="J45" s="18">
        <f>IFERROR(__xludf.DUMMYFUNCTION("""COMPUTED_VALUE"""),86.0)</f>
        <v>86</v>
      </c>
      <c r="K45" s="19">
        <f>IFERROR(__xludf.DUMMYFUNCTION("""COMPUTED_VALUE"""),3.6334340000000003)</f>
        <v>3.633434</v>
      </c>
      <c r="L45" s="20" t="str">
        <f>IFERROR(__xludf.DUMMYFUNCTION("""COMPUTED_VALUE"""),"#VALUE!")</f>
        <v>#VALUE!</v>
      </c>
      <c r="M45" s="27" t="str">
        <f>IFERROR(__xludf.DUMMYFUNCTION("""COMPUTED_VALUE""")," Development of Phase 3 design of Lock in amplifier and signal source generator of two mix frequencies to be used for medical application ")</f>
        <v>Development of Phase 3 design of Lock in amplifier and signal source generator of two mix frequencies to be used for medical application</v>
      </c>
      <c r="N45" s="21">
        <f t="shared" si="1"/>
        <v>64.64</v>
      </c>
      <c r="O45" s="22">
        <f t="shared" si="2"/>
        <v>-21.36</v>
      </c>
      <c r="P45" s="22" t="str">
        <f>IFERROR(__xludf.DUMMYFUNCTION("""COMPUTED_VALUE"""),"CYTOX")</f>
        <v>CYTOX</v>
      </c>
      <c r="Q45" s="29" t="s">
        <v>120</v>
      </c>
      <c r="R45" s="29" t="s">
        <v>114</v>
      </c>
      <c r="S45" s="29" t="s">
        <v>114</v>
      </c>
      <c r="T45" s="24"/>
    </row>
    <row r="46">
      <c r="A46" s="13">
        <f>IFERROR(__xludf.DUMMYFUNCTION("""COMPUTED_VALUE"""),45.0)</f>
        <v>45</v>
      </c>
      <c r="B46" s="13" t="str">
        <f>IFERROR(__xludf.DUMMYFUNCTION("""COMPUTED_VALUE"""),"LFT")</f>
        <v>LFT</v>
      </c>
      <c r="C46" s="14" t="str">
        <f>IFERROR(__xludf.DUMMYFUNCTION("""COMPUTED_VALUE"""),"LFT_eCPRI_IP_Development_117")</f>
        <v>LFT_eCPRI_IP_Development_117</v>
      </c>
      <c r="D46" s="13" t="str">
        <f>IFERROR(__xludf.DUMMYFUNCTION("""COMPUTED_VALUE"""),"Shashank Chaurasia")</f>
        <v>Shashank Chaurasia</v>
      </c>
      <c r="E46" s="21" t="s">
        <v>75</v>
      </c>
      <c r="F46" s="21" t="s">
        <v>75</v>
      </c>
      <c r="G46" s="26">
        <v>1.0</v>
      </c>
      <c r="H46" s="13"/>
      <c r="I46" s="17">
        <f>IFERROR(__xludf.DUMMYFUNCTION("""COMPUTED_VALUE"""),0.0)</f>
        <v>0</v>
      </c>
      <c r="J46" s="18">
        <f>IFERROR(__xludf.DUMMYFUNCTION("""COMPUTED_VALUE"""),4.0)</f>
        <v>4</v>
      </c>
      <c r="K46" s="19">
        <f>IFERROR(__xludf.DUMMYFUNCTION("""COMPUTED_VALUE"""),0.0)</f>
        <v>0</v>
      </c>
      <c r="L46" s="20" t="str">
        <f>IFERROR(__xludf.DUMMYFUNCTION("""COMPUTED_VALUE"""),"#VALUE!")</f>
        <v>#VALUE!</v>
      </c>
      <c r="M46" s="27" t="str">
        <f>IFERROR(__xludf.DUMMYFUNCTION("""COMPUTED_VALUE""")," Devlopment of the eCPRI IP  ")</f>
        <v>Devlopment of the eCPRI IP </v>
      </c>
      <c r="N46" s="21">
        <f t="shared" si="1"/>
        <v>0</v>
      </c>
      <c r="O46" s="22">
        <f t="shared" si="2"/>
        <v>-4</v>
      </c>
      <c r="P46" s="22" t="str">
        <f>IFERROR(__xludf.DUMMYFUNCTION("""COMPUTED_VALUE"""),"ECPRI")</f>
        <v>ECPRI</v>
      </c>
      <c r="Q46" s="28">
        <v>0.0</v>
      </c>
      <c r="R46" s="29" t="s">
        <v>115</v>
      </c>
      <c r="S46" s="28">
        <v>0.0</v>
      </c>
      <c r="T46" s="24"/>
    </row>
    <row r="47">
      <c r="A47" s="13">
        <f>IFERROR(__xludf.DUMMYFUNCTION("""COMPUTED_VALUE"""),46.0)</f>
        <v>46</v>
      </c>
      <c r="B47" s="13" t="str">
        <f>IFERROR(__xludf.DUMMYFUNCTION("""COMPUTED_VALUE"""),"ISTRAC")</f>
        <v>ISTRAC</v>
      </c>
      <c r="C47" s="14" t="str">
        <f>IFERROR(__xludf.DUMMYFUNCTION("""COMPUTED_VALUE"""),"ISTRAC_Lab_RF_Recorder_003")</f>
        <v>ISTRAC_Lab_RF_Recorder_003</v>
      </c>
      <c r="D47" s="13" t="str">
        <f>IFERROR(__xludf.DUMMYFUNCTION("""COMPUTED_VALUE"""),"Madhukar Manohar")</f>
        <v>Madhukar Manohar</v>
      </c>
      <c r="E47" s="15" t="s">
        <v>70</v>
      </c>
      <c r="F47" s="21" t="s">
        <v>70</v>
      </c>
      <c r="G47" s="26">
        <v>1.0</v>
      </c>
      <c r="H47" s="13"/>
      <c r="I47" s="17">
        <f>IFERROR(__xludf.DUMMYFUNCTION("""COMPUTED_VALUE"""),79.0)</f>
        <v>79</v>
      </c>
      <c r="J47" s="18">
        <f>IFERROR(__xludf.DUMMYFUNCTION("""COMPUTED_VALUE"""),130.0)</f>
        <v>130</v>
      </c>
      <c r="K47" s="19">
        <f>IFERROR(__xludf.DUMMYFUNCTION("""COMPUTED_VALUE"""),0.0)</f>
        <v>0</v>
      </c>
      <c r="L47" s="20" t="str">
        <f>IFERROR(__xludf.DUMMYFUNCTION("""COMPUTED_VALUE"""),"#VALUE!")</f>
        <v>#VALUE!</v>
      </c>
      <c r="M47" s="27" t="str">
        <f>IFERROR(__xludf.DUMMYFUNCTION("""COMPUTED_VALUE""")," Development of RF recorder ")</f>
        <v>Development of RF recorder</v>
      </c>
      <c r="N47" s="21">
        <f t="shared" si="1"/>
        <v>79</v>
      </c>
      <c r="O47" s="22">
        <f t="shared" si="2"/>
        <v>-51</v>
      </c>
      <c r="P47" s="22" t="str">
        <f>IFERROR(__xludf.DUMMYFUNCTION("""COMPUTED_VALUE"""),"ISTRAC")</f>
        <v>ISTRAC</v>
      </c>
      <c r="Q47" s="29" t="s">
        <v>113</v>
      </c>
      <c r="R47" s="29" t="s">
        <v>114</v>
      </c>
      <c r="S47" s="29" t="s">
        <v>113</v>
      </c>
      <c r="T47" s="24"/>
    </row>
    <row r="48">
      <c r="A48" s="13">
        <f>IFERROR(__xludf.DUMMYFUNCTION("""COMPUTED_VALUE"""),47.0)</f>
        <v>47</v>
      </c>
      <c r="B48" s="13" t="str">
        <f>IFERROR(__xludf.DUMMYFUNCTION("""COMPUTED_VALUE"""),"LFT")</f>
        <v>LFT</v>
      </c>
      <c r="C48" s="14" t="str">
        <f>IFERROR(__xludf.DUMMYFUNCTION("""COMPUTED_VALUE"""),"LFT_Multi_Functional_Monitor_(MFM)_118")</f>
        <v>LFT_Multi_Functional_Monitor_(MFM)_118</v>
      </c>
      <c r="D48" s="13" t="str">
        <f>IFERROR(__xludf.DUMMYFUNCTION("""COMPUTED_VALUE"""),"Rahul Sharma")</f>
        <v>Rahul Sharma</v>
      </c>
      <c r="E48" s="15" t="s">
        <v>70</v>
      </c>
      <c r="F48" s="21" t="s">
        <v>70</v>
      </c>
      <c r="G48" s="26">
        <v>1.0</v>
      </c>
      <c r="H48" s="13"/>
      <c r="I48" s="17">
        <f>IFERROR(__xludf.DUMMYFUNCTION("""COMPUTED_VALUE"""),0.0)</f>
        <v>0</v>
      </c>
      <c r="J48" s="18">
        <f>IFERROR(__xludf.DUMMYFUNCTION("""COMPUTED_VALUE"""),24.0)</f>
        <v>24</v>
      </c>
      <c r="K48" s="19">
        <f>IFERROR(__xludf.DUMMYFUNCTION("""COMPUTED_VALUE"""),0.0)</f>
        <v>0</v>
      </c>
      <c r="L48" s="20" t="str">
        <f>IFERROR(__xludf.DUMMYFUNCTION("""COMPUTED_VALUE"""),"#VALUE!")</f>
        <v>#VALUE!</v>
      </c>
      <c r="M48" s="27" t="str">
        <f>IFERROR(__xludf.DUMMYFUNCTION("""COMPUTED_VALUE""")," Project clubbed under LRDE ARINC product development ")</f>
        <v>Project clubbed under LRDE ARINC product development</v>
      </c>
      <c r="N48" s="21">
        <f t="shared" si="1"/>
        <v>0</v>
      </c>
      <c r="O48" s="22">
        <f t="shared" si="2"/>
        <v>-24</v>
      </c>
      <c r="P48" s="22" t="str">
        <f>IFERROR(__xludf.DUMMYFUNCTION("""COMPUTED_VALUE"""),"ARINC")</f>
        <v>ARINC</v>
      </c>
      <c r="Q48" s="28">
        <v>0.0</v>
      </c>
      <c r="R48" s="29" t="s">
        <v>116</v>
      </c>
      <c r="S48" s="29" t="s">
        <v>116</v>
      </c>
      <c r="T48" s="24"/>
    </row>
    <row r="49">
      <c r="A49" s="13">
        <f>IFERROR(__xludf.DUMMYFUNCTION("""COMPUTED_VALUE"""),48.0)</f>
        <v>48</v>
      </c>
      <c r="B49" s="13" t="str">
        <f>IFERROR(__xludf.DUMMYFUNCTION("""COMPUTED_VALUE"""),"Methode")</f>
        <v>Methode</v>
      </c>
      <c r="C49" s="14" t="str">
        <f>IFERROR(__xludf.DUMMYFUNCTION("""COMPUTED_VALUE"""),"Methode_SFP_TX_Disable_119")</f>
        <v>Methode_SFP_TX_Disable_119</v>
      </c>
      <c r="D49" s="13" t="str">
        <f>IFERROR(__xludf.DUMMYFUNCTION("""COMPUTED_VALUE"""),"Shashank Chaurasia")</f>
        <v>Shashank Chaurasia</v>
      </c>
      <c r="E49" s="15" t="s">
        <v>70</v>
      </c>
      <c r="F49" s="21" t="s">
        <v>70</v>
      </c>
      <c r="G49" s="26">
        <v>1.0</v>
      </c>
      <c r="H49" s="13"/>
      <c r="I49" s="17">
        <f>IFERROR(__xludf.DUMMYFUNCTION("""COMPUTED_VALUE"""),7.0)</f>
        <v>7</v>
      </c>
      <c r="J49" s="18">
        <f>IFERROR(__xludf.DUMMYFUNCTION("""COMPUTED_VALUE"""),2.0)</f>
        <v>2</v>
      </c>
      <c r="K49" s="19">
        <f>IFERROR(__xludf.DUMMYFUNCTION("""COMPUTED_VALUE"""),0.0)</f>
        <v>0</v>
      </c>
      <c r="L49" s="20" t="str">
        <f>IFERROR(__xludf.DUMMYFUNCTION("""COMPUTED_VALUE"""),"#VALUE!")</f>
        <v>#VALUE!</v>
      </c>
      <c r="M49" s="27" t="str">
        <f>IFERROR(__xludf.DUMMYFUNCTION("""COMPUTED_VALUE""")," Bug fixing for the last release MDIO interface ")</f>
        <v>Bug fixing for the last release MDIO interface</v>
      </c>
      <c r="N49" s="21">
        <f t="shared" si="1"/>
        <v>7</v>
      </c>
      <c r="O49" s="22">
        <f t="shared" si="2"/>
        <v>5</v>
      </c>
      <c r="P49" s="22" t="str">
        <f>IFERROR(__xludf.DUMMYFUNCTION("""COMPUTED_VALUE"""),"METHODE")</f>
        <v>METHODE</v>
      </c>
      <c r="Q49" s="28">
        <v>0.0</v>
      </c>
      <c r="R49" s="29" t="s">
        <v>115</v>
      </c>
      <c r="S49" s="28">
        <v>0.0</v>
      </c>
      <c r="T49" s="24"/>
    </row>
    <row r="50">
      <c r="A50" s="13">
        <f>IFERROR(__xludf.DUMMYFUNCTION("""COMPUTED_VALUE"""),49.0)</f>
        <v>49</v>
      </c>
      <c r="B50" s="13" t="str">
        <f>IFERROR(__xludf.DUMMYFUNCTION("""COMPUTED_VALUE"""),"Lattice")</f>
        <v>Lattice</v>
      </c>
      <c r="C50" s="14" t="str">
        <f>IFERROR(__xludf.DUMMYFUNCTION("""COMPUTED_VALUE"""),"Lattice_Automate_Stack_3.0_120")</f>
        <v>Lattice_Automate_Stack_3.0_120</v>
      </c>
      <c r="D50" s="13" t="str">
        <f>IFERROR(__xludf.DUMMYFUNCTION("""COMPUTED_VALUE"""),"Shashank Chaurasia")</f>
        <v>Shashank Chaurasia</v>
      </c>
      <c r="E50" s="15" t="s">
        <v>70</v>
      </c>
      <c r="F50" s="21" t="s">
        <v>70</v>
      </c>
      <c r="G50" s="26">
        <v>1.0</v>
      </c>
      <c r="H50" s="13"/>
      <c r="I50" s="17">
        <f>IFERROR(__xludf.DUMMYFUNCTION("""COMPUTED_VALUE"""),175.0)</f>
        <v>175</v>
      </c>
      <c r="J50" s="18">
        <f>IFERROR(__xludf.DUMMYFUNCTION("""COMPUTED_VALUE"""),68.0)</f>
        <v>68</v>
      </c>
      <c r="K50" s="19">
        <f>IFERROR(__xludf.DUMMYFUNCTION("""COMPUTED_VALUE"""),0.0)</f>
        <v>0</v>
      </c>
      <c r="L50" s="20" t="str">
        <f>IFERROR(__xludf.DUMMYFUNCTION("""COMPUTED_VALUE"""),"#VALUE!")</f>
        <v>#VALUE!</v>
      </c>
      <c r="M50" s="27" t="str">
        <f>IFERROR(__xludf.DUMMYFUNCTION("""COMPUTED_VALUE""")," Inhance the Ethercontrol IP and OPCUA support with Ethernet interface on Automate 2.0 Ver ")</f>
        <v>Inhance the Ethercontrol IP and OPCUA support with Ethernet interface on Automate 2.0 Ver</v>
      </c>
      <c r="N50" s="21">
        <f t="shared" si="1"/>
        <v>175</v>
      </c>
      <c r="O50" s="22">
        <f t="shared" si="2"/>
        <v>107</v>
      </c>
      <c r="P50" s="22" t="str">
        <f>IFERROR(__xludf.DUMMYFUNCTION("""COMPUTED_VALUE"""),"LATTICE")</f>
        <v>LATTICE</v>
      </c>
      <c r="Q50" s="29" t="s">
        <v>116</v>
      </c>
      <c r="R50" s="29" t="s">
        <v>116</v>
      </c>
      <c r="S50" s="28">
        <v>0.0</v>
      </c>
      <c r="T50" s="24"/>
    </row>
    <row r="51">
      <c r="A51" s="13">
        <f>IFERROR(__xludf.DUMMYFUNCTION("""COMPUTED_VALUE"""),50.0)</f>
        <v>50</v>
      </c>
      <c r="B51" s="13" t="str">
        <f>IFERROR(__xludf.DUMMYFUNCTION("""COMPUTED_VALUE"""),"Lattice")</f>
        <v>Lattice</v>
      </c>
      <c r="C51" s="14" t="str">
        <f>IFERROR(__xludf.DUMMYFUNCTION("""COMPUTED_VALUE"""),"Lattice_IP_Design_&amp;_Verification_T&amp;M_121")</f>
        <v>Lattice_IP_Design_&amp;_Verification_T&amp;M_121</v>
      </c>
      <c r="D51" s="13" t="str">
        <f>IFERROR(__xludf.DUMMYFUNCTION("""COMPUTED_VALUE"""),"Shashank Chaurasia")</f>
        <v>Shashank Chaurasia</v>
      </c>
      <c r="E51" s="15" t="s">
        <v>70</v>
      </c>
      <c r="F51" s="32" t="s">
        <v>70</v>
      </c>
      <c r="G51" s="26">
        <v>1.0</v>
      </c>
      <c r="H51" s="13"/>
      <c r="I51" s="17">
        <f>IFERROR(__xludf.DUMMYFUNCTION("""COMPUTED_VALUE"""),447.0)</f>
        <v>447</v>
      </c>
      <c r="J51" s="18">
        <f>IFERROR(__xludf.DUMMYFUNCTION("""COMPUTED_VALUE"""),426.0)</f>
        <v>426</v>
      </c>
      <c r="K51" s="19">
        <f>IFERROR(__xludf.DUMMYFUNCTION("""COMPUTED_VALUE"""),4.139884)</f>
        <v>4.139884</v>
      </c>
      <c r="L51" s="20" t="str">
        <f>IFERROR(__xludf.DUMMYFUNCTION("""COMPUTED_VALUE"""),"#VALUE!")</f>
        <v>#VALUE!</v>
      </c>
      <c r="M51" s="27" t="str">
        <f>IFERROR(__xludf.DUMMYFUNCTION("""COMPUTED_VALUE""")," Provide the Design support for QSPI Flash controller and Verification support for PCIe, QSPI, Octal SPI and Flash controller  ")</f>
        <v>Provide the Design support for QSPI Flash controller and Verification support for PCIe, QSPI, Octal SPI and Flash controller </v>
      </c>
      <c r="N51" s="21">
        <f t="shared" si="1"/>
        <v>447</v>
      </c>
      <c r="O51" s="22">
        <f t="shared" si="2"/>
        <v>21</v>
      </c>
      <c r="P51" s="22" t="str">
        <f>IFERROR(__xludf.DUMMYFUNCTION("""COMPUTED_VALUE"""),"LATTICE")</f>
        <v>LATTICE</v>
      </c>
      <c r="Q51" s="28">
        <v>0.0</v>
      </c>
      <c r="R51" s="29" t="s">
        <v>115</v>
      </c>
      <c r="S51" s="28">
        <v>0.0</v>
      </c>
      <c r="T51" s="24"/>
    </row>
    <row r="52">
      <c r="A52" s="13">
        <f>IFERROR(__xludf.DUMMYFUNCTION("""COMPUTED_VALUE"""),51.0)</f>
        <v>51</v>
      </c>
      <c r="B52" s="13" t="str">
        <f>IFERROR(__xludf.DUMMYFUNCTION("""COMPUTED_VALUE"""),"Lattice")</f>
        <v>Lattice</v>
      </c>
      <c r="C52" s="14" t="str">
        <f>IFERROR(__xludf.DUMMYFUNCTION("""COMPUTED_VALUE"""),"Lattice_IP_Turnkey_Mode_122")</f>
        <v>Lattice_IP_Turnkey_Mode_122</v>
      </c>
      <c r="D52" s="13" t="str">
        <f>IFERROR(__xludf.DUMMYFUNCTION("""COMPUTED_VALUE"""),"Shashank Chaurasia")</f>
        <v>Shashank Chaurasia</v>
      </c>
      <c r="E52" s="15" t="s">
        <v>70</v>
      </c>
      <c r="F52" s="21" t="s">
        <v>70</v>
      </c>
      <c r="G52" s="26">
        <v>1.0</v>
      </c>
      <c r="H52" s="13"/>
      <c r="I52" s="17">
        <f>IFERROR(__xludf.DUMMYFUNCTION("""COMPUTED_VALUE"""),380.0)</f>
        <v>380</v>
      </c>
      <c r="J52" s="18">
        <f>IFERROR(__xludf.DUMMYFUNCTION("""COMPUTED_VALUE"""),195.0)</f>
        <v>195</v>
      </c>
      <c r="K52" s="19">
        <f>IFERROR(__xludf.DUMMYFUNCTION("""COMPUTED_VALUE"""),0.0)</f>
        <v>0</v>
      </c>
      <c r="L52" s="20" t="str">
        <f>IFERROR(__xludf.DUMMYFUNCTION("""COMPUTED_VALUE"""),"#VALUE!")</f>
        <v>#VALUE!</v>
      </c>
      <c r="M52" s="27" t="str">
        <f>IFERROR(__xludf.DUMMYFUNCTION("""COMPUTED_VALUE""")," Implement and verify the multiple IPs i.e. MDIO, AXI Slice, eSPI, I3C filter, Video Scaler ")</f>
        <v>Implement and verify the multiple IPs i.e. MDIO, AXI Slice, eSPI, I3C filter, Video Scaler</v>
      </c>
      <c r="N52" s="21">
        <f t="shared" si="1"/>
        <v>380</v>
      </c>
      <c r="O52" s="22">
        <f t="shared" si="2"/>
        <v>185</v>
      </c>
      <c r="P52" s="22" t="str">
        <f>IFERROR(__xludf.DUMMYFUNCTION("""COMPUTED_VALUE"""),"LATTICE")</f>
        <v>LATTICE</v>
      </c>
      <c r="Q52" s="29" t="s">
        <v>118</v>
      </c>
      <c r="R52" s="29" t="s">
        <v>119</v>
      </c>
      <c r="S52" s="28">
        <v>0.0</v>
      </c>
      <c r="T52" s="24"/>
    </row>
    <row r="53">
      <c r="A53" s="13">
        <f>IFERROR(__xludf.DUMMYFUNCTION("""COMPUTED_VALUE"""),52.0)</f>
        <v>52</v>
      </c>
      <c r="B53" s="13" t="str">
        <f>IFERROR(__xludf.DUMMYFUNCTION("""COMPUTED_VALUE"""),"Eridan")</f>
        <v>Eridan</v>
      </c>
      <c r="C53" s="14" t="str">
        <f>IFERROR(__xludf.DUMMYFUNCTION("""COMPUTED_VALUE"""),"Eridan_Everest_123")</f>
        <v>Eridan_Everest_123</v>
      </c>
      <c r="D53" s="13" t="str">
        <f>IFERROR(__xludf.DUMMYFUNCTION("""COMPUTED_VALUE"""),"Mohammad Rafi")</f>
        <v>Mohammad Rafi</v>
      </c>
      <c r="E53" s="15" t="s">
        <v>70</v>
      </c>
      <c r="F53" s="21" t="s">
        <v>70</v>
      </c>
      <c r="G53" s="26">
        <v>1.0</v>
      </c>
      <c r="H53" s="13"/>
      <c r="I53" s="17">
        <f>IFERROR(__xludf.DUMMYFUNCTION("""COMPUTED_VALUE"""),22.68)</f>
        <v>22.68</v>
      </c>
      <c r="J53" s="18">
        <f>IFERROR(__xludf.DUMMYFUNCTION("""COMPUTED_VALUE"""),15.0)</f>
        <v>15</v>
      </c>
      <c r="K53" s="19">
        <f>IFERROR(__xludf.DUMMYFUNCTION("""COMPUTED_VALUE"""),0.0)</f>
        <v>0</v>
      </c>
      <c r="L53" s="20" t="str">
        <f>IFERROR(__xludf.DUMMYFUNCTION("""COMPUTED_VALUE"""),"#VALUE!")</f>
        <v>#VALUE!</v>
      </c>
      <c r="M53" s="27" t="str">
        <f>IFERROR(__xludf.DUMMYFUNCTION("""COMPUTED_VALUE""")," Feasibility Study for porting of 5G Front Haul IP developed for Xilinx FPGA to CertusProNX FPGA of Lattice ")</f>
        <v>Feasibility Study for porting of 5G Front Haul IP developed for Xilinx FPGA to CertusProNX FPGA of Lattice</v>
      </c>
      <c r="N53" s="21">
        <f t="shared" si="1"/>
        <v>22.68</v>
      </c>
      <c r="O53" s="22">
        <f t="shared" si="2"/>
        <v>7.68</v>
      </c>
      <c r="P53" s="22" t="str">
        <f>IFERROR(__xludf.DUMMYFUNCTION("""COMPUTED_VALUE"""),"ERIDAN")</f>
        <v>ERIDAN</v>
      </c>
      <c r="Q53" s="23" t="s">
        <v>114</v>
      </c>
      <c r="R53" s="23" t="s">
        <v>114</v>
      </c>
      <c r="S53" s="23" t="s">
        <v>120</v>
      </c>
      <c r="T53" s="24"/>
    </row>
    <row r="54">
      <c r="A54" s="13">
        <f>IFERROR(__xludf.DUMMYFUNCTION("""COMPUTED_VALUE"""),53.0)</f>
        <v>53</v>
      </c>
      <c r="B54" s="13" t="str">
        <f>IFERROR(__xludf.DUMMYFUNCTION("""COMPUTED_VALUE"""),"Achronix")</f>
        <v>Achronix</v>
      </c>
      <c r="C54" s="14" t="str">
        <f>IFERROR(__xludf.DUMMYFUNCTION("""COMPUTED_VALUE"""),"Achronix_JESD204C_IP_Porting_124")</f>
        <v>Achronix_JESD204C_IP_Porting_124</v>
      </c>
      <c r="D54" s="13" t="str">
        <f>IFERROR(__xludf.DUMMYFUNCTION("""COMPUTED_VALUE"""),"Deepak Goyal")</f>
        <v>Deepak Goyal</v>
      </c>
      <c r="E54" s="15" t="s">
        <v>70</v>
      </c>
      <c r="F54" s="21" t="s">
        <v>70</v>
      </c>
      <c r="G54" s="33">
        <v>1.0</v>
      </c>
      <c r="H54" s="13"/>
      <c r="I54" s="17">
        <f>IFERROR(__xludf.DUMMYFUNCTION("""COMPUTED_VALUE"""),162.0)</f>
        <v>162</v>
      </c>
      <c r="J54" s="18">
        <f>IFERROR(__xludf.DUMMYFUNCTION("""COMPUTED_VALUE"""),110.0)</f>
        <v>110</v>
      </c>
      <c r="K54" s="19">
        <f>IFERROR(__xludf.DUMMYFUNCTION("""COMPUTED_VALUE"""),0.0)</f>
        <v>0</v>
      </c>
      <c r="L54" s="20" t="str">
        <f>IFERROR(__xludf.DUMMYFUNCTION("""COMPUTED_VALUE"""),"#VALUE!")</f>
        <v>#VALUE!</v>
      </c>
      <c r="M54" s="27" t="str">
        <f>IFERROR(__xludf.DUMMYFUNCTION("""COMPUTED_VALUE""")," JESD204C IP porting on Achronix Vectorpath board to test with AD9082 HW  ")</f>
        <v>JESD204C IP porting on Achronix Vectorpath board to test with AD9082 HW </v>
      </c>
      <c r="N54" s="21">
        <f t="shared" si="1"/>
        <v>162</v>
      </c>
      <c r="O54" s="22">
        <f t="shared" si="2"/>
        <v>52</v>
      </c>
      <c r="P54" s="22" t="str">
        <f>IFERROR(__xludf.DUMMYFUNCTION("""COMPUTED_VALUE"""),"ACHRONIX")</f>
        <v>ACHRONIX</v>
      </c>
      <c r="Q54" s="29" t="s">
        <v>118</v>
      </c>
      <c r="R54" s="29" t="s">
        <v>122</v>
      </c>
      <c r="S54" s="29" t="s">
        <v>118</v>
      </c>
      <c r="T54" s="24"/>
    </row>
    <row r="55">
      <c r="A55" s="13">
        <f>IFERROR(__xludf.DUMMYFUNCTION("""COMPUTED_VALUE"""),54.0)</f>
        <v>54</v>
      </c>
      <c r="B55" s="13" t="str">
        <f>IFERROR(__xludf.DUMMYFUNCTION("""COMPUTED_VALUE"""),"LFT")</f>
        <v>LFT</v>
      </c>
      <c r="C55" s="14" t="str">
        <f>IFERROR(__xludf.DUMMYFUNCTION("""COMPUTED_VALUE"""),"LFT_Software_Defined_Radio_(SDR)_125")</f>
        <v>LFT_Software_Defined_Radio_(SDR)_125</v>
      </c>
      <c r="D55" s="13" t="str">
        <f>IFERROR(__xludf.DUMMYFUNCTION("""COMPUTED_VALUE"""),"Sonu Sonkar")</f>
        <v>Sonu Sonkar</v>
      </c>
      <c r="E55" s="21" t="s">
        <v>65</v>
      </c>
      <c r="F55" s="21" t="s">
        <v>65</v>
      </c>
      <c r="G55" s="26">
        <v>1.0</v>
      </c>
      <c r="H55" s="13"/>
      <c r="I55" s="17">
        <f>IFERROR(__xludf.DUMMYFUNCTION("""COMPUTED_VALUE"""),0.0)</f>
        <v>0</v>
      </c>
      <c r="J55" s="18">
        <f>IFERROR(__xludf.DUMMYFUNCTION("""COMPUTED_VALUE"""),44.0)</f>
        <v>44</v>
      </c>
      <c r="K55" s="19">
        <f>IFERROR(__xludf.DUMMYFUNCTION("""COMPUTED_VALUE"""),0.0)</f>
        <v>0</v>
      </c>
      <c r="L55" s="20" t="str">
        <f>IFERROR(__xludf.DUMMYFUNCTION("""COMPUTED_VALUE"""),"#VALUE!")</f>
        <v>#VALUE!</v>
      </c>
      <c r="M55" s="27" t="str">
        <f>IFERROR(__xludf.DUMMYFUNCTION("""COMPUTED_VALUE""")," Experimentation on SDRs and 6G with opensource code ")</f>
        <v>Experimentation on SDRs and 6G with opensource code</v>
      </c>
      <c r="N55" s="21">
        <f t="shared" si="1"/>
        <v>0</v>
      </c>
      <c r="O55" s="22">
        <f t="shared" si="2"/>
        <v>-44</v>
      </c>
      <c r="P55" s="22" t="str">
        <f>IFERROR(__xludf.DUMMYFUNCTION("""COMPUTED_VALUE"""),"SDR")</f>
        <v>SDR</v>
      </c>
      <c r="Q55" s="29" t="s">
        <v>117</v>
      </c>
      <c r="R55" s="29" t="s">
        <v>120</v>
      </c>
      <c r="S55" s="29" t="s">
        <v>120</v>
      </c>
      <c r="T55" s="24"/>
    </row>
    <row r="56">
      <c r="A56" s="13">
        <f>IFERROR(__xludf.DUMMYFUNCTION("""COMPUTED_VALUE"""),55.0)</f>
        <v>55</v>
      </c>
      <c r="B56" s="13" t="str">
        <f>IFERROR(__xludf.DUMMYFUNCTION("""COMPUTED_VALUE"""),"XILINX")</f>
        <v>XILINX</v>
      </c>
      <c r="C56" s="14" t="str">
        <f>IFERROR(__xludf.DUMMYFUNCTION("""COMPUTED_VALUE"""),"XILINX_HDCP_Linux_Drivers_for_HDMI_2.1_126")</f>
        <v>XILINX_HDCP_Linux_Drivers_for_HDMI_2.1_126</v>
      </c>
      <c r="D56" s="13" t="str">
        <f>IFERROR(__xludf.DUMMYFUNCTION("""COMPUTED_VALUE"""),"Vijay Pal Sharma")</f>
        <v>Vijay Pal Sharma</v>
      </c>
      <c r="E56" s="15" t="s">
        <v>70</v>
      </c>
      <c r="F56" s="21" t="s">
        <v>70</v>
      </c>
      <c r="G56" s="26">
        <v>1.0</v>
      </c>
      <c r="H56" s="13"/>
      <c r="I56" s="17">
        <f>IFERROR(__xludf.DUMMYFUNCTION("""COMPUTED_VALUE"""),32.0)</f>
        <v>32</v>
      </c>
      <c r="J56" s="18">
        <f>IFERROR(__xludf.DUMMYFUNCTION("""COMPUTED_VALUE"""),26.0)</f>
        <v>26</v>
      </c>
      <c r="K56" s="19">
        <f>IFERROR(__xludf.DUMMYFUNCTION("""COMPUTED_VALUE"""),0.0)</f>
        <v>0</v>
      </c>
      <c r="L56" s="20" t="str">
        <f>IFERROR(__xludf.DUMMYFUNCTION("""COMPUTED_VALUE"""),"#VALUE!")</f>
        <v>#VALUE!</v>
      </c>
      <c r="M56" s="27" t="str">
        <f>IFERROR(__xludf.DUMMYFUNCTION("""COMPUTED_VALUE""")," Porting of HDCP 1.4 Tx/Rx and HDCP 2.3 Tx/Rx Linux drivers for HDMI 2.1  ")</f>
        <v>Porting of HDCP 1.4 Tx/Rx and HDCP 2.3 Tx/Rx Linux drivers for HDMI 2.1 </v>
      </c>
      <c r="N56" s="21">
        <f t="shared" si="1"/>
        <v>32</v>
      </c>
      <c r="O56" s="22">
        <f t="shared" si="2"/>
        <v>6</v>
      </c>
      <c r="P56" s="22" t="str">
        <f>IFERROR(__xludf.DUMMYFUNCTION("""COMPUTED_VALUE"""),"XILINX")</f>
        <v>XILINX</v>
      </c>
      <c r="Q56" s="29" t="s">
        <v>115</v>
      </c>
      <c r="R56" s="28">
        <v>0.0</v>
      </c>
      <c r="S56" s="28">
        <v>0.0</v>
      </c>
      <c r="T56" s="24"/>
    </row>
    <row r="57">
      <c r="A57" s="13">
        <f>IFERROR(__xludf.DUMMYFUNCTION("""COMPUTED_VALUE"""),56.0)</f>
        <v>56</v>
      </c>
      <c r="B57" s="13" t="str">
        <f>IFERROR(__xludf.DUMMYFUNCTION("""COMPUTED_VALUE"""),"Credo")</f>
        <v>Credo</v>
      </c>
      <c r="C57" s="14" t="str">
        <f>IFERROR(__xludf.DUMMYFUNCTION("""COMPUTED_VALUE"""),"Credo_PCIe_Retimer_T&amp;M_127")</f>
        <v>Credo_PCIe_Retimer_T&amp;M_127</v>
      </c>
      <c r="D57" s="13" t="str">
        <f>IFERROR(__xludf.DUMMYFUNCTION("""COMPUTED_VALUE"""),"Deepak Goyal")</f>
        <v>Deepak Goyal</v>
      </c>
      <c r="E57" s="32" t="s">
        <v>65</v>
      </c>
      <c r="F57" s="21" t="s">
        <v>65</v>
      </c>
      <c r="G57" s="26">
        <v>1.0</v>
      </c>
      <c r="H57" s="13"/>
      <c r="I57" s="17">
        <f>IFERROR(__xludf.DUMMYFUNCTION("""COMPUTED_VALUE"""),248.0)</f>
        <v>248</v>
      </c>
      <c r="J57" s="18">
        <f>IFERROR(__xludf.DUMMYFUNCTION("""COMPUTED_VALUE"""),267.0)</f>
        <v>267</v>
      </c>
      <c r="K57" s="19">
        <f>IFERROR(__xludf.DUMMYFUNCTION("""COMPUTED_VALUE"""),18.33726)</f>
        <v>18.33726</v>
      </c>
      <c r="L57" s="20" t="str">
        <f>IFERROR(__xludf.DUMMYFUNCTION("""COMPUTED_VALUE"""),"#VALUE!")</f>
        <v>#VALUE!</v>
      </c>
      <c r="M57" s="27" t="str">
        <f>IFERROR(__xludf.DUMMYFUNCTION("""COMPUTED_VALUE""")," PCIe Gen6 retimer verification ")</f>
        <v>PCIe Gen6 retimer verification</v>
      </c>
      <c r="N57" s="21">
        <f t="shared" si="1"/>
        <v>248</v>
      </c>
      <c r="O57" s="22">
        <f t="shared" si="2"/>
        <v>-19</v>
      </c>
      <c r="P57" s="22" t="str">
        <f>IFERROR(__xludf.DUMMYFUNCTION("""COMPUTED_VALUE"""),"CREDO")</f>
        <v>CREDO</v>
      </c>
      <c r="Q57" s="28">
        <v>0.0</v>
      </c>
      <c r="R57" s="29" t="s">
        <v>115</v>
      </c>
      <c r="S57" s="28">
        <v>0.0</v>
      </c>
      <c r="T57" s="24"/>
    </row>
    <row r="58">
      <c r="A58" s="13">
        <f>IFERROR(__xludf.DUMMYFUNCTION("""COMPUTED_VALUE"""),57.0)</f>
        <v>57</v>
      </c>
      <c r="B58" s="13" t="str">
        <f>IFERROR(__xludf.DUMMYFUNCTION("""COMPUTED_VALUE"""),"LFT")</f>
        <v>LFT</v>
      </c>
      <c r="C58" s="14" t="str">
        <f>IFERROR(__xludf.DUMMYFUNCTION("""COMPUTED_VALUE"""),"LFT_Intel_XEON_Single_Board_Computer_(SBC)_128")</f>
        <v>LFT_Intel_XEON_Single_Board_Computer_(SBC)_128</v>
      </c>
      <c r="D58" s="13" t="str">
        <f>IFERROR(__xludf.DUMMYFUNCTION("""COMPUTED_VALUE"""),"Rahul Sharma")</f>
        <v>Rahul Sharma</v>
      </c>
      <c r="E58" s="32" t="s">
        <v>65</v>
      </c>
      <c r="F58" s="21" t="s">
        <v>65</v>
      </c>
      <c r="G58" s="33">
        <v>0.8</v>
      </c>
      <c r="H58" s="13"/>
      <c r="I58" s="17">
        <f>IFERROR(__xludf.DUMMYFUNCTION("""COMPUTED_VALUE"""),0.0)</f>
        <v>0</v>
      </c>
      <c r="J58" s="18">
        <f>IFERROR(__xludf.DUMMYFUNCTION("""COMPUTED_VALUE"""),166.0)</f>
        <v>166</v>
      </c>
      <c r="K58" s="19">
        <f>IFERROR(__xludf.DUMMYFUNCTION("""COMPUTED_VALUE"""),58.26577)</f>
        <v>58.26577</v>
      </c>
      <c r="L58" s="20" t="str">
        <f>IFERROR(__xludf.DUMMYFUNCTION("""COMPUTED_VALUE"""),"#VALUE!")</f>
        <v>#VALUE!</v>
      </c>
      <c r="M58" s="27" t="str">
        <f>IFERROR(__xludf.DUMMYFUNCTION("""COMPUTED_VALUE""")," Developing Single board computer using Intel Xeon processor - Internal Development  ")</f>
        <v>Developing Single board computer using Intel Xeon processor - Internal Development </v>
      </c>
      <c r="N58" s="21">
        <f t="shared" si="1"/>
        <v>0</v>
      </c>
      <c r="O58" s="22">
        <f t="shared" si="2"/>
        <v>-166</v>
      </c>
      <c r="P58" s="22" t="str">
        <f>IFERROR(__xludf.DUMMYFUNCTION("""COMPUTED_VALUE"""),"SBC")</f>
        <v>SBC</v>
      </c>
      <c r="Q58" s="29" t="s">
        <v>120</v>
      </c>
      <c r="R58" s="29" t="s">
        <v>118</v>
      </c>
      <c r="S58" s="29" t="s">
        <v>121</v>
      </c>
      <c r="T58" s="24"/>
    </row>
    <row r="59">
      <c r="A59" s="13">
        <f>IFERROR(__xludf.DUMMYFUNCTION("""COMPUTED_VALUE"""),58.0)</f>
        <v>58</v>
      </c>
      <c r="B59" s="13" t="str">
        <f>IFERROR(__xludf.DUMMYFUNCTION("""COMPUTED_VALUE"""),"Lattice")</f>
        <v>Lattice</v>
      </c>
      <c r="C59" s="14" t="str">
        <f>IFERROR(__xludf.DUMMYFUNCTION("""COMPUTED_VALUE"""),"Lattice_USB_Example_Design_129")</f>
        <v>Lattice_USB_Example_Design_129</v>
      </c>
      <c r="D59" s="13" t="str">
        <f>IFERROR(__xludf.DUMMYFUNCTION("""COMPUTED_VALUE"""),"Mohammad Rafi")</f>
        <v>Mohammad Rafi</v>
      </c>
      <c r="E59" s="32" t="s">
        <v>86</v>
      </c>
      <c r="F59" s="32" t="s">
        <v>86</v>
      </c>
      <c r="G59" s="33">
        <v>0.9</v>
      </c>
      <c r="H59" s="13"/>
      <c r="I59" s="17">
        <f>IFERROR(__xludf.DUMMYFUNCTION("""COMPUTED_VALUE"""),201.6)</f>
        <v>201.6</v>
      </c>
      <c r="J59" s="18">
        <f>IFERROR(__xludf.DUMMYFUNCTION("""COMPUTED_VALUE"""),90.0)</f>
        <v>90</v>
      </c>
      <c r="K59" s="19">
        <f>IFERROR(__xludf.DUMMYFUNCTION("""COMPUTED_VALUE"""),0.0)</f>
        <v>0</v>
      </c>
      <c r="L59" s="20" t="str">
        <f>IFERROR(__xludf.DUMMYFUNCTION("""COMPUTED_VALUE"""),"#VALUE!")</f>
        <v>#VALUE!</v>
      </c>
      <c r="M59" s="27" t="str">
        <f>IFERROR(__xludf.DUMMYFUNCTION("""COMPUTED_VALUE""")," Development of Example design for the USB Hard IP ")</f>
        <v>Development of Example design for the USB Hard IP</v>
      </c>
      <c r="N59" s="21">
        <f t="shared" si="1"/>
        <v>181.44</v>
      </c>
      <c r="O59" s="22">
        <f t="shared" si="2"/>
        <v>91.44</v>
      </c>
      <c r="P59" s="22" t="str">
        <f>IFERROR(__xludf.DUMMYFUNCTION("""COMPUTED_VALUE"""),"LATTICE")</f>
        <v>LATTICE</v>
      </c>
      <c r="Q59" s="23" t="s">
        <v>113</v>
      </c>
      <c r="R59" s="23" t="s">
        <v>121</v>
      </c>
      <c r="S59" s="28">
        <v>0.0</v>
      </c>
      <c r="T59" s="24"/>
    </row>
    <row r="60">
      <c r="A60" s="13">
        <f>IFERROR(__xludf.DUMMYFUNCTION("""COMPUTED_VALUE"""),59.0)</f>
        <v>59</v>
      </c>
      <c r="B60" s="13" t="str">
        <f>IFERROR(__xludf.DUMMYFUNCTION("""COMPUTED_VALUE"""),"Lattice")</f>
        <v>Lattice</v>
      </c>
      <c r="C60" s="14" t="str">
        <f>IFERROR(__xludf.DUMMYFUNCTION("""COMPUTED_VALUE"""),"Lattice_RCS_T&amp;M_130")</f>
        <v>Lattice_RCS_T&amp;M_130</v>
      </c>
      <c r="D60" s="13" t="str">
        <f>IFERROR(__xludf.DUMMYFUNCTION("""COMPUTED_VALUE"""),"Gurpreet Singh")</f>
        <v>Gurpreet Singh</v>
      </c>
      <c r="E60" s="15" t="s">
        <v>70</v>
      </c>
      <c r="F60" s="21" t="s">
        <v>70</v>
      </c>
      <c r="G60" s="26">
        <v>1.0</v>
      </c>
      <c r="H60" s="13"/>
      <c r="I60" s="17">
        <f>IFERROR(__xludf.DUMMYFUNCTION("""COMPUTED_VALUE"""),0.0)</f>
        <v>0</v>
      </c>
      <c r="J60" s="18">
        <f>IFERROR(__xludf.DUMMYFUNCTION("""COMPUTED_VALUE"""),33.0)</f>
        <v>33</v>
      </c>
      <c r="K60" s="19">
        <f>IFERROR(__xludf.DUMMYFUNCTION("""COMPUTED_VALUE"""),0.0)</f>
        <v>0</v>
      </c>
      <c r="L60" s="20" t="str">
        <f>IFERROR(__xludf.DUMMYFUNCTION("""COMPUTED_VALUE"""),"#VALUE!")</f>
        <v>#VALUE!</v>
      </c>
      <c r="M60" s="27" t="str">
        <f>IFERROR(__xludf.DUMMYFUNCTION("""COMPUTED_VALUE""")," Rapid context switching project - XO3D , CPNX (Merge with 121) ")</f>
        <v>Rapid context switching project - XO3D , CPNX (Merge with 121)</v>
      </c>
      <c r="N60" s="21">
        <f t="shared" si="1"/>
        <v>0</v>
      </c>
      <c r="O60" s="22">
        <f t="shared" si="2"/>
        <v>-33</v>
      </c>
      <c r="P60" s="22" t="str">
        <f>IFERROR(__xludf.DUMMYFUNCTION("""COMPUTED_VALUE"""),"LATTICE")</f>
        <v>LATTICE</v>
      </c>
      <c r="Q60" s="29" t="s">
        <v>118</v>
      </c>
      <c r="R60" s="29" t="s">
        <v>119</v>
      </c>
      <c r="S60" s="28">
        <v>0.0</v>
      </c>
      <c r="T60" s="24"/>
    </row>
    <row r="61">
      <c r="A61" s="13">
        <f>IFERROR(__xludf.DUMMYFUNCTION("""COMPUTED_VALUE"""),60.0)</f>
        <v>60</v>
      </c>
      <c r="B61" s="13" t="str">
        <f>IFERROR(__xludf.DUMMYFUNCTION("""COMPUTED_VALUE"""),"Methode")</f>
        <v>Methode</v>
      </c>
      <c r="C61" s="14" t="str">
        <f>IFERROR(__xludf.DUMMYFUNCTION("""COMPUTED_VALUE"""),"Methode_I2C_to_MDIO_Converter_version2_131")</f>
        <v>Methode_I2C_to_MDIO_Converter_version2_131</v>
      </c>
      <c r="D61" s="13" t="str">
        <f>IFERROR(__xludf.DUMMYFUNCTION("""COMPUTED_VALUE"""),"Shashank Chaurasia")</f>
        <v>Shashank Chaurasia</v>
      </c>
      <c r="E61" s="15" t="s">
        <v>70</v>
      </c>
      <c r="F61" s="21" t="s">
        <v>70</v>
      </c>
      <c r="G61" s="26">
        <v>1.0</v>
      </c>
      <c r="H61" s="13"/>
      <c r="I61" s="17">
        <f>IFERROR(__xludf.DUMMYFUNCTION("""COMPUTED_VALUE"""),0.0)</f>
        <v>0</v>
      </c>
      <c r="J61" s="18">
        <f>IFERROR(__xludf.DUMMYFUNCTION("""COMPUTED_VALUE"""),0.0)</f>
        <v>0</v>
      </c>
      <c r="K61" s="19">
        <f>IFERROR(__xludf.DUMMYFUNCTION("""COMPUTED_VALUE"""),0.0)</f>
        <v>0</v>
      </c>
      <c r="L61" s="20" t="str">
        <f>IFERROR(__xludf.DUMMYFUNCTION("""COMPUTED_VALUE"""),"#VALUE!")</f>
        <v>#VALUE!</v>
      </c>
      <c r="M61" s="27" t="str">
        <f>IFERROR(__xludf.DUMMYFUNCTION("""COMPUTED_VALUE""")," Rapid context switching project - XO3D , CPNX (Merge with 121) ")</f>
        <v>Rapid context switching project - XO3D , CPNX (Merge with 121)</v>
      </c>
      <c r="N61" s="21">
        <f t="shared" si="1"/>
        <v>0</v>
      </c>
      <c r="O61" s="22">
        <f t="shared" si="2"/>
        <v>0</v>
      </c>
      <c r="P61" s="22" t="str">
        <f>IFERROR(__xludf.DUMMYFUNCTION("""COMPUTED_VALUE"""),"METHODE")</f>
        <v>METHODE</v>
      </c>
      <c r="Q61" s="28">
        <v>0.0</v>
      </c>
      <c r="R61" s="29" t="s">
        <v>115</v>
      </c>
      <c r="S61" s="28">
        <v>0.0</v>
      </c>
      <c r="T61" s="24"/>
    </row>
    <row r="62">
      <c r="A62" s="13">
        <f>IFERROR(__xludf.DUMMYFUNCTION("""COMPUTED_VALUE"""),61.0)</f>
        <v>61</v>
      </c>
      <c r="B62" s="13" t="str">
        <f>IFERROR(__xludf.DUMMYFUNCTION("""COMPUTED_VALUE"""),"Lattice")</f>
        <v>Lattice</v>
      </c>
      <c r="C62" s="14" t="str">
        <f>IFERROR(__xludf.DUMMYFUNCTION("""COMPUTED_VALUE"""),"Lattice_Embedded_PTP_Stack_132")</f>
        <v>Lattice_Embedded_PTP_Stack_132</v>
      </c>
      <c r="D62" s="13" t="str">
        <f>IFERROR(__xludf.DUMMYFUNCTION("""COMPUTED_VALUE"""),"Mohammad Rafi")</f>
        <v>Mohammad Rafi</v>
      </c>
      <c r="E62" s="15" t="s">
        <v>70</v>
      </c>
      <c r="F62" s="32" t="s">
        <v>70</v>
      </c>
      <c r="G62" s="33">
        <v>1.0</v>
      </c>
      <c r="H62" s="13"/>
      <c r="I62" s="17">
        <f>IFERROR(__xludf.DUMMYFUNCTION("""COMPUTED_VALUE"""),57.6)</f>
        <v>57.6</v>
      </c>
      <c r="J62" s="18">
        <f>IFERROR(__xludf.DUMMYFUNCTION("""COMPUTED_VALUE"""),66.0)</f>
        <v>66</v>
      </c>
      <c r="K62" s="19">
        <f>IFERROR(__xludf.DUMMYFUNCTION("""COMPUTED_VALUE"""),1.4890510000000001)</f>
        <v>1.489051</v>
      </c>
      <c r="L62" s="20" t="str">
        <f>IFERROR(__xludf.DUMMYFUNCTION("""COMPUTED_VALUE"""),"#VALUE!")</f>
        <v>#VALUE!</v>
      </c>
      <c r="M62" s="27" t="str">
        <f>IFERROR(__xludf.DUMMYFUNCTION("""COMPUTED_VALUE""")," Development of PTP embedded stack using RISC-V CPU ")</f>
        <v>Development of PTP embedded stack using RISC-V CPU</v>
      </c>
      <c r="N62" s="21">
        <f t="shared" si="1"/>
        <v>57.6</v>
      </c>
      <c r="O62" s="22">
        <f t="shared" si="2"/>
        <v>-8.4</v>
      </c>
      <c r="P62" s="22" t="str">
        <f>IFERROR(__xludf.DUMMYFUNCTION("""COMPUTED_VALUE"""),"LATTICE")</f>
        <v>LATTICE</v>
      </c>
      <c r="Q62" s="23" t="s">
        <v>121</v>
      </c>
      <c r="R62" s="23" t="s">
        <v>113</v>
      </c>
      <c r="S62" s="28">
        <v>0.0</v>
      </c>
      <c r="T62" s="24"/>
    </row>
    <row r="63">
      <c r="A63" s="13">
        <f>IFERROR(__xludf.DUMMYFUNCTION("""COMPUTED_VALUE"""),62.0)</f>
        <v>62</v>
      </c>
      <c r="B63" s="13" t="str">
        <f>IFERROR(__xludf.DUMMYFUNCTION("""COMPUTED_VALUE"""),"ISTRAC")</f>
        <v>ISTRAC</v>
      </c>
      <c r="C63" s="14" t="str">
        <f>IFERROR(__xludf.DUMMYFUNCTION("""COMPUTED_VALUE"""),"ISTRAC_lab_IF_Recorder_001")</f>
        <v>ISTRAC_lab_IF_Recorder_001</v>
      </c>
      <c r="D63" s="13" t="str">
        <f>IFERROR(__xludf.DUMMYFUNCTION("""COMPUTED_VALUE"""),"Madhukar Manohar")</f>
        <v>Madhukar Manohar</v>
      </c>
      <c r="E63" s="15" t="s">
        <v>70</v>
      </c>
      <c r="F63" s="21" t="s">
        <v>70</v>
      </c>
      <c r="G63" s="26">
        <v>1.0</v>
      </c>
      <c r="H63" s="13"/>
      <c r="I63" s="17">
        <f>IFERROR(__xludf.DUMMYFUNCTION("""COMPUTED_VALUE"""),53.0)</f>
        <v>53</v>
      </c>
      <c r="J63" s="18">
        <f>IFERROR(__xludf.DUMMYFUNCTION("""COMPUTED_VALUE"""),299.0)</f>
        <v>299</v>
      </c>
      <c r="K63" s="19">
        <f>IFERROR(__xludf.DUMMYFUNCTION("""COMPUTED_VALUE"""),0.0)</f>
        <v>0</v>
      </c>
      <c r="L63" s="20" t="str">
        <f>IFERROR(__xludf.DUMMYFUNCTION("""COMPUTED_VALUE"""),"#VALUE!")</f>
        <v>#VALUE!</v>
      </c>
      <c r="M63" s="27" t="str">
        <f>IFERROR(__xludf.DUMMYFUNCTION("""COMPUTED_VALUE""")," Development of IF recorder ")</f>
        <v>Development of IF recorder</v>
      </c>
      <c r="N63" s="21">
        <f t="shared" si="1"/>
        <v>53</v>
      </c>
      <c r="O63" s="22">
        <f t="shared" si="2"/>
        <v>-246</v>
      </c>
      <c r="P63" s="22" t="str">
        <f>IFERROR(__xludf.DUMMYFUNCTION("""COMPUTED_VALUE"""),"ISTRAC")</f>
        <v>ISTRAC</v>
      </c>
      <c r="Q63" s="29" t="s">
        <v>113</v>
      </c>
      <c r="R63" s="29" t="s">
        <v>114</v>
      </c>
      <c r="S63" s="29" t="s">
        <v>113</v>
      </c>
      <c r="T63" s="24"/>
    </row>
    <row r="64">
      <c r="A64" s="13">
        <f>IFERROR(__xludf.DUMMYFUNCTION("""COMPUTED_VALUE"""),63.0)</f>
        <v>63</v>
      </c>
      <c r="B64" s="13" t="str">
        <f>IFERROR(__xludf.DUMMYFUNCTION("""COMPUTED_VALUE"""),"Stryker")</f>
        <v>Stryker</v>
      </c>
      <c r="C64" s="14" t="str">
        <f>IFERROR(__xludf.DUMMYFUNCTION("""COMPUTED_VALUE"""),"Stryker_FPGA_Support_133")</f>
        <v>Stryker_FPGA_Support_133</v>
      </c>
      <c r="D64" s="13" t="str">
        <f>IFERROR(__xludf.DUMMYFUNCTION("""COMPUTED_VALUE"""),"Shashank Chaurasia")</f>
        <v>Shashank Chaurasia</v>
      </c>
      <c r="E64" s="15" t="s">
        <v>70</v>
      </c>
      <c r="F64" s="21" t="s">
        <v>70</v>
      </c>
      <c r="G64" s="26">
        <v>1.0</v>
      </c>
      <c r="H64" s="13"/>
      <c r="I64" s="17">
        <f>IFERROR(__xludf.DUMMYFUNCTION("""COMPUTED_VALUE"""),9.0)</f>
        <v>9</v>
      </c>
      <c r="J64" s="18">
        <f>IFERROR(__xludf.DUMMYFUNCTION("""COMPUTED_VALUE"""),5.0)</f>
        <v>5</v>
      </c>
      <c r="K64" s="19">
        <f>IFERROR(__xludf.DUMMYFUNCTION("""COMPUTED_VALUE"""),0.0)</f>
        <v>0</v>
      </c>
      <c r="L64" s="20" t="str">
        <f>IFERROR(__xludf.DUMMYFUNCTION("""COMPUTED_VALUE"""),"#VALUE!")</f>
        <v>#VALUE!</v>
      </c>
      <c r="M64" s="27" t="str">
        <f>IFERROR(__xludf.DUMMYFUNCTION("""COMPUTED_VALUE""")," Bypass the DSP SRAM interface using intel FPGA B/W DPS processor and FPGA ")</f>
        <v>Bypass the DSP SRAM interface using intel FPGA B/W DPS processor and FPGA</v>
      </c>
      <c r="N64" s="21">
        <f t="shared" si="1"/>
        <v>9</v>
      </c>
      <c r="O64" s="22">
        <f t="shared" si="2"/>
        <v>4</v>
      </c>
      <c r="P64" s="22" t="str">
        <f>IFERROR(__xludf.DUMMYFUNCTION("""COMPUTED_VALUE"""),"STRYKER")</f>
        <v>STRYKER</v>
      </c>
      <c r="Q64" s="28">
        <v>0.0</v>
      </c>
      <c r="R64" s="29" t="s">
        <v>115</v>
      </c>
      <c r="S64" s="28">
        <v>0.0</v>
      </c>
      <c r="T64" s="24"/>
    </row>
    <row r="65">
      <c r="A65" s="13">
        <f>IFERROR(__xludf.DUMMYFUNCTION("""COMPUTED_VALUE"""),64.0)</f>
        <v>64</v>
      </c>
      <c r="B65" s="13" t="str">
        <f>IFERROR(__xludf.DUMMYFUNCTION("""COMPUTED_VALUE"""),"LFT")</f>
        <v>LFT</v>
      </c>
      <c r="C65" s="14" t="str">
        <f>IFERROR(__xludf.DUMMYFUNCTION("""COMPUTED_VALUE"""),"LFT_Lattice_Avant_FPGA_Based_Evaluation_Board_134")</f>
        <v>LFT_Lattice_Avant_FPGA_Based_Evaluation_Board_134</v>
      </c>
      <c r="D65" s="13" t="str">
        <f>IFERROR(__xludf.DUMMYFUNCTION("""COMPUTED_VALUE"""),"Ramakrishna D C")</f>
        <v>Ramakrishna D C</v>
      </c>
      <c r="E65" s="32" t="s">
        <v>75</v>
      </c>
      <c r="F65" s="32" t="s">
        <v>65</v>
      </c>
      <c r="G65" s="26">
        <v>1.0</v>
      </c>
      <c r="H65" s="13"/>
      <c r="I65" s="17">
        <f>IFERROR(__xludf.DUMMYFUNCTION("""COMPUTED_VALUE"""),0.0)</f>
        <v>0</v>
      </c>
      <c r="J65" s="18">
        <f>IFERROR(__xludf.DUMMYFUNCTION("""COMPUTED_VALUE"""),42.0)</f>
        <v>42</v>
      </c>
      <c r="K65" s="19">
        <f>IFERROR(__xludf.DUMMYFUNCTION("""COMPUTED_VALUE"""),0.0)</f>
        <v>0</v>
      </c>
      <c r="L65" s="20" t="str">
        <f>IFERROR(__xludf.DUMMYFUNCTION("""COMPUTED_VALUE"""),"#VALUE!")</f>
        <v>#VALUE!</v>
      </c>
      <c r="M65" s="27" t="str">
        <f>IFERROR(__xludf.DUMMYFUNCTION("""COMPUTED_VALUE""")," Lattice Avex evaluation board is a combination of Avant-E FPGA with AM68A processor which gives the user an enhanced opportunity to develop the Image/Video processing, IP/Network Camera, Industrial switching/communication, AI based applications and many "&amp;"more applications where huge computing is involved. ")</f>
        <v>Lattice Avex evaluation board is a combination of Avant-E FPGA with AM68A processor which gives the user an enhanced opportunity to develop the Image/Video processing, IP/Network Camera, Industrial switching/communication, AI based applications and many more applications where huge computing is involved.</v>
      </c>
      <c r="N65" s="21">
        <f t="shared" si="1"/>
        <v>0</v>
      </c>
      <c r="O65" s="22">
        <f t="shared" si="2"/>
        <v>-42</v>
      </c>
      <c r="P65" s="22" t="str">
        <f>IFERROR(__xludf.DUMMYFUNCTION("""COMPUTED_VALUE"""),"LATTICE")</f>
        <v>LATTICE</v>
      </c>
      <c r="Q65" s="35"/>
      <c r="R65" s="35"/>
      <c r="S65" s="35"/>
      <c r="T65" s="24"/>
    </row>
    <row r="66">
      <c r="A66" s="13">
        <f>IFERROR(__xludf.DUMMYFUNCTION("""COMPUTED_VALUE"""),65.0)</f>
        <v>65</v>
      </c>
      <c r="B66" s="13" t="str">
        <f>IFERROR(__xludf.DUMMYFUNCTION("""COMPUTED_VALUE"""),"Collins")</f>
        <v>Collins</v>
      </c>
      <c r="C66" s="14" t="str">
        <f>IFERROR(__xludf.DUMMYFUNCTION("""COMPUTED_VALUE"""),"Collins_PCIe_NVMe_Bridge_Solution_136")</f>
        <v>Collins_PCIe_NVMe_Bridge_Solution_136</v>
      </c>
      <c r="D66" s="13" t="str">
        <f>IFERROR(__xludf.DUMMYFUNCTION("""COMPUTED_VALUE"""),"Vineet Goel")</f>
        <v>Vineet Goel</v>
      </c>
      <c r="E66" s="15" t="s">
        <v>70</v>
      </c>
      <c r="F66" s="32" t="s">
        <v>70</v>
      </c>
      <c r="G66" s="33">
        <v>1.0</v>
      </c>
      <c r="H66" s="13"/>
      <c r="I66" s="17">
        <f>IFERROR(__xludf.DUMMYFUNCTION("""COMPUTED_VALUE"""),264.8)</f>
        <v>264.8</v>
      </c>
      <c r="J66" s="18">
        <f>IFERROR(__xludf.DUMMYFUNCTION("""COMPUTED_VALUE"""),33.0)</f>
        <v>33</v>
      </c>
      <c r="K66" s="19">
        <f>IFERROR(__xludf.DUMMYFUNCTION("""COMPUTED_VALUE"""),0.24214400000000003)</f>
        <v>0.242144</v>
      </c>
      <c r="L66" s="20" t="str">
        <f>IFERROR(__xludf.DUMMYFUNCTION("""COMPUTED_VALUE"""),"#VALUE!")</f>
        <v>#VALUE!</v>
      </c>
      <c r="M66" s="27" t="str">
        <f>IFERROR(__xludf.DUMMYFUNCTION("""COMPUTED_VALUE""")," Developing encryption/decryption bridge solution between host PC and NVMe SSD using achronix FPGA based eval board ")</f>
        <v>Developing encryption/decryption bridge solution between host PC and NVMe SSD using achronix FPGA based eval board</v>
      </c>
      <c r="N66" s="21">
        <f t="shared" si="1"/>
        <v>264.8</v>
      </c>
      <c r="O66" s="22">
        <f t="shared" si="2"/>
        <v>231.8</v>
      </c>
      <c r="P66" s="22" t="str">
        <f>IFERROR(__xludf.DUMMYFUNCTION("""COMPUTED_VALUE"""),"COLLINS")</f>
        <v>COLLINS</v>
      </c>
      <c r="Q66" s="28">
        <v>0.0</v>
      </c>
      <c r="R66" s="29" t="s">
        <v>115</v>
      </c>
      <c r="S66" s="28">
        <v>0.0</v>
      </c>
      <c r="T66" s="24"/>
    </row>
    <row r="67">
      <c r="A67" s="13">
        <f>IFERROR(__xludf.DUMMYFUNCTION("""COMPUTED_VALUE"""),66.0)</f>
        <v>66</v>
      </c>
      <c r="B67" s="13" t="str">
        <f>IFERROR(__xludf.DUMMYFUNCTION("""COMPUTED_VALUE"""),"WeSEE-Lab")</f>
        <v>WeSEE-Lab</v>
      </c>
      <c r="C67" s="14" t="str">
        <f>IFERROR(__xludf.DUMMYFUNCTION("""COMPUTED_VALUE"""),"WESEE_Lab_MPSOC_Based_Product_137")</f>
        <v>WESEE_Lab_MPSOC_Based_Product_137</v>
      </c>
      <c r="D67" s="13" t="str">
        <f>IFERROR(__xludf.DUMMYFUNCTION("""COMPUTED_VALUE"""),"Rahul Sharma")</f>
        <v>Rahul Sharma</v>
      </c>
      <c r="E67" s="15" t="s">
        <v>70</v>
      </c>
      <c r="F67" s="32" t="s">
        <v>70</v>
      </c>
      <c r="G67" s="33">
        <v>1.0</v>
      </c>
      <c r="H67" s="13"/>
      <c r="I67" s="17">
        <f>IFERROR(__xludf.DUMMYFUNCTION("""COMPUTED_VALUE"""),42.0)</f>
        <v>42</v>
      </c>
      <c r="J67" s="18">
        <f>IFERROR(__xludf.DUMMYFUNCTION("""COMPUTED_VALUE"""),156.0)</f>
        <v>156</v>
      </c>
      <c r="K67" s="19">
        <f>IFERROR(__xludf.DUMMYFUNCTION("""COMPUTED_VALUE"""),31.99641)</f>
        <v>31.99641</v>
      </c>
      <c r="L67" s="20" t="str">
        <f>IFERROR(__xludf.DUMMYFUNCTION("""COMPUTED_VALUE"""),"#VALUE!")</f>
        <v>#VALUE!</v>
      </c>
      <c r="M67" s="27" t="str">
        <f>IFERROR(__xludf.DUMMYFUNCTION("""COMPUTED_VALUE""")," PCIE form factor based ARINC429,MIL1553 on MPSOC Hardware ")</f>
        <v>PCIE form factor based ARINC429,MIL1553 on MPSOC Hardware</v>
      </c>
      <c r="N67" s="21">
        <f t="shared" si="1"/>
        <v>42</v>
      </c>
      <c r="O67" s="22">
        <f t="shared" si="2"/>
        <v>-114</v>
      </c>
      <c r="P67" s="22" t="str">
        <f>IFERROR(__xludf.DUMMYFUNCTION("""COMPUTED_VALUE"""),"ARINC")</f>
        <v>ARINC</v>
      </c>
      <c r="Q67" s="29" t="s">
        <v>114</v>
      </c>
      <c r="R67" s="29" t="s">
        <v>120</v>
      </c>
      <c r="S67" s="29" t="s">
        <v>114</v>
      </c>
      <c r="T67" s="24"/>
    </row>
    <row r="68">
      <c r="A68" s="13">
        <f>IFERROR(__xludf.DUMMYFUNCTION("""COMPUTED_VALUE"""),67.0)</f>
        <v>67</v>
      </c>
      <c r="B68" s="13" t="str">
        <f>IFERROR(__xludf.DUMMYFUNCTION("""COMPUTED_VALUE"""),"Lattice")</f>
        <v>Lattice</v>
      </c>
      <c r="C68" s="14" t="str">
        <f>IFERROR(__xludf.DUMMYFUNCTION("""COMPUTED_VALUE"""),"Lattice_Automate_Stack_3.1_138")</f>
        <v>Lattice_Automate_Stack_3.1_138</v>
      </c>
      <c r="D68" s="13" t="str">
        <f>IFERROR(__xludf.DUMMYFUNCTION("""COMPUTED_VALUE"""),"Shashank Chaurasia")</f>
        <v>Shashank Chaurasia</v>
      </c>
      <c r="E68" s="15" t="s">
        <v>70</v>
      </c>
      <c r="F68" s="32" t="s">
        <v>70</v>
      </c>
      <c r="G68" s="33">
        <v>1.0</v>
      </c>
      <c r="H68" s="13"/>
      <c r="I68" s="17">
        <f>IFERROR(__xludf.DUMMYFUNCTION("""COMPUTED_VALUE"""),216.0)</f>
        <v>216</v>
      </c>
      <c r="J68" s="18">
        <f>IFERROR(__xludf.DUMMYFUNCTION("""COMPUTED_VALUE"""),93.0)</f>
        <v>93</v>
      </c>
      <c r="K68" s="19">
        <f>IFERROR(__xludf.DUMMYFUNCTION("""COMPUTED_VALUE"""),0.0)</f>
        <v>0</v>
      </c>
      <c r="L68" s="20" t="str">
        <f>IFERROR(__xludf.DUMMYFUNCTION("""COMPUTED_VALUE"""),"#VALUE!")</f>
        <v>#VALUE!</v>
      </c>
      <c r="M68" s="27" t="str">
        <f>IFERROR(__xludf.DUMMYFUNCTION("""COMPUTED_VALUE""")," Devlopment of the Lattice Automate stack ")</f>
        <v>Devlopment of the Lattice Automate stack</v>
      </c>
      <c r="N68" s="21">
        <f t="shared" si="1"/>
        <v>216</v>
      </c>
      <c r="O68" s="22">
        <f t="shared" si="2"/>
        <v>123</v>
      </c>
      <c r="P68" s="22" t="str">
        <f>IFERROR(__xludf.DUMMYFUNCTION("""COMPUTED_VALUE"""),"LATTICE")</f>
        <v>LATTICE</v>
      </c>
      <c r="Q68" s="29" t="s">
        <v>116</v>
      </c>
      <c r="R68" s="29" t="s">
        <v>116</v>
      </c>
      <c r="S68" s="28">
        <v>0.0</v>
      </c>
      <c r="T68" s="24"/>
    </row>
    <row r="69">
      <c r="A69" s="13">
        <f>IFERROR(__xludf.DUMMYFUNCTION("""COMPUTED_VALUE"""),68.0)</f>
        <v>68</v>
      </c>
      <c r="B69" s="13" t="str">
        <f>IFERROR(__xludf.DUMMYFUNCTION("""COMPUTED_VALUE"""),"Stryker")</f>
        <v>Stryker</v>
      </c>
      <c r="C69" s="14" t="str">
        <f>IFERROR(__xludf.DUMMYFUNCTION("""COMPUTED_VALUE"""),"Stryker_QT_Support_T&amp;M_139")</f>
        <v>Stryker_QT_Support_T&amp;M_139</v>
      </c>
      <c r="D69" s="13" t="str">
        <f>IFERROR(__xludf.DUMMYFUNCTION("""COMPUTED_VALUE"""),"Dhruv Kumar Saxena")</f>
        <v>Dhruv Kumar Saxena</v>
      </c>
      <c r="E69" s="15" t="s">
        <v>70</v>
      </c>
      <c r="F69" s="32" t="s">
        <v>70</v>
      </c>
      <c r="G69" s="33">
        <v>1.0</v>
      </c>
      <c r="H69" s="13"/>
      <c r="I69" s="17">
        <f>IFERROR(__xludf.DUMMYFUNCTION("""COMPUTED_VALUE"""),15.0)</f>
        <v>15</v>
      </c>
      <c r="J69" s="18">
        <f>IFERROR(__xludf.DUMMYFUNCTION("""COMPUTED_VALUE"""),8.0)</f>
        <v>8</v>
      </c>
      <c r="K69" s="19">
        <f>IFERROR(__xludf.DUMMYFUNCTION("""COMPUTED_VALUE"""),0.0)</f>
        <v>0</v>
      </c>
      <c r="L69" s="20" t="str">
        <f>IFERROR(__xludf.DUMMYFUNCTION("""COMPUTED_VALUE"""),"#VALUE!")</f>
        <v>#VALUE!</v>
      </c>
      <c r="M69" s="27" t="str">
        <f>IFERROR(__xludf.DUMMYFUNCTION("""COMPUTED_VALUE""")," QT HMI Development ")</f>
        <v>QT HMI Development</v>
      </c>
      <c r="N69" s="21">
        <f t="shared" si="1"/>
        <v>15</v>
      </c>
      <c r="O69" s="22">
        <f t="shared" si="2"/>
        <v>7</v>
      </c>
      <c r="P69" s="22" t="str">
        <f>IFERROR(__xludf.DUMMYFUNCTION("""COMPUTED_VALUE"""),"STRYKER")</f>
        <v>STRYKER</v>
      </c>
      <c r="Q69" s="29" t="s">
        <v>115</v>
      </c>
      <c r="R69" s="28">
        <v>0.0</v>
      </c>
      <c r="S69" s="28">
        <v>0.0</v>
      </c>
      <c r="T69" s="24"/>
    </row>
    <row r="70">
      <c r="A70" s="13">
        <f>IFERROR(__xludf.DUMMYFUNCTION("""COMPUTED_VALUE"""),69.0)</f>
        <v>69</v>
      </c>
      <c r="B70" s="13" t="str">
        <f>IFERROR(__xludf.DUMMYFUNCTION("""COMPUTED_VALUE"""),"Achronix")</f>
        <v>Achronix</v>
      </c>
      <c r="C70" s="14" t="str">
        <f>IFERROR(__xludf.DUMMYFUNCTION("""COMPUTED_VALUE"""),"Achronix_PCIe_Root_Port_Demo_140")</f>
        <v>Achronix_PCIe_Root_Port_Demo_140</v>
      </c>
      <c r="D70" s="13" t="str">
        <f>IFERROR(__xludf.DUMMYFUNCTION("""COMPUTED_VALUE"""),"Deepak Goyal")</f>
        <v>Deepak Goyal</v>
      </c>
      <c r="E70" s="15" t="s">
        <v>70</v>
      </c>
      <c r="F70" s="32" t="s">
        <v>70</v>
      </c>
      <c r="G70" s="33">
        <v>1.0</v>
      </c>
      <c r="H70" s="13"/>
      <c r="I70" s="17">
        <f>IFERROR(__xludf.DUMMYFUNCTION("""COMPUTED_VALUE"""),272.0)</f>
        <v>272</v>
      </c>
      <c r="J70" s="18">
        <f>IFERROR(__xludf.DUMMYFUNCTION("""COMPUTED_VALUE"""),30.0)</f>
        <v>30</v>
      </c>
      <c r="K70" s="19">
        <f>IFERROR(__xludf.DUMMYFUNCTION("""COMPUTED_VALUE"""),0.0)</f>
        <v>0</v>
      </c>
      <c r="L70" s="20" t="str">
        <f>IFERROR(__xludf.DUMMYFUNCTION("""COMPUTED_VALUE"""),"#VALUE!")</f>
        <v>#VALUE!</v>
      </c>
      <c r="M70" s="27" t="str">
        <f>IFERROR(__xludf.DUMMYFUNCTION("""COMPUTED_VALUE""")," PCIe root port demo application development ")</f>
        <v>PCIe root port demo application development</v>
      </c>
      <c r="N70" s="21">
        <f t="shared" si="1"/>
        <v>272</v>
      </c>
      <c r="O70" s="22">
        <f t="shared" si="2"/>
        <v>242</v>
      </c>
      <c r="P70" s="22" t="str">
        <f>IFERROR(__xludf.DUMMYFUNCTION("""COMPUTED_VALUE"""),"ACHRONIX")</f>
        <v>ACHRONIX</v>
      </c>
      <c r="Q70" s="28">
        <v>0.0</v>
      </c>
      <c r="R70" s="29" t="s">
        <v>114</v>
      </c>
      <c r="S70" s="29" t="s">
        <v>117</v>
      </c>
      <c r="T70" s="24"/>
    </row>
    <row r="71">
      <c r="A71" s="13">
        <f>IFERROR(__xludf.DUMMYFUNCTION("""COMPUTED_VALUE"""),70.0)</f>
        <v>70</v>
      </c>
      <c r="B71" s="13" t="str">
        <f>IFERROR(__xludf.DUMMYFUNCTION("""COMPUTED_VALUE"""),"Lattice")</f>
        <v>Lattice</v>
      </c>
      <c r="C71" s="14" t="str">
        <f>IFERROR(__xludf.DUMMYFUNCTION("""COMPUTED_VALUE"""),"Lattice_JESD204B_IP_141")</f>
        <v>Lattice_JESD204B_IP_141</v>
      </c>
      <c r="D71" s="13" t="str">
        <f>IFERROR(__xludf.DUMMYFUNCTION("""COMPUTED_VALUE"""),"Shashank Chaurasia")</f>
        <v>Shashank Chaurasia</v>
      </c>
      <c r="E71" s="15" t="s">
        <v>70</v>
      </c>
      <c r="F71" s="32" t="s">
        <v>70</v>
      </c>
      <c r="G71" s="33">
        <v>1.0</v>
      </c>
      <c r="H71" s="13"/>
      <c r="I71" s="17">
        <f>IFERROR(__xludf.DUMMYFUNCTION("""COMPUTED_VALUE"""),80.0)</f>
        <v>80</v>
      </c>
      <c r="J71" s="18">
        <f>IFERROR(__xludf.DUMMYFUNCTION("""COMPUTED_VALUE"""),17.0)</f>
        <v>17</v>
      </c>
      <c r="K71" s="19">
        <f>IFERROR(__xludf.DUMMYFUNCTION("""COMPUTED_VALUE"""),0.0)</f>
        <v>0</v>
      </c>
      <c r="L71" s="20" t="str">
        <f>IFERROR(__xludf.DUMMYFUNCTION("""COMPUTED_VALUE"""),"#VALUE!")</f>
        <v>#VALUE!</v>
      </c>
      <c r="M71" s="27" t="str">
        <f>IFERROR(__xludf.DUMMYFUNCTION("""COMPUTED_VALUE"""),"  Devlopment of the JESD204B IP for Lattice Certus-Pro FPGA ")</f>
        <v> Devlopment of the JESD204B IP for Lattice Certus-Pro FPGA</v>
      </c>
      <c r="N71" s="21">
        <f t="shared" si="1"/>
        <v>80</v>
      </c>
      <c r="O71" s="22">
        <f t="shared" si="2"/>
        <v>63</v>
      </c>
      <c r="P71" s="22" t="str">
        <f>IFERROR(__xludf.DUMMYFUNCTION("""COMPUTED_VALUE"""),"LATTICE")</f>
        <v>LATTICE</v>
      </c>
      <c r="Q71" s="28">
        <v>0.0</v>
      </c>
      <c r="R71" s="29" t="s">
        <v>115</v>
      </c>
      <c r="S71" s="28">
        <v>0.0</v>
      </c>
      <c r="T71" s="24"/>
    </row>
    <row r="72">
      <c r="A72" s="13">
        <f>IFERROR(__xludf.DUMMYFUNCTION("""COMPUTED_VALUE"""),71.0)</f>
        <v>71</v>
      </c>
      <c r="B72" s="13" t="str">
        <f>IFERROR(__xludf.DUMMYFUNCTION("""COMPUTED_VALUE"""),"Frontgrade")</f>
        <v>Frontgrade</v>
      </c>
      <c r="C72" s="14" t="str">
        <f>IFERROR(__xludf.DUMMYFUNCTION("""COMPUTED_VALUE"""),"Frontgrade_BRAM_and_PCIe_Testing_142")</f>
        <v>Frontgrade_BRAM_and_PCIe_Testing_142</v>
      </c>
      <c r="D72" s="13" t="str">
        <f>IFERROR(__xludf.DUMMYFUNCTION("""COMPUTED_VALUE"""),"Shashank Chaurasia")</f>
        <v>Shashank Chaurasia</v>
      </c>
      <c r="E72" s="15" t="s">
        <v>70</v>
      </c>
      <c r="F72" s="21" t="s">
        <v>70</v>
      </c>
      <c r="G72" s="26">
        <v>1.0</v>
      </c>
      <c r="H72" s="13"/>
      <c r="I72" s="17">
        <f>IFERROR(__xludf.DUMMYFUNCTION("""COMPUTED_VALUE"""),13.770000000000001)</f>
        <v>13.77</v>
      </c>
      <c r="J72" s="18">
        <f>IFERROR(__xludf.DUMMYFUNCTION("""COMPUTED_VALUE"""),4.0)</f>
        <v>4</v>
      </c>
      <c r="K72" s="19">
        <f>IFERROR(__xludf.DUMMYFUNCTION("""COMPUTED_VALUE"""),0.0)</f>
        <v>0</v>
      </c>
      <c r="L72" s="20" t="str">
        <f>IFERROR(__xludf.DUMMYFUNCTION("""COMPUTED_VALUE"""),"#VALUE!")</f>
        <v>#VALUE!</v>
      </c>
      <c r="M72" s="27" t="str">
        <f>IFERROR(__xludf.DUMMYFUNCTION("""COMPUTED_VALUE""")," Testing for BRAM and PCIe Hard IP for Certus PRO - NX FPGA ")</f>
        <v>Testing for BRAM and PCIe Hard IP for Certus PRO - NX FPGA</v>
      </c>
      <c r="N72" s="21">
        <f t="shared" si="1"/>
        <v>13.77</v>
      </c>
      <c r="O72" s="22">
        <f t="shared" si="2"/>
        <v>9.77</v>
      </c>
      <c r="P72" s="22" t="str">
        <f>IFERROR(__xludf.DUMMYFUNCTION("""COMPUTED_VALUE"""),"FRONTGRADE")</f>
        <v>FRONTGRADE</v>
      </c>
      <c r="Q72" s="28">
        <v>0.0</v>
      </c>
      <c r="R72" s="29" t="s">
        <v>115</v>
      </c>
      <c r="S72" s="28">
        <v>0.0</v>
      </c>
      <c r="T72" s="24"/>
    </row>
    <row r="73">
      <c r="A73" s="13">
        <f>IFERROR(__xludf.DUMMYFUNCTION("""COMPUTED_VALUE"""),72.0)</f>
        <v>72</v>
      </c>
      <c r="B73" s="13" t="str">
        <f>IFERROR(__xludf.DUMMYFUNCTION("""COMPUTED_VALUE"""),"LRDE-Lab")</f>
        <v>LRDE-Lab</v>
      </c>
      <c r="C73" s="14" t="str">
        <f>IFERROR(__xludf.DUMMYFUNCTION("""COMPUTED_VALUE"""),"LRDE_ARINC_BASED_PRODUCTS_143")</f>
        <v>LRDE_ARINC_BASED_PRODUCTS_143</v>
      </c>
      <c r="D73" s="13" t="str">
        <f>IFERROR(__xludf.DUMMYFUNCTION("""COMPUTED_VALUE"""),"Madhukar Manohar")</f>
        <v>Madhukar Manohar</v>
      </c>
      <c r="E73" s="15" t="s">
        <v>70</v>
      </c>
      <c r="F73" s="32" t="s">
        <v>70</v>
      </c>
      <c r="G73" s="33">
        <v>1.0</v>
      </c>
      <c r="H73" s="13"/>
      <c r="I73" s="17">
        <f>IFERROR(__xludf.DUMMYFUNCTION("""COMPUTED_VALUE"""),70.0)</f>
        <v>70</v>
      </c>
      <c r="J73" s="18">
        <f>IFERROR(__xludf.DUMMYFUNCTION("""COMPUTED_VALUE"""),153.0)</f>
        <v>153</v>
      </c>
      <c r="K73" s="19">
        <f>IFERROR(__xludf.DUMMYFUNCTION("""COMPUTED_VALUE"""),0.113526)</f>
        <v>0.113526</v>
      </c>
      <c r="L73" s="20" t="str">
        <f>IFERROR(__xludf.DUMMYFUNCTION("""COMPUTED_VALUE"""),"#VALUE!")</f>
        <v>#VALUE!</v>
      </c>
      <c r="M73" s="27" t="str">
        <f>IFERROR(__xludf.DUMMYFUNCTION("""COMPUTED_VALUE""")," Development of ARINC818 Analyzer &amp; Converters ")</f>
        <v>Development of ARINC818 Analyzer &amp; Converters</v>
      </c>
      <c r="N73" s="21">
        <f t="shared" si="1"/>
        <v>70</v>
      </c>
      <c r="O73" s="22">
        <f t="shared" si="2"/>
        <v>-83</v>
      </c>
      <c r="P73" s="22" t="str">
        <f>IFERROR(__xludf.DUMMYFUNCTION("""COMPUTED_VALUE"""),"ARINC")</f>
        <v>ARINC</v>
      </c>
      <c r="Q73" s="29" t="s">
        <v>120</v>
      </c>
      <c r="R73" s="29" t="s">
        <v>113</v>
      </c>
      <c r="S73" s="29" t="s">
        <v>116</v>
      </c>
      <c r="T73" s="24"/>
    </row>
    <row r="74">
      <c r="A74" s="13">
        <f>IFERROR(__xludf.DUMMYFUNCTION("""COMPUTED_VALUE"""),73.0)</f>
        <v>73</v>
      </c>
      <c r="B74" s="13" t="str">
        <f>IFERROR(__xludf.DUMMYFUNCTION("""COMPUTED_VALUE"""),"KEYSIGHT")</f>
        <v>KEYSIGHT</v>
      </c>
      <c r="C74" s="14" t="str">
        <f>IFERROR(__xludf.DUMMYFUNCTION("""COMPUTED_VALUE"""),"Keysight_CXL_2.0_Exercsier_144")</f>
        <v>Keysight_CXL_2.0_Exercsier_144</v>
      </c>
      <c r="D74" s="13" t="str">
        <f>IFERROR(__xludf.DUMMYFUNCTION("""COMPUTED_VALUE"""),"Monika Gupta")</f>
        <v>Monika Gupta</v>
      </c>
      <c r="E74" s="25" t="s">
        <v>65</v>
      </c>
      <c r="F74" s="21" t="s">
        <v>65</v>
      </c>
      <c r="G74" s="26">
        <v>0.8</v>
      </c>
      <c r="H74" s="13"/>
      <c r="I74" s="17">
        <f>IFERROR(__xludf.DUMMYFUNCTION("""COMPUTED_VALUE"""),655.5)</f>
        <v>655.5</v>
      </c>
      <c r="J74" s="18">
        <f>IFERROR(__xludf.DUMMYFUNCTION("""COMPUTED_VALUE"""),610.0)</f>
        <v>610</v>
      </c>
      <c r="K74" s="19">
        <f>IFERROR(__xludf.DUMMYFUNCTION("""COMPUTED_VALUE"""),19.79162)</f>
        <v>19.79162</v>
      </c>
      <c r="L74" s="20" t="str">
        <f>IFERROR(__xludf.DUMMYFUNCTION("""COMPUTED_VALUE"""),"#VALUE!")</f>
        <v>#VALUE!</v>
      </c>
      <c r="M74" s="27" t="str">
        <f>IFERROR(__xludf.DUMMYFUNCTION("""COMPUTED_VALUE""")," Development of CXL 2.0 Exerciser Product ")</f>
        <v>Development of CXL 2.0 Exerciser Product</v>
      </c>
      <c r="N74" s="21">
        <f t="shared" si="1"/>
        <v>524.4</v>
      </c>
      <c r="O74" s="22">
        <f t="shared" si="2"/>
        <v>-85.6</v>
      </c>
      <c r="P74" s="22" t="str">
        <f>IFERROR(__xludf.DUMMYFUNCTION("""COMPUTED_VALUE"""),"SCHOONER")</f>
        <v>SCHOONER</v>
      </c>
      <c r="Q74" s="29" t="s">
        <v>116</v>
      </c>
      <c r="R74" s="29" t="s">
        <v>116</v>
      </c>
      <c r="S74" s="28">
        <v>0.0</v>
      </c>
      <c r="T74" s="24"/>
    </row>
    <row r="75">
      <c r="A75" s="13">
        <f>IFERROR(__xludf.DUMMYFUNCTION("""COMPUTED_VALUE"""),74.0)</f>
        <v>74</v>
      </c>
      <c r="B75" s="13" t="str">
        <f>IFERROR(__xludf.DUMMYFUNCTION("""COMPUTED_VALUE"""),"KEYSIGHT")</f>
        <v>KEYSIGHT</v>
      </c>
      <c r="C75" s="14" t="str">
        <f>IFERROR(__xludf.DUMMYFUNCTION("""COMPUTED_VALUE"""),"Keysight_CXL_2.0_Analyzer_145")</f>
        <v>Keysight_CXL_2.0_Analyzer_145</v>
      </c>
      <c r="D75" s="13" t="str">
        <f>IFERROR(__xludf.DUMMYFUNCTION("""COMPUTED_VALUE"""),"Monika Gupta")</f>
        <v>Monika Gupta</v>
      </c>
      <c r="E75" s="25" t="s">
        <v>65</v>
      </c>
      <c r="F75" s="21" t="s">
        <v>65</v>
      </c>
      <c r="G75" s="26">
        <v>0.8</v>
      </c>
      <c r="H75" s="13"/>
      <c r="I75" s="17">
        <f>IFERROR(__xludf.DUMMYFUNCTION("""COMPUTED_VALUE"""),655.5)</f>
        <v>655.5</v>
      </c>
      <c r="J75" s="18">
        <f>IFERROR(__xludf.DUMMYFUNCTION("""COMPUTED_VALUE"""),545.0)</f>
        <v>545</v>
      </c>
      <c r="K75" s="19">
        <f>IFERROR(__xludf.DUMMYFUNCTION("""COMPUTED_VALUE"""),16.66988)</f>
        <v>16.66988</v>
      </c>
      <c r="L75" s="20" t="str">
        <f>IFERROR(__xludf.DUMMYFUNCTION("""COMPUTED_VALUE"""),"#VALUE!")</f>
        <v>#VALUE!</v>
      </c>
      <c r="M75" s="27" t="str">
        <f>IFERROR(__xludf.DUMMYFUNCTION("""COMPUTED_VALUE""")," Development of CXL 2.0 Protocol Analyzer Product ")</f>
        <v>Development of CXL 2.0 Protocol Analyzer Product</v>
      </c>
      <c r="N75" s="21">
        <f t="shared" si="1"/>
        <v>524.4</v>
      </c>
      <c r="O75" s="22">
        <f t="shared" si="2"/>
        <v>-20.6</v>
      </c>
      <c r="P75" s="22" t="str">
        <f>IFERROR(__xludf.DUMMYFUNCTION("""COMPUTED_VALUE"""),"SCHOONER")</f>
        <v>SCHOONER</v>
      </c>
      <c r="Q75" s="29" t="s">
        <v>116</v>
      </c>
      <c r="R75" s="29" t="s">
        <v>116</v>
      </c>
      <c r="S75" s="28">
        <v>0.0</v>
      </c>
      <c r="T75" s="24"/>
    </row>
    <row r="76">
      <c r="A76" s="13">
        <f>IFERROR(__xludf.DUMMYFUNCTION("""COMPUTED_VALUE"""),75.0)</f>
        <v>75</v>
      </c>
      <c r="B76" s="13" t="str">
        <f>IFERROR(__xludf.DUMMYFUNCTION("""COMPUTED_VALUE"""),"KEYSIGHT")</f>
        <v>KEYSIGHT</v>
      </c>
      <c r="C76" s="14" t="str">
        <f>IFERROR(__xludf.DUMMYFUNCTION("""COMPUTED_VALUE"""),"Keysight_CXL_3.0_Exercsier_146")</f>
        <v>Keysight_CXL_3.0_Exercsier_146</v>
      </c>
      <c r="D76" s="13" t="str">
        <f>IFERROR(__xludf.DUMMYFUNCTION("""COMPUTED_VALUE"""),"Monika Gupta")</f>
        <v>Monika Gupta</v>
      </c>
      <c r="E76" s="25" t="s">
        <v>65</v>
      </c>
      <c r="F76" s="21" t="s">
        <v>65</v>
      </c>
      <c r="G76" s="30">
        <v>0.8</v>
      </c>
      <c r="H76" s="13"/>
      <c r="I76" s="17">
        <f>IFERROR(__xludf.DUMMYFUNCTION("""COMPUTED_VALUE"""),643.5)</f>
        <v>643.5</v>
      </c>
      <c r="J76" s="18">
        <f>IFERROR(__xludf.DUMMYFUNCTION("""COMPUTED_VALUE"""),164.0)</f>
        <v>164</v>
      </c>
      <c r="K76" s="19">
        <f>IFERROR(__xludf.DUMMYFUNCTION("""COMPUTED_VALUE"""),74.52595)</f>
        <v>74.52595</v>
      </c>
      <c r="L76" s="20" t="str">
        <f>IFERROR(__xludf.DUMMYFUNCTION("""COMPUTED_VALUE"""),"#VALUE!")</f>
        <v>#VALUE!</v>
      </c>
      <c r="M76" s="27" t="str">
        <f>IFERROR(__xludf.DUMMYFUNCTION("""COMPUTED_VALUE""")," Development of CXL 3.0 Exerciser Product ")</f>
        <v>Development of CXL 3.0 Exerciser Product</v>
      </c>
      <c r="N76" s="21">
        <f t="shared" si="1"/>
        <v>514.8</v>
      </c>
      <c r="O76" s="22">
        <f t="shared" si="2"/>
        <v>350.8</v>
      </c>
      <c r="P76" s="22" t="str">
        <f>IFERROR(__xludf.DUMMYFUNCTION("""COMPUTED_VALUE"""),"SCHOONER")</f>
        <v>SCHOONER</v>
      </c>
      <c r="Q76" s="29" t="s">
        <v>116</v>
      </c>
      <c r="R76" s="29" t="s">
        <v>116</v>
      </c>
      <c r="S76" s="28">
        <v>0.0</v>
      </c>
      <c r="T76" s="24"/>
    </row>
    <row r="77">
      <c r="A77" s="13">
        <f>IFERROR(__xludf.DUMMYFUNCTION("""COMPUTED_VALUE"""),76.0)</f>
        <v>76</v>
      </c>
      <c r="B77" s="13" t="str">
        <f>IFERROR(__xludf.DUMMYFUNCTION("""COMPUTED_VALUE"""),"KEYSIGHT")</f>
        <v>KEYSIGHT</v>
      </c>
      <c r="C77" s="14" t="str">
        <f>IFERROR(__xludf.DUMMYFUNCTION("""COMPUTED_VALUE"""),"Keysight_CXL_3.0_Analyzer_147")</f>
        <v>Keysight_CXL_3.0_Analyzer_147</v>
      </c>
      <c r="D77" s="13" t="str">
        <f>IFERROR(__xludf.DUMMYFUNCTION("""COMPUTED_VALUE"""),"Monika Gupta")</f>
        <v>Monika Gupta</v>
      </c>
      <c r="E77" s="25" t="s">
        <v>65</v>
      </c>
      <c r="F77" s="21" t="s">
        <v>65</v>
      </c>
      <c r="G77" s="30">
        <v>0.8</v>
      </c>
      <c r="H77" s="13"/>
      <c r="I77" s="17">
        <f>IFERROR(__xludf.DUMMYFUNCTION("""COMPUTED_VALUE"""),643.5)</f>
        <v>643.5</v>
      </c>
      <c r="J77" s="18">
        <f>IFERROR(__xludf.DUMMYFUNCTION("""COMPUTED_VALUE"""),115.0)</f>
        <v>115</v>
      </c>
      <c r="K77" s="19">
        <f>IFERROR(__xludf.DUMMYFUNCTION("""COMPUTED_VALUE"""),43.32556)</f>
        <v>43.32556</v>
      </c>
      <c r="L77" s="20" t="str">
        <f>IFERROR(__xludf.DUMMYFUNCTION("""COMPUTED_VALUE"""),"#VALUE!")</f>
        <v>#VALUE!</v>
      </c>
      <c r="M77" s="27" t="str">
        <f>IFERROR(__xludf.DUMMYFUNCTION("""COMPUTED_VALUE""")," Development of CXL 3.0 Protocol Analyzer Product ")</f>
        <v>Development of CXL 3.0 Protocol Analyzer Product</v>
      </c>
      <c r="N77" s="21">
        <f t="shared" si="1"/>
        <v>514.8</v>
      </c>
      <c r="O77" s="22">
        <f t="shared" si="2"/>
        <v>399.8</v>
      </c>
      <c r="P77" s="22" t="str">
        <f>IFERROR(__xludf.DUMMYFUNCTION("""COMPUTED_VALUE"""),"SCHOONER")</f>
        <v>SCHOONER</v>
      </c>
      <c r="Q77" s="29" t="s">
        <v>116</v>
      </c>
      <c r="R77" s="29" t="s">
        <v>116</v>
      </c>
      <c r="S77" s="28">
        <v>0.0</v>
      </c>
      <c r="T77" s="24"/>
    </row>
    <row r="78">
      <c r="A78" s="13">
        <f>IFERROR(__xludf.DUMMYFUNCTION("""COMPUTED_VALUE"""),77.0)</f>
        <v>77</v>
      </c>
      <c r="B78" s="13" t="str">
        <f>IFERROR(__xludf.DUMMYFUNCTION("""COMPUTED_VALUE"""),"Lattice")</f>
        <v>Lattice</v>
      </c>
      <c r="C78" s="14" t="str">
        <f>IFERROR(__xludf.DUMMYFUNCTION("""COMPUTED_VALUE"""),"Lattice_BSP_Support_T&amp;M_148")</f>
        <v>Lattice_BSP_Support_T&amp;M_148</v>
      </c>
      <c r="D78" s="13" t="str">
        <f>IFERROR(__xludf.DUMMYFUNCTION("""COMPUTED_VALUE"""),"Gurpreet Singh")</f>
        <v>Gurpreet Singh</v>
      </c>
      <c r="E78" s="15" t="s">
        <v>70</v>
      </c>
      <c r="F78" s="32" t="s">
        <v>70</v>
      </c>
      <c r="G78" s="33">
        <v>1.0</v>
      </c>
      <c r="H78" s="13"/>
      <c r="I78" s="17">
        <f>IFERROR(__xludf.DUMMYFUNCTION("""COMPUTED_VALUE"""),24.75)</f>
        <v>24.75</v>
      </c>
      <c r="J78" s="18">
        <f>IFERROR(__xludf.DUMMYFUNCTION("""COMPUTED_VALUE"""),13.0)</f>
        <v>13</v>
      </c>
      <c r="K78" s="19">
        <f>IFERROR(__xludf.DUMMYFUNCTION("""COMPUTED_VALUE"""),0.0)</f>
        <v>0</v>
      </c>
      <c r="L78" s="20" t="str">
        <f>IFERROR(__xludf.DUMMYFUNCTION("""COMPUTED_VALUE"""),"#VALUE!")</f>
        <v>#VALUE!</v>
      </c>
      <c r="M78" s="27" t="str">
        <f>IFERROR(__xludf.DUMMYFUNCTION("""COMPUTED_VALUE""")," BSP JIRA fixes ")</f>
        <v>BSP JIRA fixes</v>
      </c>
      <c r="N78" s="21">
        <f t="shared" si="1"/>
        <v>24.75</v>
      </c>
      <c r="O78" s="22">
        <f t="shared" si="2"/>
        <v>11.75</v>
      </c>
      <c r="P78" s="22" t="str">
        <f>IFERROR(__xludf.DUMMYFUNCTION("""COMPUTED_VALUE"""),"LATTICE")</f>
        <v>LATTICE</v>
      </c>
      <c r="Q78" s="29" t="s">
        <v>115</v>
      </c>
      <c r="R78" s="28">
        <v>0.0</v>
      </c>
      <c r="S78" s="28">
        <v>0.0</v>
      </c>
      <c r="T78" s="24"/>
    </row>
    <row r="79">
      <c r="A79" s="13">
        <f>IFERROR(__xludf.DUMMYFUNCTION("""COMPUTED_VALUE"""),78.0)</f>
        <v>78</v>
      </c>
      <c r="B79" s="13" t="str">
        <f>IFERROR(__xludf.DUMMYFUNCTION("""COMPUTED_VALUE"""),"Lattice")</f>
        <v>Lattice</v>
      </c>
      <c r="C79" s="14" t="str">
        <f>IFERROR(__xludf.DUMMYFUNCTION("""COMPUTED_VALUE"""),"Lattice_BSP_Development_149")</f>
        <v>Lattice_BSP_Development_149</v>
      </c>
      <c r="D79" s="13" t="str">
        <f>IFERROR(__xludf.DUMMYFUNCTION("""COMPUTED_VALUE"""),"Gurpreet Singh")</f>
        <v>Gurpreet Singh</v>
      </c>
      <c r="E79" s="15" t="s">
        <v>70</v>
      </c>
      <c r="F79" s="32" t="s">
        <v>70</v>
      </c>
      <c r="G79" s="33">
        <v>1.0</v>
      </c>
      <c r="H79" s="13"/>
      <c r="I79" s="17">
        <f>IFERROR(__xludf.DUMMYFUNCTION("""COMPUTED_VALUE"""),76.8)</f>
        <v>76.8</v>
      </c>
      <c r="J79" s="18">
        <f>IFERROR(__xludf.DUMMYFUNCTION("""COMPUTED_VALUE"""),35.0)</f>
        <v>35</v>
      </c>
      <c r="K79" s="19">
        <f>IFERROR(__xludf.DUMMYFUNCTION("""COMPUTED_VALUE"""),0.0)</f>
        <v>0</v>
      </c>
      <c r="L79" s="20" t="str">
        <f>IFERROR(__xludf.DUMMYFUNCTION("""COMPUTED_VALUE"""),"#VALUE!")</f>
        <v>#VALUE!</v>
      </c>
      <c r="M79" s="27" t="str">
        <f>IFERROR(__xludf.DUMMYFUNCTION("""COMPUTED_VALUE""")," BSP I3C TSE devlopment ")</f>
        <v>BSP I3C TSE devlopment</v>
      </c>
      <c r="N79" s="21">
        <f t="shared" si="1"/>
        <v>76.8</v>
      </c>
      <c r="O79" s="22">
        <f t="shared" si="2"/>
        <v>41.8</v>
      </c>
      <c r="P79" s="22" t="str">
        <f>IFERROR(__xludf.DUMMYFUNCTION("""COMPUTED_VALUE"""),"LATTICE")</f>
        <v>LATTICE</v>
      </c>
      <c r="Q79" s="29" t="s">
        <v>122</v>
      </c>
      <c r="R79" s="29" t="s">
        <v>120</v>
      </c>
      <c r="S79" s="28">
        <v>0.0</v>
      </c>
      <c r="T79" s="24"/>
    </row>
    <row r="80">
      <c r="A80" s="13">
        <f>IFERROR(__xludf.DUMMYFUNCTION("""COMPUTED_VALUE"""),79.0)</f>
        <v>79</v>
      </c>
      <c r="B80" s="13" t="str">
        <f>IFERROR(__xludf.DUMMYFUNCTION("""COMPUTED_VALUE"""),"CASDIC-LAB")</f>
        <v>CASDIC-LAB</v>
      </c>
      <c r="C80" s="14" t="str">
        <f>IFERROR(__xludf.DUMMYFUNCTION("""COMPUTED_VALUE"""),"CASDIC_Lab_STANAG_Video_Switching_Unit_Version2_150")</f>
        <v>CASDIC_Lab_STANAG_Video_Switching_Unit_Version2_150</v>
      </c>
      <c r="D80" s="13" t="str">
        <f>IFERROR(__xludf.DUMMYFUNCTION("""COMPUTED_VALUE"""),"Rahul Sharma")</f>
        <v>Rahul Sharma</v>
      </c>
      <c r="E80" s="32" t="s">
        <v>65</v>
      </c>
      <c r="F80" s="21" t="s">
        <v>65</v>
      </c>
      <c r="G80" s="33">
        <v>0.9</v>
      </c>
      <c r="H80" s="13"/>
      <c r="I80" s="17">
        <f>IFERROR(__xludf.DUMMYFUNCTION("""COMPUTED_VALUE"""),165.0)</f>
        <v>165</v>
      </c>
      <c r="J80" s="18">
        <f>IFERROR(__xludf.DUMMYFUNCTION("""COMPUTED_VALUE"""),156.0)</f>
        <v>156</v>
      </c>
      <c r="K80" s="19">
        <f>IFERROR(__xludf.DUMMYFUNCTION("""COMPUTED_VALUE"""),36.01268)</f>
        <v>36.01268</v>
      </c>
      <c r="L80" s="20" t="str">
        <f>IFERROR(__xludf.DUMMYFUNCTION("""COMPUTED_VALUE"""),"#VALUE!")</f>
        <v>#VALUE!</v>
      </c>
      <c r="M80" s="27" t="str">
        <f>IFERROR(__xludf.DUMMYFUNCTION("""COMPUTED_VALUE""")," Development of SVPSM board and Certification for CASDIC DRDO Lab ")</f>
        <v>Development of SVPSM board and Certification for CASDIC DRDO Lab</v>
      </c>
      <c r="N80" s="21">
        <f t="shared" si="1"/>
        <v>148.5</v>
      </c>
      <c r="O80" s="22">
        <f t="shared" si="2"/>
        <v>-7.5</v>
      </c>
      <c r="P80" s="22" t="str">
        <f>IFERROR(__xludf.DUMMYFUNCTION("""COMPUTED_VALUE"""),"ARINC")</f>
        <v>ARINC</v>
      </c>
      <c r="Q80" s="29" t="s">
        <v>113</v>
      </c>
      <c r="R80" s="29" t="s">
        <v>113</v>
      </c>
      <c r="S80" s="29" t="s">
        <v>114</v>
      </c>
      <c r="T80" s="24"/>
    </row>
    <row r="81">
      <c r="A81" s="13">
        <f>IFERROR(__xludf.DUMMYFUNCTION("""COMPUTED_VALUE"""),80.0)</f>
        <v>80</v>
      </c>
      <c r="B81" s="13" t="str">
        <f>IFERROR(__xludf.DUMMYFUNCTION("""COMPUTED_VALUE"""),"HAL-BLR")</f>
        <v>HAL-BLR</v>
      </c>
      <c r="C81" s="14" t="str">
        <f>IFERROR(__xludf.DUMMYFUNCTION("""COMPUTED_VALUE"""),"HAL_ARINC_TO_DVI_Converter_IP_151")</f>
        <v>HAL_ARINC_TO_DVI_Converter_IP_151</v>
      </c>
      <c r="D81" s="13" t="str">
        <f>IFERROR(__xludf.DUMMYFUNCTION("""COMPUTED_VALUE"""),"Shashank Chaurasia")</f>
        <v>Shashank Chaurasia</v>
      </c>
      <c r="E81" s="32" t="s">
        <v>75</v>
      </c>
      <c r="F81" s="32" t="s">
        <v>75</v>
      </c>
      <c r="G81" s="33">
        <v>0.7</v>
      </c>
      <c r="H81" s="13"/>
      <c r="I81" s="17">
        <f>IFERROR(__xludf.DUMMYFUNCTION("""COMPUTED_VALUE"""),80.0)</f>
        <v>80</v>
      </c>
      <c r="J81" s="18">
        <f>IFERROR(__xludf.DUMMYFUNCTION("""COMPUTED_VALUE"""),33.0)</f>
        <v>33</v>
      </c>
      <c r="K81" s="19">
        <f>IFERROR(__xludf.DUMMYFUNCTION("""COMPUTED_VALUE"""),4.238444)</f>
        <v>4.238444</v>
      </c>
      <c r="L81" s="20" t="str">
        <f>IFERROR(__xludf.DUMMYFUNCTION("""COMPUTED_VALUE"""),"#VALUE!")</f>
        <v>#VALUE!</v>
      </c>
      <c r="M81" s="27" t="str">
        <f>IFERROR(__xludf.DUMMYFUNCTION("""COMPUTED_VALUE"""),"  Devlopment of the ARINC818 to DVI convertor on AMD Ultrascale FPGA  ")</f>
        <v> Devlopment of the ARINC818 to DVI convertor on AMD Ultrascale FPGA </v>
      </c>
      <c r="N81" s="21">
        <f t="shared" si="1"/>
        <v>56</v>
      </c>
      <c r="O81" s="22">
        <f t="shared" si="2"/>
        <v>23</v>
      </c>
      <c r="P81" s="22" t="str">
        <f>IFERROR(__xludf.DUMMYFUNCTION("""COMPUTED_VALUE"""),"ARINC")</f>
        <v>ARINC</v>
      </c>
      <c r="Q81" s="28">
        <v>0.0</v>
      </c>
      <c r="R81" s="29" t="s">
        <v>115</v>
      </c>
      <c r="S81" s="28">
        <v>0.0</v>
      </c>
      <c r="T81" s="24"/>
    </row>
    <row r="82">
      <c r="A82" s="13">
        <f>IFERROR(__xludf.DUMMYFUNCTION("""COMPUTED_VALUE"""),81.0)</f>
        <v>81</v>
      </c>
      <c r="B82" s="13" t="str">
        <f>IFERROR(__xludf.DUMMYFUNCTION("""COMPUTED_VALUE"""),"Seoul Standard Co Ltd")</f>
        <v>Seoul Standard Co Ltd</v>
      </c>
      <c r="C82" s="14" t="str">
        <f>IFERROR(__xludf.DUMMYFUNCTION("""COMPUTED_VALUE"""),"STD_Korea_ARINC_IP_152")</f>
        <v>STD_Korea_ARINC_IP_152</v>
      </c>
      <c r="D82" s="13" t="str">
        <f>IFERROR(__xludf.DUMMYFUNCTION("""COMPUTED_VALUE"""),"Shashank Chaurasia")</f>
        <v>Shashank Chaurasia</v>
      </c>
      <c r="E82" s="15" t="s">
        <v>70</v>
      </c>
      <c r="F82" s="32" t="s">
        <v>70</v>
      </c>
      <c r="G82" s="33">
        <v>1.0</v>
      </c>
      <c r="H82" s="13"/>
      <c r="I82" s="17">
        <f>IFERROR(__xludf.DUMMYFUNCTION("""COMPUTED_VALUE"""),52.0)</f>
        <v>52</v>
      </c>
      <c r="J82" s="18">
        <f>IFERROR(__xludf.DUMMYFUNCTION("""COMPUTED_VALUE"""),40.0)</f>
        <v>40</v>
      </c>
      <c r="K82" s="19">
        <f>IFERROR(__xludf.DUMMYFUNCTION("""COMPUTED_VALUE"""),1.4524579999999998)</f>
        <v>1.452458</v>
      </c>
      <c r="L82" s="20" t="str">
        <f>IFERROR(__xludf.DUMMYFUNCTION("""COMPUTED_VALUE"""),"#VALUE!")</f>
        <v>#VALUE!</v>
      </c>
      <c r="M82" s="27" t="str">
        <f>IFERROR(__xludf.DUMMYFUNCTION("""COMPUTED_VALUE""")," Devlopment of the ARINC818 IP with Parameter control ")</f>
        <v>Devlopment of the ARINC818 IP with Parameter control</v>
      </c>
      <c r="N82" s="21">
        <f t="shared" si="1"/>
        <v>52</v>
      </c>
      <c r="O82" s="22">
        <f t="shared" si="2"/>
        <v>12</v>
      </c>
      <c r="P82" s="22" t="str">
        <f>IFERROR(__xludf.DUMMYFUNCTION("""COMPUTED_VALUE"""),"ARINC")</f>
        <v>ARINC</v>
      </c>
      <c r="Q82" s="28">
        <v>0.0</v>
      </c>
      <c r="R82" s="29" t="s">
        <v>115</v>
      </c>
      <c r="S82" s="28">
        <v>0.0</v>
      </c>
      <c r="T82" s="24"/>
    </row>
    <row r="83">
      <c r="A83" s="13">
        <f>IFERROR(__xludf.DUMMYFUNCTION("""COMPUTED_VALUE"""),82.0)</f>
        <v>82</v>
      </c>
      <c r="B83" s="13" t="str">
        <f>IFERROR(__xludf.DUMMYFUNCTION("""COMPUTED_VALUE"""),"Lattice")</f>
        <v>Lattice</v>
      </c>
      <c r="C83" s="14" t="str">
        <f>IFERROR(__xludf.DUMMYFUNCTION("""COMPUTED_VALUE"""),"Lattice_MIPI_To_HDMI_Reference_Design_153")</f>
        <v>Lattice_MIPI_To_HDMI_Reference_Design_153</v>
      </c>
      <c r="D83" s="13" t="str">
        <f>IFERROR(__xludf.DUMMYFUNCTION("""COMPUTED_VALUE"""),"Shashank Chaurasia")</f>
        <v>Shashank Chaurasia</v>
      </c>
      <c r="E83" s="32" t="s">
        <v>86</v>
      </c>
      <c r="F83" s="32" t="s">
        <v>86</v>
      </c>
      <c r="G83" s="33">
        <v>0.9</v>
      </c>
      <c r="H83" s="13"/>
      <c r="I83" s="17">
        <f>IFERROR(__xludf.DUMMYFUNCTION("""COMPUTED_VALUE"""),48.0)</f>
        <v>48</v>
      </c>
      <c r="J83" s="18">
        <f>IFERROR(__xludf.DUMMYFUNCTION("""COMPUTED_VALUE"""),21.0)</f>
        <v>21</v>
      </c>
      <c r="K83" s="19">
        <f>IFERROR(__xludf.DUMMYFUNCTION("""COMPUTED_VALUE"""),0.0)</f>
        <v>0</v>
      </c>
      <c r="L83" s="20" t="str">
        <f>IFERROR(__xludf.DUMMYFUNCTION("""COMPUTED_VALUE"""),"#VALUE!")</f>
        <v>#VALUE!</v>
      </c>
      <c r="M83" s="27" t="str">
        <f>IFERROR(__xludf.DUMMYFUNCTION("""COMPUTED_VALUE"""),"  Devlopment of the MIPI(Camera) to HDMI demo with some video processing Algo. ")</f>
        <v> Devlopment of the MIPI(Camera) to HDMI demo with some video processing Algo.</v>
      </c>
      <c r="N83" s="21">
        <f t="shared" si="1"/>
        <v>43.2</v>
      </c>
      <c r="O83" s="22">
        <f t="shared" si="2"/>
        <v>22.2</v>
      </c>
      <c r="P83" s="22" t="str">
        <f>IFERROR(__xludf.DUMMYFUNCTION("""COMPUTED_VALUE"""),"LATTICE")</f>
        <v>LATTICE</v>
      </c>
      <c r="Q83" s="28">
        <v>0.0</v>
      </c>
      <c r="R83" s="29" t="s">
        <v>115</v>
      </c>
      <c r="S83" s="28">
        <v>0.0</v>
      </c>
      <c r="T83" s="24"/>
    </row>
    <row r="84">
      <c r="A84" s="13">
        <f>IFERROR(__xludf.DUMMYFUNCTION("""COMPUTED_VALUE"""),83.0)</f>
        <v>83</v>
      </c>
      <c r="B84" s="13" t="str">
        <f>IFERROR(__xludf.DUMMYFUNCTION("""COMPUTED_VALUE"""),"LRDE-Lab")</f>
        <v>LRDE-Lab</v>
      </c>
      <c r="C84" s="14" t="str">
        <f>IFERROR(__xludf.DUMMYFUNCTION("""COMPUTED_VALUE"""),"LRDE_EPS_Firmware_Development_154")</f>
        <v>LRDE_EPS_Firmware_Development_154</v>
      </c>
      <c r="D84" s="13" t="str">
        <f>IFERROR(__xludf.DUMMYFUNCTION("""COMPUTED_VALUE"""),"Raghavan T V")</f>
        <v>Raghavan T V</v>
      </c>
      <c r="E84" s="25" t="s">
        <v>65</v>
      </c>
      <c r="F84" s="21" t="s">
        <v>65</v>
      </c>
      <c r="G84" s="26">
        <v>0.1</v>
      </c>
      <c r="H84" s="13"/>
      <c r="I84" s="17">
        <f>IFERROR(__xludf.DUMMYFUNCTION("""COMPUTED_VALUE"""),427.0)</f>
        <v>427</v>
      </c>
      <c r="J84" s="18">
        <f>IFERROR(__xludf.DUMMYFUNCTION("""COMPUTED_VALUE"""),186.0)</f>
        <v>186</v>
      </c>
      <c r="K84" s="19">
        <f>IFERROR(__xludf.DUMMYFUNCTION("""COMPUTED_VALUE"""),76.34204)</f>
        <v>76.34204</v>
      </c>
      <c r="L84" s="20" t="str">
        <f>IFERROR(__xludf.DUMMYFUNCTION("""COMPUTED_VALUE"""),"#VALUE!")</f>
        <v>#VALUE!</v>
      </c>
      <c r="M84" s="27" t="str">
        <f>IFERROR(__xludf.DUMMYFUNCTION("""COMPUTED_VALUE""")," Embedded Processing System Firmware Development ")</f>
        <v>Embedded Processing System Firmware Development</v>
      </c>
      <c r="N84" s="21">
        <f t="shared" si="1"/>
        <v>42.7</v>
      </c>
      <c r="O84" s="22">
        <f t="shared" si="2"/>
        <v>-143.3</v>
      </c>
      <c r="P84" s="22" t="str">
        <f>IFERROR(__xludf.DUMMYFUNCTION("""COMPUTED_VALUE"""),"LRDE-LAB")</f>
        <v>LRDE-LAB</v>
      </c>
      <c r="Q84" s="29" t="s">
        <v>114</v>
      </c>
      <c r="R84" s="29" t="s">
        <v>117</v>
      </c>
      <c r="S84" s="28">
        <v>0.0</v>
      </c>
      <c r="T84" s="24"/>
    </row>
    <row r="85">
      <c r="A85" s="13">
        <f>IFERROR(__xludf.DUMMYFUNCTION("""COMPUTED_VALUE"""),84.0)</f>
        <v>84</v>
      </c>
      <c r="B85" s="13" t="str">
        <f>IFERROR(__xludf.DUMMYFUNCTION("""COMPUTED_VALUE"""),"KEYSIGHT")</f>
        <v>KEYSIGHT</v>
      </c>
      <c r="C85" s="14" t="str">
        <f>IFERROR(__xludf.DUMMYFUNCTION("""COMPUTED_VALUE"""),"Keysight_PCIe_Gen5_Cutter_PTC_155")</f>
        <v>Keysight_PCIe_Gen5_Cutter_PTC_155</v>
      </c>
      <c r="D85" s="13" t="str">
        <f>IFERROR(__xludf.DUMMYFUNCTION("""COMPUTED_VALUE"""),"Monika Gupta")</f>
        <v>Monika Gupta</v>
      </c>
      <c r="E85" s="25" t="s">
        <v>65</v>
      </c>
      <c r="F85" s="21" t="s">
        <v>65</v>
      </c>
      <c r="G85" s="30">
        <v>0.3</v>
      </c>
      <c r="H85" s="13"/>
      <c r="I85" s="17">
        <f>IFERROR(__xludf.DUMMYFUNCTION("""COMPUTED_VALUE"""),288.0)</f>
        <v>288</v>
      </c>
      <c r="J85" s="18">
        <f>IFERROR(__xludf.DUMMYFUNCTION("""COMPUTED_VALUE"""),85.0)</f>
        <v>85</v>
      </c>
      <c r="K85" s="19">
        <f>IFERROR(__xludf.DUMMYFUNCTION("""COMPUTED_VALUE"""),29.24314)</f>
        <v>29.24314</v>
      </c>
      <c r="L85" s="20" t="str">
        <f>IFERROR(__xludf.DUMMYFUNCTION("""COMPUTED_VALUE"""),"#VALUE!")</f>
        <v>#VALUE!</v>
      </c>
      <c r="M85" s="27" t="str">
        <f>IFERROR(__xludf.DUMMYFUNCTION("""COMPUTED_VALUE""")," Developing Protocol Test Compliance (PTC) application on top of PCIe Gen5 exerciser product ")</f>
        <v>Developing Protocol Test Compliance (PTC) application on top of PCIe Gen5 exerciser product</v>
      </c>
      <c r="N85" s="21">
        <f t="shared" si="1"/>
        <v>86.4</v>
      </c>
      <c r="O85" s="22">
        <f t="shared" si="2"/>
        <v>1.4</v>
      </c>
      <c r="P85" s="22" t="str">
        <f>IFERROR(__xludf.DUMMYFUNCTION("""COMPUTED_VALUE"""),"CORVETTE")</f>
        <v>CORVETTE</v>
      </c>
      <c r="Q85" s="29" t="s">
        <v>116</v>
      </c>
      <c r="R85" s="29" t="s">
        <v>116</v>
      </c>
      <c r="S85" s="28">
        <v>0.0</v>
      </c>
      <c r="T85" s="24"/>
    </row>
    <row r="86">
      <c r="A86" s="13">
        <f>IFERROR(__xludf.DUMMYFUNCTION("""COMPUTED_VALUE"""),85.0)</f>
        <v>85</v>
      </c>
      <c r="B86" s="13" t="str">
        <f>IFERROR(__xludf.DUMMYFUNCTION("""COMPUTED_VALUE"""),"LFT")</f>
        <v>LFT</v>
      </c>
      <c r="C86" s="14" t="str">
        <f>IFERROR(__xludf.DUMMYFUNCTION("""COMPUTED_VALUE"""),"LFT_Internal_Web_Portal_161")</f>
        <v>LFT_Internal_Web_Portal_161</v>
      </c>
      <c r="D86" s="13" t="str">
        <f>IFERROR(__xludf.DUMMYFUNCTION("""COMPUTED_VALUE"""),"Dhruv Kumar Saxena")</f>
        <v>Dhruv Kumar Saxena</v>
      </c>
      <c r="E86" s="32" t="s">
        <v>65</v>
      </c>
      <c r="F86" s="21" t="s">
        <v>65</v>
      </c>
      <c r="G86" s="26">
        <v>0.1</v>
      </c>
      <c r="H86" s="13"/>
      <c r="I86" s="17">
        <f>IFERROR(__xludf.DUMMYFUNCTION("""COMPUTED_VALUE"""),0.0)</f>
        <v>0</v>
      </c>
      <c r="J86" s="18">
        <f>IFERROR(__xludf.DUMMYFUNCTION("""COMPUTED_VALUE"""),9.0)</f>
        <v>9</v>
      </c>
      <c r="K86" s="19">
        <f>IFERROR(__xludf.DUMMYFUNCTION("""COMPUTED_VALUE"""),2.12373)</f>
        <v>2.12373</v>
      </c>
      <c r="L86" s="20" t="str">
        <f>IFERROR(__xludf.DUMMYFUNCTION("""COMPUTED_VALUE"""),"#VALUE!")</f>
        <v>#VALUE!</v>
      </c>
      <c r="M86" s="27" t="str">
        <f>IFERROR(__xludf.DUMMYFUNCTION("""COMPUTED_VALUE"""),"  Internal Web Portal  ")</f>
        <v> Internal Web Portal </v>
      </c>
      <c r="N86" s="21">
        <f t="shared" si="1"/>
        <v>0</v>
      </c>
      <c r="O86" s="22">
        <f t="shared" si="2"/>
        <v>-9</v>
      </c>
      <c r="P86" s="22" t="str">
        <f>IFERROR(__xludf.DUMMYFUNCTION("""COMPUTED_VALUE"""),"LFT")</f>
        <v>LFT</v>
      </c>
      <c r="Q86" s="29" t="s">
        <v>115</v>
      </c>
      <c r="R86" s="28">
        <v>0.0</v>
      </c>
      <c r="S86" s="28">
        <v>0.0</v>
      </c>
      <c r="T86" s="24"/>
    </row>
    <row r="87">
      <c r="A87" s="13">
        <f>IFERROR(__xludf.DUMMYFUNCTION("""COMPUTED_VALUE"""),86.0)</f>
        <v>86</v>
      </c>
      <c r="B87" s="13" t="str">
        <f>IFERROR(__xludf.DUMMYFUNCTION("""COMPUTED_VALUE"""),"HAL")</f>
        <v>HAL</v>
      </c>
      <c r="C87" s="14" t="str">
        <f>IFERROR(__xludf.DUMMYFUNCTION("""COMPUTED_VALUE"""),"HAL_ARINC818_Analyzer_162")</f>
        <v>HAL_ARINC818_Analyzer_162</v>
      </c>
      <c r="D87" s="13" t="str">
        <f>IFERROR(__xludf.DUMMYFUNCTION("""COMPUTED_VALUE"""),"Madhukar Manohar")</f>
        <v>Madhukar Manohar</v>
      </c>
      <c r="E87" s="15" t="s">
        <v>70</v>
      </c>
      <c r="F87" s="32" t="s">
        <v>70</v>
      </c>
      <c r="G87" s="26">
        <v>0.1</v>
      </c>
      <c r="H87" s="13"/>
      <c r="I87" s="17">
        <f>IFERROR(__xludf.DUMMYFUNCTION("""COMPUTED_VALUE"""),20.0)</f>
        <v>20</v>
      </c>
      <c r="J87" s="18">
        <f>IFERROR(__xludf.DUMMYFUNCTION("""COMPUTED_VALUE"""),52.0)</f>
        <v>52</v>
      </c>
      <c r="K87" s="19">
        <f>IFERROR(__xludf.DUMMYFUNCTION("""COMPUTED_VALUE"""),23.76262)</f>
        <v>23.76262</v>
      </c>
      <c r="L87" s="20" t="str">
        <f>IFERROR(__xludf.DUMMYFUNCTION("""COMPUTED_VALUE"""),"#VALUE!")</f>
        <v>#VALUE!</v>
      </c>
      <c r="M87" s="21" t="str">
        <f>IFERROR(__xludf.DUMMYFUNCTION("""COMPUTED_VALUE"""),"Design and Development of ARINC818 Analyzer for HAL")</f>
        <v>Design and Development of ARINC818 Analyzer for HAL</v>
      </c>
      <c r="N87" s="21">
        <f t="shared" si="1"/>
        <v>2</v>
      </c>
      <c r="O87" s="22">
        <f t="shared" si="2"/>
        <v>-50</v>
      </c>
      <c r="P87" s="22" t="str">
        <f>IFERROR(__xludf.DUMMYFUNCTION("""COMPUTED_VALUE"""),"ARINC")</f>
        <v>ARINC</v>
      </c>
      <c r="Q87" s="29" t="s">
        <v>113</v>
      </c>
      <c r="R87" s="29" t="s">
        <v>120</v>
      </c>
      <c r="S87" s="29" t="s">
        <v>116</v>
      </c>
      <c r="T87" s="24"/>
    </row>
    <row r="88">
      <c r="A88" s="13">
        <f>IFERROR(__xludf.DUMMYFUNCTION("""COMPUTED_VALUE"""),87.0)</f>
        <v>87</v>
      </c>
      <c r="B88" s="13" t="str">
        <f>IFERROR(__xludf.DUMMYFUNCTION("""COMPUTED_VALUE"""),"IRDE-LAB")</f>
        <v>IRDE-LAB</v>
      </c>
      <c r="C88" s="14" t="str">
        <f>IFERROR(__xludf.DUMMYFUNCTION("""COMPUTED_VALUE"""),"IRDE_Video_Processing_for_Thermal_Imager_v2_163")</f>
        <v>IRDE_Video_Processing_for_Thermal_Imager_v2_163</v>
      </c>
      <c r="D88" s="13" t="str">
        <f>IFERROR(__xludf.DUMMYFUNCTION("""COMPUTED_VALUE"""),"Vishal Sinha")</f>
        <v>Vishal Sinha</v>
      </c>
      <c r="E88" s="32" t="s">
        <v>65</v>
      </c>
      <c r="F88" s="21" t="s">
        <v>65</v>
      </c>
      <c r="G88" s="33">
        <v>0.2</v>
      </c>
      <c r="H88" s="13"/>
      <c r="I88" s="17">
        <f>IFERROR(__xludf.DUMMYFUNCTION("""COMPUTED_VALUE"""),41.0)</f>
        <v>41</v>
      </c>
      <c r="J88" s="18">
        <f>IFERROR(__xludf.DUMMYFUNCTION("""COMPUTED_VALUE"""),23.0)</f>
        <v>23</v>
      </c>
      <c r="K88" s="19">
        <f>IFERROR(__xludf.DUMMYFUNCTION("""COMPUTED_VALUE"""),11.53491)</f>
        <v>11.53491</v>
      </c>
      <c r="L88" s="20" t="str">
        <f>IFERROR(__xludf.DUMMYFUNCTION("""COMPUTED_VALUE"""),"#VALUE!")</f>
        <v>#VALUE!</v>
      </c>
      <c r="M88" s="21" t="str">
        <f>IFERROR(__xludf.DUMMYFUNCTION("""COMPUTED_VALUE"""),"Add the symbology and Ethernet support in the Thermal Imager Ver 1 project.")</f>
        <v>Add the symbology and Ethernet support in the Thermal Imager Ver 1 project.</v>
      </c>
      <c r="N88" s="21">
        <f t="shared" si="1"/>
        <v>8.2</v>
      </c>
      <c r="O88" s="22">
        <f t="shared" si="2"/>
        <v>-14.8</v>
      </c>
      <c r="P88" s="22" t="str">
        <f>IFERROR(__xludf.DUMMYFUNCTION("""COMPUTED_VALUE"""),"IRDE-LAB")</f>
        <v>IRDE-LAB</v>
      </c>
      <c r="Q88" s="29" t="s">
        <v>118</v>
      </c>
      <c r="R88" s="29" t="s">
        <v>119</v>
      </c>
      <c r="S88" s="28">
        <v>0.0</v>
      </c>
      <c r="T88" s="24"/>
    </row>
    <row r="89">
      <c r="A89" s="13">
        <f>IFERROR(__xludf.DUMMYFUNCTION("""COMPUTED_VALUE"""),88.0)</f>
        <v>88</v>
      </c>
      <c r="B89" s="13" t="str">
        <f>IFERROR(__xludf.DUMMYFUNCTION("""COMPUTED_VALUE"""),"LFT")</f>
        <v>LFT</v>
      </c>
      <c r="C89" s="14" t="str">
        <f>IFERROR(__xludf.DUMMYFUNCTION("""COMPUTED_VALUE"""),"LFT_AMD_AI_Video_scalar_demo_164")</f>
        <v>LFT_AMD_AI_Video_scalar_demo_164</v>
      </c>
      <c r="D89" s="13" t="str">
        <f>IFERROR(__xludf.DUMMYFUNCTION("""COMPUTED_VALUE"""),"Vishal Sinha")</f>
        <v>Vishal Sinha</v>
      </c>
      <c r="E89" s="32" t="s">
        <v>65</v>
      </c>
      <c r="F89" s="21" t="s">
        <v>65</v>
      </c>
      <c r="G89" s="26">
        <v>0.6</v>
      </c>
      <c r="H89" s="13"/>
      <c r="I89" s="17">
        <f>IFERROR(__xludf.DUMMYFUNCTION("""COMPUTED_VALUE"""),0.0)</f>
        <v>0</v>
      </c>
      <c r="J89" s="18">
        <f>IFERROR(__xludf.DUMMYFUNCTION("""COMPUTED_VALUE"""),34.0)</f>
        <v>34</v>
      </c>
      <c r="K89" s="19">
        <f>IFERROR(__xludf.DUMMYFUNCTION("""COMPUTED_VALUE"""),4.302466)</f>
        <v>4.302466</v>
      </c>
      <c r="L89" s="20" t="str">
        <f>IFERROR(__xludf.DUMMYFUNCTION("""COMPUTED_VALUE"""),"#VALUE!")</f>
        <v>#VALUE!</v>
      </c>
      <c r="M89" s="21" t="str">
        <f>IFERROR(__xludf.DUMMYFUNCTION("""COMPUTED_VALUE"""),"Implementation of Video scalar on AMD FPGA AI Engine")</f>
        <v>Implementation of Video scalar on AMD FPGA AI Engine</v>
      </c>
      <c r="N89" s="21">
        <f t="shared" si="1"/>
        <v>0</v>
      </c>
      <c r="O89" s="22">
        <f t="shared" si="2"/>
        <v>-34</v>
      </c>
      <c r="P89" s="22" t="str">
        <f>IFERROR(__xludf.DUMMYFUNCTION("""COMPUTED_VALUE"""),"XILINX")</f>
        <v>XILINX</v>
      </c>
      <c r="Q89" s="34"/>
      <c r="R89" s="34"/>
      <c r="S89" s="34"/>
      <c r="T89" s="24"/>
    </row>
    <row r="90">
      <c r="A90" s="13">
        <f>IFERROR(__xludf.DUMMYFUNCTION("""COMPUTED_VALUE"""),89.0)</f>
        <v>89</v>
      </c>
      <c r="B90" s="13" t="str">
        <f>IFERROR(__xludf.DUMMYFUNCTION("""COMPUTED_VALUE"""),"LFT")</f>
        <v>LFT</v>
      </c>
      <c r="C90" s="36" t="str">
        <f>IFERROR(__xludf.DUMMYFUNCTION("""COMPUTED_VALUE"""),"LFT_Achronix_JESD204C_TI_165")</f>
        <v>LFT_Achronix_JESD204C_TI_165</v>
      </c>
      <c r="D90" s="13" t="str">
        <f>IFERROR(__xludf.DUMMYFUNCTION("""COMPUTED_VALUE"""),"Deepak Goyal")</f>
        <v>Deepak Goyal</v>
      </c>
      <c r="E90" s="15" t="s">
        <v>70</v>
      </c>
      <c r="F90" s="32" t="s">
        <v>70</v>
      </c>
      <c r="G90" s="26">
        <v>0.0</v>
      </c>
      <c r="H90" s="13"/>
      <c r="I90" s="17">
        <f>IFERROR(__xludf.DUMMYFUNCTION("""COMPUTED_VALUE"""),0.0)</f>
        <v>0</v>
      </c>
      <c r="J90" s="18">
        <f>IFERROR(__xludf.DUMMYFUNCTION("""COMPUTED_VALUE"""),10.0)</f>
        <v>10</v>
      </c>
      <c r="K90" s="19">
        <f>IFERROR(__xludf.DUMMYFUNCTION("""COMPUTED_VALUE"""),0.0)</f>
        <v>0</v>
      </c>
      <c r="L90" s="20" t="str">
        <f>IFERROR(__xludf.DUMMYFUNCTION("""COMPUTED_VALUE"""),"#VALUE!")</f>
        <v>#VALUE!</v>
      </c>
      <c r="M90" s="21" t="str">
        <f>IFERROR(__xludf.DUMMYFUNCTION("""COMPUTED_VALUE"""),"JESD204C ported on Vectorpath HW to demo with AFE7920EVM HW")</f>
        <v>JESD204C ported on Vectorpath HW to demo with AFE7920EVM HW</v>
      </c>
      <c r="N90" s="21">
        <f t="shared" si="1"/>
        <v>0</v>
      </c>
      <c r="O90" s="22">
        <f t="shared" si="2"/>
        <v>-10</v>
      </c>
      <c r="P90" s="22" t="str">
        <f>IFERROR(__xludf.DUMMYFUNCTION("""COMPUTED_VALUE"""),"ACHRONIX")</f>
        <v>ACHRONIX</v>
      </c>
      <c r="Q90" s="28">
        <v>0.0</v>
      </c>
      <c r="R90" s="29" t="s">
        <v>115</v>
      </c>
      <c r="S90" s="28">
        <v>0.0</v>
      </c>
      <c r="T90" s="24"/>
    </row>
    <row r="91">
      <c r="A91" s="13">
        <f>IFERROR(__xludf.DUMMYFUNCTION("""COMPUTED_VALUE"""),90.0)</f>
        <v>90</v>
      </c>
      <c r="B91" s="13" t="str">
        <f>IFERROR(__xludf.DUMMYFUNCTION("""COMPUTED_VALUE"""),"Lattice")</f>
        <v>Lattice</v>
      </c>
      <c r="C91" s="14" t="str">
        <f>IFERROR(__xludf.DUMMYFUNCTION("""COMPUTED_VALUE"""),"Lattice_RCS_V2_166")</f>
        <v>Lattice_RCS_V2_166</v>
      </c>
      <c r="D91" s="13" t="str">
        <f>IFERROR(__xludf.DUMMYFUNCTION("""COMPUTED_VALUE"""),"Gurpreet Singh ")</f>
        <v>Gurpreet Singh </v>
      </c>
      <c r="E91" s="32" t="s">
        <v>70</v>
      </c>
      <c r="F91" s="32" t="s">
        <v>86</v>
      </c>
      <c r="G91" s="33">
        <v>0.6</v>
      </c>
      <c r="H91" s="13"/>
      <c r="I91" s="17">
        <f>IFERROR(__xludf.DUMMYFUNCTION("""COMPUTED_VALUE"""),29.52)</f>
        <v>29.52</v>
      </c>
      <c r="J91" s="18">
        <f>IFERROR(__xludf.DUMMYFUNCTION("""COMPUTED_VALUE"""),21.0)</f>
        <v>21</v>
      </c>
      <c r="K91" s="19">
        <f>IFERROR(__xludf.DUMMYFUNCTION("""COMPUTED_VALUE"""),8.823483000000001)</f>
        <v>8.823483</v>
      </c>
      <c r="L91" s="20" t="str">
        <f>IFERROR(__xludf.DUMMYFUNCTION("""COMPUTED_VALUE"""),"#VALUE!")</f>
        <v>#VALUE!</v>
      </c>
      <c r="M91" s="21" t="str">
        <f>IFERROR(__xludf.DUMMYFUNCTION("""COMPUTED_VALUE"""),"Phase 2 development for RCS project ")</f>
        <v>Phase 2 development for RCS project </v>
      </c>
      <c r="N91" s="21">
        <f t="shared" si="1"/>
        <v>17.712</v>
      </c>
      <c r="O91" s="22">
        <f t="shared" si="2"/>
        <v>-3.288</v>
      </c>
      <c r="P91" s="22" t="str">
        <f>IFERROR(__xludf.DUMMYFUNCTION("""COMPUTED_VALUE"""),"LATTICE")</f>
        <v>LATTICE</v>
      </c>
      <c r="Q91" s="28">
        <v>0.0</v>
      </c>
      <c r="R91" s="29" t="s">
        <v>115</v>
      </c>
      <c r="S91" s="28">
        <v>0.0</v>
      </c>
      <c r="T91" s="24"/>
    </row>
    <row r="92">
      <c r="A92" s="13">
        <f>IFERROR(__xludf.DUMMYFUNCTION("""COMPUTED_VALUE"""),91.0)</f>
        <v>91</v>
      </c>
      <c r="B92" s="24" t="str">
        <f>IFERROR(__xludf.DUMMYFUNCTION("""COMPUTED_VALUE"""),"LFT")</f>
        <v>LFT</v>
      </c>
      <c r="C92" s="37" t="str">
        <f>IFERROR(__xludf.DUMMYFUNCTION("""COMPUTED_VALUE"""),"LFT_PCIe_CXL_Verilog_IP_Core_Development_167")</f>
        <v>LFT_PCIe_CXL_Verilog_IP_Core_Development_167</v>
      </c>
      <c r="D92" s="24" t="str">
        <f>IFERROR(__xludf.DUMMYFUNCTION("""COMPUTED_VALUE"""),"Vineet Goel")</f>
        <v>Vineet Goel</v>
      </c>
      <c r="E92" s="32" t="s">
        <v>75</v>
      </c>
      <c r="F92" s="32" t="s">
        <v>75</v>
      </c>
      <c r="G92" s="33">
        <v>0.3</v>
      </c>
      <c r="H92" s="24"/>
      <c r="I92" s="38">
        <f>IFERROR(__xludf.DUMMYFUNCTION("""COMPUTED_VALUE"""),0.0)</f>
        <v>0</v>
      </c>
      <c r="J92" s="39">
        <f>IFERROR(__xludf.DUMMYFUNCTION("""COMPUTED_VALUE"""),0.0)</f>
        <v>0</v>
      </c>
      <c r="K92" s="40">
        <f>IFERROR(__xludf.DUMMYFUNCTION("""COMPUTED_VALUE"""),0.0)</f>
        <v>0</v>
      </c>
      <c r="L92" s="41" t="str">
        <f>IFERROR(__xludf.DUMMYFUNCTION("""COMPUTED_VALUE"""),"#VALUE!")</f>
        <v>#VALUE!</v>
      </c>
      <c r="M92" s="24" t="str">
        <f>IFERROR(__xludf.DUMMYFUNCTION("""COMPUTED_VALUE"""),"Developing PCIe / CXL Verilog IP Core for future customers")</f>
        <v>Developing PCIe / CXL Verilog IP Core for future customers</v>
      </c>
      <c r="N92" s="24"/>
      <c r="O92" s="24"/>
      <c r="P92" s="24"/>
      <c r="Q92" s="24"/>
      <c r="R92" s="24"/>
      <c r="S92" s="24"/>
      <c r="T92" s="24"/>
    </row>
    <row r="93">
      <c r="A93" s="13">
        <f>IFERROR(__xludf.DUMMYFUNCTION("""COMPUTED_VALUE"""),92.0)</f>
        <v>92</v>
      </c>
      <c r="B93" s="24" t="str">
        <f>IFERROR(__xludf.DUMMYFUNCTION("""COMPUTED_VALUE"""),"LFT")</f>
        <v>LFT</v>
      </c>
      <c r="C93" s="37" t="str">
        <f>IFERROR(__xludf.DUMMYFUNCTION("""COMPUTED_VALUE"""),"LFT_ARINC818_IP_Porting_on_NI_System_168")</f>
        <v>LFT_ARINC818_IP_Porting_on_NI_System_168</v>
      </c>
      <c r="D93" s="24" t="str">
        <f>IFERROR(__xludf.DUMMYFUNCTION("""COMPUTED_VALUE"""),"Vishal Sinha")</f>
        <v>Vishal Sinha</v>
      </c>
      <c r="E93" s="32" t="s">
        <v>65</v>
      </c>
      <c r="F93" s="21" t="s">
        <v>65</v>
      </c>
      <c r="G93" s="33"/>
      <c r="H93" s="24"/>
      <c r="I93" s="38">
        <f>IFERROR(__xludf.DUMMYFUNCTION("""COMPUTED_VALUE"""),0.0)</f>
        <v>0</v>
      </c>
      <c r="J93" s="39">
        <f>IFERROR(__xludf.DUMMYFUNCTION("""COMPUTED_VALUE"""),21.0)</f>
        <v>21</v>
      </c>
      <c r="K93" s="40">
        <f>IFERROR(__xludf.DUMMYFUNCTION("""COMPUTED_VALUE"""),11.84541)</f>
        <v>11.84541</v>
      </c>
      <c r="L93" s="41" t="str">
        <f>IFERROR(__xludf.DUMMYFUNCTION("""COMPUTED_VALUE"""),"#VALUE!")</f>
        <v>#VALUE!</v>
      </c>
      <c r="M93" s="24" t="str">
        <f>IFERROR(__xludf.DUMMYFUNCTION("""COMPUTED_VALUE"""),"Port the ARINC 818 IP on the NI system and create the demo. ")</f>
        <v>Port the ARINC 818 IP on the NI system and create the demo. </v>
      </c>
      <c r="N93" s="24"/>
      <c r="O93" s="24"/>
      <c r="P93" s="24"/>
      <c r="Q93" s="24"/>
      <c r="R93" s="24"/>
      <c r="S93" s="24"/>
      <c r="T93" s="24"/>
    </row>
    <row r="94">
      <c r="A94" s="13">
        <f>IFERROR(__xludf.DUMMYFUNCTION("""COMPUTED_VALUE"""),93.0)</f>
        <v>93</v>
      </c>
      <c r="B94" s="24" t="str">
        <f>IFERROR(__xludf.DUMMYFUNCTION("""COMPUTED_VALUE"""),"LFT")</f>
        <v>LFT</v>
      </c>
      <c r="C94" s="37" t="str">
        <f>IFERROR(__xludf.DUMMYFUNCTION("""COMPUTED_VALUE"""),"LFT_Achronix_Development_Board_169")</f>
        <v>LFT_Achronix_Development_Board_169</v>
      </c>
      <c r="D94" s="24" t="str">
        <f>IFERROR(__xludf.DUMMYFUNCTION("""COMPUTED_VALUE"""),"Abhishek Khandelwal")</f>
        <v>Abhishek Khandelwal</v>
      </c>
      <c r="E94" s="32" t="s">
        <v>65</v>
      </c>
      <c r="F94" s="21" t="s">
        <v>65</v>
      </c>
      <c r="G94" s="33">
        <v>0.2</v>
      </c>
      <c r="H94" s="24"/>
      <c r="I94" s="38">
        <f>IFERROR(__xludf.DUMMYFUNCTION("""COMPUTED_VALUE"""),0.0)</f>
        <v>0</v>
      </c>
      <c r="J94" s="39">
        <f>IFERROR(__xludf.DUMMYFUNCTION("""COMPUTED_VALUE"""),23.0)</f>
        <v>23</v>
      </c>
      <c r="K94" s="40">
        <f>IFERROR(__xludf.DUMMYFUNCTION("""COMPUTED_VALUE"""),17.03426)</f>
        <v>17.03426</v>
      </c>
      <c r="L94" s="41" t="str">
        <f>IFERROR(__xludf.DUMMYFUNCTION("""COMPUTED_VALUE"""),"#VALUE!")</f>
        <v>#VALUE!</v>
      </c>
      <c r="M94" s="24" t="str">
        <f>IFERROR(__xludf.DUMMYFUNCTION("""COMPUTED_VALUE"""),"Design of Achronix Speedster FPGA based Development Board and Platform. Board has PCIe Form factor and acts as a Carrier for standard FMC/FMC+ Modules. It contains High Speed memory (DDR4, GDDR6) and Ethernet interface (QSFP56).")</f>
        <v>Design of Achronix Speedster FPGA based Development Board and Platform. Board has PCIe Form factor and acts as a Carrier for standard FMC/FMC+ Modules. It contains High Speed memory (DDR4, GDDR6) and Ethernet interface (QSFP56).</v>
      </c>
      <c r="N94" s="24"/>
      <c r="O94" s="24"/>
      <c r="P94" s="24"/>
      <c r="Q94" s="24"/>
      <c r="R94" s="24"/>
      <c r="S94" s="24"/>
      <c r="T94" s="24"/>
    </row>
    <row r="95">
      <c r="A95" s="13">
        <f>IFERROR(__xludf.DUMMYFUNCTION("""COMPUTED_VALUE"""),94.0)</f>
        <v>94</v>
      </c>
      <c r="B95" s="24" t="str">
        <f>IFERROR(__xludf.DUMMYFUNCTION("""COMPUTED_VALUE"""),"Stryker")</f>
        <v>Stryker</v>
      </c>
      <c r="C95" s="37" t="str">
        <f>IFERROR(__xludf.DUMMYFUNCTION("""COMPUTED_VALUE"""),"Stryker_QT_GUI_SOW2-2_170")</f>
        <v>Stryker_QT_GUI_SOW2-2_170</v>
      </c>
      <c r="D95" s="24" t="str">
        <f>IFERROR(__xludf.DUMMYFUNCTION("""COMPUTED_VALUE"""),"Dhruv Kumar Saxena")</f>
        <v>Dhruv Kumar Saxena</v>
      </c>
      <c r="E95" s="32" t="s">
        <v>70</v>
      </c>
      <c r="F95" s="32" t="s">
        <v>75</v>
      </c>
      <c r="G95" s="33"/>
      <c r="H95" s="24"/>
      <c r="I95" s="38">
        <f>IFERROR(__xludf.DUMMYFUNCTION("""COMPUTED_VALUE"""),0.0)</f>
        <v>0</v>
      </c>
      <c r="J95" s="39">
        <f>IFERROR(__xludf.DUMMYFUNCTION("""COMPUTED_VALUE"""),6.0)</f>
        <v>6</v>
      </c>
      <c r="K95" s="40">
        <f>IFERROR(__xludf.DUMMYFUNCTION("""COMPUTED_VALUE"""),2.736356)</f>
        <v>2.736356</v>
      </c>
      <c r="L95" s="41" t="str">
        <f>IFERROR(__xludf.DUMMYFUNCTION("""COMPUTED_VALUE"""),"#VALUE!")</f>
        <v>#VALUE!</v>
      </c>
      <c r="M95" s="24" t="str">
        <f>IFERROR(__xludf.DUMMYFUNCTION("""COMPUTED_VALUE"""),"Stryker QT GUI development for medical device.")</f>
        <v>Stryker QT GUI development for medical device.</v>
      </c>
      <c r="N95" s="24"/>
      <c r="O95" s="24"/>
      <c r="P95" s="24"/>
      <c r="Q95" s="24"/>
      <c r="R95" s="24"/>
      <c r="S95" s="24"/>
      <c r="T95" s="24"/>
    </row>
    <row r="96">
      <c r="A96" s="13">
        <f>IFERROR(__xludf.DUMMYFUNCTION("""COMPUTED_VALUE"""),95.0)</f>
        <v>95</v>
      </c>
      <c r="B96" s="24" t="str">
        <f>IFERROR(__xludf.DUMMYFUNCTION("""COMPUTED_VALUE"""),"NA")</f>
        <v>NA</v>
      </c>
      <c r="C96" s="37" t="str">
        <f>IFERROR(__xludf.DUMMYFUNCTION("""COMPUTED_VALUE"""),"Self Learning")</f>
        <v>Self Learning</v>
      </c>
      <c r="D96" s="24" t="str">
        <f>IFERROR(__xludf.DUMMYFUNCTION("""COMPUTED_VALUE"""),"NA")</f>
        <v>NA</v>
      </c>
      <c r="E96" s="32" t="s">
        <v>123</v>
      </c>
      <c r="F96" s="32" t="s">
        <v>123</v>
      </c>
      <c r="G96" s="33"/>
      <c r="H96" s="38"/>
      <c r="I96" s="38">
        <f>IFERROR(__xludf.DUMMYFUNCTION("""COMPUTED_VALUE"""),0.0)</f>
        <v>0</v>
      </c>
      <c r="J96" s="39">
        <f>IFERROR(__xludf.DUMMYFUNCTION("""COMPUTED_VALUE"""),0.0)</f>
        <v>0</v>
      </c>
      <c r="K96" s="40">
        <f>IFERROR(__xludf.DUMMYFUNCTION("""COMPUTED_VALUE"""),0.0)</f>
        <v>0</v>
      </c>
      <c r="L96" s="41" t="str">
        <f>IFERROR(__xludf.DUMMYFUNCTION("""COMPUTED_VALUE"""),"#VALUE!")</f>
        <v>#VALUE!</v>
      </c>
      <c r="M96" s="24"/>
      <c r="N96" s="24"/>
      <c r="O96" s="24"/>
      <c r="P96" s="24"/>
      <c r="Q96" s="24"/>
      <c r="R96" s="24"/>
      <c r="S96" s="24"/>
      <c r="T96" s="24"/>
    </row>
    <row r="97">
      <c r="A97" s="13">
        <f>IFERROR(__xludf.DUMMYFUNCTION("""COMPUTED_VALUE"""),96.0)</f>
        <v>96</v>
      </c>
      <c r="B97" s="24" t="str">
        <f>IFERROR(__xludf.DUMMYFUNCTION("""COMPUTED_VALUE"""),"Collins Aerospace")</f>
        <v>Collins Aerospace</v>
      </c>
      <c r="C97" s="37" t="str">
        <f>IFERROR(__xludf.DUMMYFUNCTION("""COMPUTED_VALUE"""),"Collins_PCIe_NVMe_Bridge_Solution_Stage2_171")</f>
        <v>Collins_PCIe_NVMe_Bridge_Solution_Stage2_171</v>
      </c>
      <c r="D97" s="24" t="str">
        <f>IFERROR(__xludf.DUMMYFUNCTION("""COMPUTED_VALUE"""),"Vishal Sinha")</f>
        <v>Vishal Sinha</v>
      </c>
      <c r="E97" s="32" t="s">
        <v>65</v>
      </c>
      <c r="F97" s="32" t="s">
        <v>65</v>
      </c>
      <c r="G97" s="33"/>
      <c r="H97" s="38"/>
      <c r="I97" s="38">
        <f>IFERROR(__xludf.DUMMYFUNCTION("""COMPUTED_VALUE"""),211.0)</f>
        <v>211</v>
      </c>
      <c r="J97" s="39">
        <f>IFERROR(__xludf.DUMMYFUNCTION("""COMPUTED_VALUE"""),17.0)</f>
        <v>17</v>
      </c>
      <c r="K97" s="40">
        <f>IFERROR(__xludf.DUMMYFUNCTION("""COMPUTED_VALUE"""),14.08529)</f>
        <v>14.08529</v>
      </c>
      <c r="L97" s="41" t="str">
        <f>IFERROR(__xludf.DUMMYFUNCTION("""COMPUTED_VALUE"""),"#VALUE!")</f>
        <v>#VALUE!</v>
      </c>
      <c r="M97" s="24" t="str">
        <f>IFERROR(__xludf.DUMMYFUNCTION("""COMPUTED_VALUE"""),"Developing PCIe Bridge between the Host PC and NVMe SSD using Achronix Bitwarre Evaluation Board")</f>
        <v>Developing PCIe Bridge between the Host PC and NVMe SSD using Achronix Bitwarre Evaluation Board</v>
      </c>
      <c r="N97" s="24"/>
      <c r="O97" s="24"/>
      <c r="P97" s="24"/>
      <c r="Q97" s="24"/>
      <c r="R97" s="24"/>
      <c r="S97" s="24"/>
      <c r="T97" s="24"/>
    </row>
    <row r="98">
      <c r="A98" s="13">
        <f>IFERROR(__xludf.DUMMYFUNCTION("""COMPUTED_VALUE"""),97.0)</f>
        <v>97</v>
      </c>
      <c r="B98" s="24" t="str">
        <f>IFERROR(__xludf.DUMMYFUNCTION("""COMPUTED_VALUE"""),"AMPL")</f>
        <v>AMPL</v>
      </c>
      <c r="C98" s="37" t="str">
        <f>IFERROR(__xludf.DUMMYFUNCTION("""COMPUTED_VALUE"""),"Astra_Microwave_Custom_Board_Booting_172")</f>
        <v>Astra_Microwave_Custom_Board_Booting_172</v>
      </c>
      <c r="D98" s="24" t="str">
        <f>IFERROR(__xludf.DUMMYFUNCTION("""COMPUTED_VALUE"""),"Dhruv Kumar Saxena")</f>
        <v>Dhruv Kumar Saxena</v>
      </c>
      <c r="E98" s="32" t="s">
        <v>65</v>
      </c>
      <c r="F98" s="32" t="s">
        <v>75</v>
      </c>
      <c r="G98" s="33"/>
      <c r="H98" s="38"/>
      <c r="I98" s="38">
        <f>IFERROR(__xludf.DUMMYFUNCTION("""COMPUTED_VALUE"""),5.0)</f>
        <v>5</v>
      </c>
      <c r="J98" s="39">
        <f>IFERROR(__xludf.DUMMYFUNCTION("""COMPUTED_VALUE"""),8.0)</f>
        <v>8</v>
      </c>
      <c r="K98" s="40">
        <f>IFERROR(__xludf.DUMMYFUNCTION("""COMPUTED_VALUE"""),5.216218)</f>
        <v>5.216218</v>
      </c>
      <c r="L98" s="41"/>
      <c r="M98" s="24" t="str">
        <f>IFERROR(__xludf.DUMMYFUNCTION("""COMPUTED_VALUE"""),"For custom board, add support for booting kernel with RAMFS, booting from NAND flash and enable Ethernet at Uboot level.")</f>
        <v>For custom board, add support for booting kernel with RAMFS, booting from NAND flash and enable Ethernet at Uboot level.</v>
      </c>
      <c r="N98" s="24"/>
      <c r="O98" s="24"/>
      <c r="P98" s="24"/>
      <c r="Q98" s="24"/>
      <c r="R98" s="24"/>
      <c r="S98" s="24"/>
      <c r="T98" s="24"/>
    </row>
    <row r="99">
      <c r="A99" s="13">
        <f>IFERROR(__xludf.DUMMYFUNCTION("""COMPUTED_VALUE"""),98.0)</f>
        <v>98</v>
      </c>
      <c r="B99" s="24" t="str">
        <f>IFERROR(__xludf.DUMMYFUNCTION("""COMPUTED_VALUE"""),"LFT")</f>
        <v>LFT</v>
      </c>
      <c r="C99" s="37" t="str">
        <f>IFERROR(__xludf.DUMMYFUNCTION("""COMPUTED_VALUE"""),"LFT_Achronix_JESD204C_IP_Enhancements_173")</f>
        <v>LFT_Achronix_JESD204C_IP_Enhancements_173</v>
      </c>
      <c r="D99" s="24" t="str">
        <f>IFERROR(__xludf.DUMMYFUNCTION("""COMPUTED_VALUE"""),"Vishal Sinha")</f>
        <v>Vishal Sinha</v>
      </c>
      <c r="E99" s="32" t="s">
        <v>65</v>
      </c>
      <c r="F99" s="32" t="s">
        <v>65</v>
      </c>
      <c r="G99" s="33"/>
      <c r="H99" s="38"/>
      <c r="I99" s="38" t="str">
        <f>IFERROR(__xludf.DUMMYFUNCTION("""COMPUTED_VALUE"""),"#N/A")</f>
        <v>#N/A</v>
      </c>
      <c r="J99" s="39" t="str">
        <f>IFERROR(__xludf.DUMMYFUNCTION("""COMPUTED_VALUE"""),"#N/A")</f>
        <v>#N/A</v>
      </c>
      <c r="K99" s="40">
        <f>IFERROR(__xludf.DUMMYFUNCTION("""COMPUTED_VALUE"""),0.0)</f>
        <v>0</v>
      </c>
      <c r="L99" s="41"/>
      <c r="M99" s="24" t="str">
        <f>IFERROR(__xludf.DUMMYFUNCTION("""COMPUTED_VALUE"""),"Work required to make JESD204C design in IP shape which any customer can integrate in their FPGA design, making interface similar to AMD Xillinx IP &amp; also do additional testing AD9082 board.")</f>
        <v>Work required to make JESD204C design in IP shape which any customer can integrate in their FPGA design, making interface similar to AMD Xillinx IP &amp; also do additional testing AD9082 board.</v>
      </c>
      <c r="N99" s="24"/>
      <c r="O99" s="24"/>
      <c r="P99" s="24"/>
      <c r="Q99" s="24"/>
      <c r="R99" s="24"/>
      <c r="S99" s="24"/>
      <c r="T99" s="24"/>
    </row>
    <row r="100">
      <c r="A100" s="13">
        <f>IFERROR(__xludf.DUMMYFUNCTION("""COMPUTED_VALUE"""),98.0)</f>
        <v>98</v>
      </c>
      <c r="B100" s="24" t="str">
        <f>IFERROR(__xludf.DUMMYFUNCTION("""COMPUTED_VALUE"""),"AMPL")</f>
        <v>AMPL</v>
      </c>
      <c r="C100" s="37" t="str">
        <f>IFERROR(__xludf.DUMMYFUNCTION("""COMPUTED_VALUE"""),"Astra_40G_UDP_IP_Stack_Development_174")</f>
        <v>Astra_40G_UDP_IP_Stack_Development_174</v>
      </c>
      <c r="D100" s="24" t="str">
        <f>IFERROR(__xludf.DUMMYFUNCTION("""COMPUTED_VALUE"""),"Vishal Sinha")</f>
        <v>Vishal Sinha</v>
      </c>
      <c r="E100" s="32" t="s">
        <v>65</v>
      </c>
      <c r="F100" s="32" t="s">
        <v>65</v>
      </c>
      <c r="G100" s="33"/>
      <c r="H100" s="38"/>
      <c r="I100" s="38">
        <f>IFERROR(__xludf.DUMMYFUNCTION("""COMPUTED_VALUE"""),60.0)</f>
        <v>60</v>
      </c>
      <c r="J100" s="39">
        <f>IFERROR(__xludf.DUMMYFUNCTION("""COMPUTED_VALUE"""),4.0)</f>
        <v>4</v>
      </c>
      <c r="K100" s="40">
        <f>IFERROR(__xludf.DUMMYFUNCTION("""COMPUTED_VALUE"""),3.976728)</f>
        <v>3.976728</v>
      </c>
      <c r="L100" s="41"/>
      <c r="M100" s="24" t="str">
        <f>IFERROR(__xludf.DUMMYFUNCTION("""COMPUTED_VALUE"""),"Development of 40G UDP IP core for IQ data transfer followed by Integration of 40G UDP IP core with Xilinx 40G Ethernet subsystem (4.0) (MAC+PCS/PMA).
")</f>
        <v>Development of 40G UDP IP core for IQ data transfer followed by Integration of 40G UDP IP core with Xilinx 40G Ethernet subsystem (4.0) (MAC+PCS/PMA).
</v>
      </c>
      <c r="N100" s="24"/>
      <c r="O100" s="24"/>
      <c r="P100" s="24"/>
      <c r="Q100" s="24"/>
      <c r="R100" s="24"/>
      <c r="S100" s="24"/>
      <c r="T100" s="24"/>
    </row>
    <row r="101">
      <c r="A101" s="13">
        <f>IFERROR(__xludf.DUMMYFUNCTION("""COMPUTED_VALUE"""),99.0)</f>
        <v>99</v>
      </c>
      <c r="B101" s="24" t="str">
        <f>IFERROR(__xludf.DUMMYFUNCTION("""COMPUTED_VALUE"""),"Achronix")</f>
        <v>Achronix</v>
      </c>
      <c r="C101" s="37" t="str">
        <f>IFERROR(__xludf.DUMMYFUNCTION("""COMPUTED_VALUE"""),"Achronix_Tool_Benchmarking_175")</f>
        <v>Achronix_Tool_Benchmarking_175</v>
      </c>
      <c r="D101" s="24" t="str">
        <f>IFERROR(__xludf.DUMMYFUNCTION("""COMPUTED_VALUE"""),"Deepak Goyal ")</f>
        <v>Deepak Goyal </v>
      </c>
      <c r="E101" s="15" t="s">
        <v>70</v>
      </c>
      <c r="F101" s="32" t="s">
        <v>70</v>
      </c>
      <c r="G101" s="33">
        <v>1.0</v>
      </c>
      <c r="H101" s="38"/>
      <c r="I101" s="38">
        <f>IFERROR(__xludf.DUMMYFUNCTION("""COMPUTED_VALUE"""),0.0)</f>
        <v>0</v>
      </c>
      <c r="J101" s="39">
        <f>IFERROR(__xludf.DUMMYFUNCTION("""COMPUTED_VALUE"""),12.0)</f>
        <v>12</v>
      </c>
      <c r="K101" s="40">
        <f>IFERROR(__xludf.DUMMYFUNCTION("""COMPUTED_VALUE"""),11.63649)</f>
        <v>11.63649</v>
      </c>
      <c r="L101" s="41"/>
      <c r="M101" s="24" t="str">
        <f>IFERROR(__xludf.DUMMYFUNCTION("""COMPUTED_VALUE"""),"Benchmarking of Achronix tool ACE against Xilinx Vivado by analysis of reports/schemetic generated by synthesis and implementation ")</f>
        <v>Benchmarking of Achronix tool ACE against Xilinx Vivado by analysis of reports/schemetic generated by synthesis and implementation </v>
      </c>
      <c r="N101" s="24"/>
      <c r="O101" s="24"/>
      <c r="P101" s="24"/>
      <c r="Q101" s="24"/>
      <c r="R101" s="24"/>
      <c r="S101" s="24"/>
      <c r="T101" s="24"/>
    </row>
    <row r="102">
      <c r="A102" s="13">
        <f>IFERROR(__xludf.DUMMYFUNCTION("""COMPUTED_VALUE"""),100.0)</f>
        <v>100</v>
      </c>
      <c r="B102" s="24" t="str">
        <f>IFERROR(__xludf.DUMMYFUNCTION("""COMPUTED_VALUE"""),"KEYSIGHT")</f>
        <v>KEYSIGHT</v>
      </c>
      <c r="C102" s="37" t="str">
        <f>IFERROR(__xludf.DUMMYFUNCTION("""COMPUTED_VALUE"""),"Keysight_Vision_ED_Gen7_SKP_OS_Filtering_176")</f>
        <v>Keysight_Vision_ED_Gen7_SKP_OS_Filtering_176</v>
      </c>
      <c r="D102" s="24" t="str">
        <f>IFERROR(__xludf.DUMMYFUNCTION("""COMPUTED_VALUE"""),"Deepak Goyal ")</f>
        <v>Deepak Goyal </v>
      </c>
      <c r="E102" s="32" t="s">
        <v>75</v>
      </c>
      <c r="F102" s="32" t="s">
        <v>65</v>
      </c>
      <c r="G102" s="33">
        <v>0.0</v>
      </c>
      <c r="H102" s="38"/>
      <c r="I102" s="38">
        <f>IFERROR(__xludf.DUMMYFUNCTION("""COMPUTED_VALUE"""),0.0)</f>
        <v>0</v>
      </c>
      <c r="J102" s="39">
        <f>IFERROR(__xludf.DUMMYFUNCTION("""COMPUTED_VALUE"""),9.0)</f>
        <v>9</v>
      </c>
      <c r="K102" s="40">
        <f>IFERROR(__xludf.DUMMYFUNCTION("""COMPUTED_VALUE"""),8.580586)</f>
        <v>8.580586</v>
      </c>
      <c r="L102" s="41"/>
      <c r="M102" s="24" t="str">
        <f>IFERROR(__xludf.DUMMYFUNCTION("""COMPUTED_VALUE"""),"Porting of PCIe SKP filtering from Loki ED to Vision ED and upgrading design for Gen7")</f>
        <v>Porting of PCIe SKP filtering from Loki ED to Vision ED and upgrading design for Gen7</v>
      </c>
      <c r="N102" s="24"/>
      <c r="O102" s="24"/>
      <c r="P102" s="24"/>
      <c r="Q102" s="24"/>
      <c r="R102" s="24"/>
      <c r="S102" s="24"/>
      <c r="T102" s="24"/>
    </row>
    <row r="103">
      <c r="A103" s="13">
        <f>IFERROR(__xludf.DUMMYFUNCTION("""COMPUTED_VALUE"""),101.0)</f>
        <v>101</v>
      </c>
      <c r="B103" s="24" t="str">
        <f>IFERROR(__xludf.DUMMYFUNCTION("""COMPUTED_VALUE"""),"LFT")</f>
        <v>LFT</v>
      </c>
      <c r="C103" s="37" t="str">
        <f>IFERROR(__xludf.DUMMYFUNCTION("""COMPUTED_VALUE"""),"LFT_ARINC818_Verification_177")</f>
        <v>LFT_ARINC818_Verification_177</v>
      </c>
      <c r="D103" s="24" t="str">
        <f>IFERROR(__xludf.DUMMYFUNCTION("""COMPUTED_VALUE"""),"Puneet Sinha")</f>
        <v>Puneet Sinha</v>
      </c>
      <c r="E103" s="32" t="s">
        <v>75</v>
      </c>
      <c r="F103" s="32" t="s">
        <v>65</v>
      </c>
      <c r="G103" s="33"/>
      <c r="H103" s="38"/>
      <c r="I103" s="38"/>
      <c r="J103" s="39"/>
      <c r="K103" s="40"/>
      <c r="L103" s="41"/>
      <c r="M103" s="24" t="str">
        <f>IFERROR(__xludf.DUMMYFUNCTION("""COMPUTED_VALUE"""),"UVM Based TB creation for Arinc 818 IP")</f>
        <v>UVM Based TB creation for Arinc 818 IP</v>
      </c>
      <c r="N103" s="24"/>
      <c r="O103" s="24"/>
      <c r="P103" s="24"/>
      <c r="Q103" s="24"/>
      <c r="R103" s="24"/>
      <c r="S103" s="24"/>
      <c r="T103" s="24"/>
    </row>
    <row r="104">
      <c r="A104" s="13">
        <f>IFERROR(__xludf.DUMMYFUNCTION("""COMPUTED_VALUE"""),102.0)</f>
        <v>102</v>
      </c>
      <c r="B104" s="24" t="str">
        <f>IFERROR(__xludf.DUMMYFUNCTION("""COMPUTED_VALUE"""),"LFT")</f>
        <v>LFT</v>
      </c>
      <c r="C104" s="37" t="str">
        <f>IFERROR(__xludf.DUMMYFUNCTION("""COMPUTED_VALUE"""),"LFT_Avant_G_Min_Versa_Board_Development_178")</f>
        <v>LFT_Avant_G_Min_Versa_Board_Development_178</v>
      </c>
      <c r="D104" s="24" t="str">
        <f>IFERROR(__xludf.DUMMYFUNCTION("""COMPUTED_VALUE"""),"Raghavan T V")</f>
        <v>Raghavan T V</v>
      </c>
      <c r="E104" s="25" t="s">
        <v>65</v>
      </c>
      <c r="F104" s="32" t="s">
        <v>65</v>
      </c>
      <c r="G104" s="24"/>
      <c r="H104" s="24"/>
      <c r="I104" s="24"/>
      <c r="J104" s="24"/>
      <c r="K104" s="24"/>
      <c r="L104" s="24"/>
      <c r="M104" s="24" t="str">
        <f>IFERROR(__xludf.DUMMYFUNCTION("""COMPUTED_VALUE"""),"Design, Development and Production of Evaluation board around Lattice Avnat-G FPGA.
LFT will be delivering the first set of boards to Lattice and then will be directly selling the boards to end users.")</f>
        <v>Design, Development and Production of Evaluation board around Lattice Avnat-G FPGA.
LFT will be delivering the first set of boards to Lattice and then will be directly selling the boards to end users.</v>
      </c>
      <c r="N104" s="24"/>
      <c r="O104" s="24"/>
      <c r="P104" s="24"/>
      <c r="Q104" s="24"/>
      <c r="R104" s="24"/>
      <c r="S104" s="24"/>
      <c r="T104" s="24"/>
    </row>
    <row r="105">
      <c r="A105" s="13">
        <f>IFERROR(__xludf.DUMMYFUNCTION("""COMPUTED_VALUE"""),103.0)</f>
        <v>103</v>
      </c>
      <c r="B105" s="24" t="str">
        <f>IFERROR(__xludf.DUMMYFUNCTION("""COMPUTED_VALUE"""),"LFT")</f>
        <v>LFT</v>
      </c>
      <c r="C105" s="37" t="str">
        <f>IFERROR(__xludf.DUMMYFUNCTION("""COMPUTED_VALUE"""),"LFT_Co_Pilot_179")</f>
        <v>LFT_Co_Pilot_179</v>
      </c>
      <c r="D105" s="24" t="str">
        <f>IFERROR(__xludf.DUMMYFUNCTION("""COMPUTED_VALUE"""),"Amritpreet Singh")</f>
        <v>Amritpreet Singh</v>
      </c>
      <c r="E105" s="32" t="s">
        <v>65</v>
      </c>
      <c r="F105" s="32" t="s">
        <v>65</v>
      </c>
      <c r="G105" s="24"/>
      <c r="H105" s="24"/>
      <c r="I105" s="24"/>
      <c r="J105" s="24"/>
      <c r="K105" s="24"/>
      <c r="L105" s="24"/>
      <c r="M105" s="24" t="str">
        <f>IFERROR(__xludf.DUMMYFUNCTION("""COMPUTED_VALUE"""),"AI Chatbot for LFT website to assist visitors.")</f>
        <v>AI Chatbot for LFT website to assist visitors.</v>
      </c>
      <c r="N105" s="24"/>
      <c r="O105" s="24"/>
      <c r="P105" s="24"/>
      <c r="Q105" s="24"/>
      <c r="R105" s="24"/>
      <c r="S105" s="24"/>
      <c r="T105" s="24"/>
    </row>
    <row r="106">
      <c r="A106" s="13">
        <f>IFERROR(__xludf.DUMMYFUNCTION("""COMPUTED_VALUE"""),104.0)</f>
        <v>104</v>
      </c>
      <c r="B106" s="24" t="str">
        <f>IFERROR(__xludf.DUMMYFUNCTION("""COMPUTED_VALUE"""),"LFT")</f>
        <v>LFT</v>
      </c>
      <c r="C106" s="37" t="str">
        <f>IFERROR(__xludf.DUMMYFUNCTION("""COMPUTED_VALUE"""),"LFT_ARINC_818_Based_Product_Development_180")</f>
        <v>LFT_ARINC_818_Based_Product_Development_180</v>
      </c>
      <c r="D106" s="24" t="str">
        <f>IFERROR(__xludf.DUMMYFUNCTION("""COMPUTED_VALUE"""),"Madhukar Manohar")</f>
        <v>Madhukar Manohar</v>
      </c>
      <c r="E106" s="32" t="s">
        <v>65</v>
      </c>
      <c r="F106" s="32" t="s">
        <v>65</v>
      </c>
      <c r="G106" s="24"/>
      <c r="H106" s="24"/>
      <c r="I106" s="24"/>
      <c r="J106" s="24"/>
      <c r="K106" s="24"/>
      <c r="L106" s="24"/>
      <c r="M106" s="24" t="str">
        <f>IFERROR(__xludf.DUMMYFUNCTION("""COMPUTED_VALUE"""),"ARINC 818 Product Development &amp; Enhancement ")</f>
        <v>ARINC 818 Product Development &amp; Enhancement </v>
      </c>
      <c r="N106" s="24"/>
      <c r="O106" s="24"/>
      <c r="P106" s="24"/>
      <c r="Q106" s="24"/>
      <c r="R106" s="24"/>
      <c r="S106" s="24"/>
      <c r="T106" s="24"/>
    </row>
    <row r="107">
      <c r="A107" s="13">
        <f>IFERROR(__xludf.DUMMYFUNCTION("""COMPUTED_VALUE"""),105.0)</f>
        <v>105</v>
      </c>
      <c r="B107" s="24" t="str">
        <f>IFERROR(__xludf.DUMMYFUNCTION("""COMPUTED_VALUE"""),"DOI - IDEX (Ministry of Defense)")</f>
        <v>DOI - IDEX (Ministry of Defense)</v>
      </c>
      <c r="C107" s="37" t="str">
        <f>IFERROR(__xludf.DUMMYFUNCTION("""COMPUTED_VALUE"""),"IDEX_ImageProcessing_algorithm_Development_181")</f>
        <v>IDEX_ImageProcessing_algorithm_Development_181</v>
      </c>
      <c r="D107" s="24" t="str">
        <f>IFERROR(__xludf.DUMMYFUNCTION("""COMPUTED_VALUE"""),"Vishal Sinha")</f>
        <v>Vishal Sinha</v>
      </c>
      <c r="E107" s="32" t="s">
        <v>65</v>
      </c>
      <c r="F107" s="32" t="s">
        <v>65</v>
      </c>
      <c r="G107" s="24"/>
      <c r="H107" s="24"/>
      <c r="I107" s="24"/>
      <c r="J107" s="24"/>
      <c r="K107" s="24"/>
      <c r="L107" s="24"/>
      <c r="M107" s="24" t="str">
        <f>IFERROR(__xludf.DUMMYFUNCTION("""COMPUTED_VALUE"""),"Development of an Image Processing algorithm for image quality enhancement and Non-Uniformity Calibration for bad pixel-correction for Cooled Thermal Imagers")</f>
        <v>Development of an Image Processing algorithm for image quality enhancement and Non-Uniformity Calibration for bad pixel-correction for Cooled Thermal Imagers</v>
      </c>
      <c r="N107" s="24"/>
      <c r="O107" s="24"/>
      <c r="P107" s="24"/>
      <c r="Q107" s="24"/>
      <c r="R107" s="24"/>
      <c r="S107" s="24"/>
      <c r="T107" s="24"/>
    </row>
    <row r="108">
      <c r="A108" s="42"/>
      <c r="B108" s="42"/>
      <c r="C108" s="42"/>
      <c r="D108" s="42"/>
      <c r="I108" s="42"/>
      <c r="J108" s="42"/>
      <c r="K108" s="42"/>
      <c r="L108" s="42"/>
      <c r="M108" s="42"/>
      <c r="P108" s="42"/>
    </row>
    <row r="109">
      <c r="A109" s="42"/>
      <c r="B109" s="42"/>
      <c r="C109" s="42"/>
      <c r="D109" s="42"/>
      <c r="I109" s="42"/>
      <c r="J109" s="42"/>
      <c r="K109" s="42"/>
      <c r="L109" s="42"/>
      <c r="M109" s="42"/>
      <c r="P109" s="42"/>
    </row>
    <row r="110">
      <c r="A110" s="42"/>
      <c r="B110" s="42"/>
      <c r="C110" s="42"/>
      <c r="D110" s="42"/>
      <c r="I110" s="42"/>
      <c r="J110" s="42"/>
      <c r="K110" s="42"/>
      <c r="L110" s="42"/>
      <c r="M110" s="42"/>
      <c r="P110" s="42"/>
    </row>
    <row r="111">
      <c r="A111" s="42"/>
      <c r="B111" s="42"/>
      <c r="C111" s="42"/>
      <c r="D111" s="42"/>
      <c r="I111" s="42"/>
      <c r="J111" s="42"/>
      <c r="K111" s="42"/>
      <c r="L111" s="42"/>
      <c r="M111" s="42"/>
      <c r="P111" s="42"/>
    </row>
    <row r="112">
      <c r="A112" s="42"/>
      <c r="B112" s="42"/>
      <c r="C112" s="42"/>
      <c r="D112" s="42"/>
      <c r="I112" s="42"/>
      <c r="J112" s="42"/>
      <c r="K112" s="42"/>
      <c r="L112" s="42"/>
      <c r="M112" s="42"/>
      <c r="P112" s="42"/>
    </row>
    <row r="113">
      <c r="A113" s="42"/>
      <c r="B113" s="42"/>
      <c r="C113" s="42"/>
      <c r="D113" s="42"/>
      <c r="I113" s="42"/>
      <c r="J113" s="42"/>
      <c r="K113" s="42"/>
      <c r="L113" s="42"/>
      <c r="M113" s="42"/>
      <c r="P113" s="42"/>
    </row>
    <row r="114">
      <c r="A114" s="42"/>
      <c r="B114" s="42"/>
      <c r="C114" s="42"/>
      <c r="D114" s="42"/>
      <c r="I114" s="42"/>
      <c r="J114" s="42"/>
      <c r="K114" s="42"/>
      <c r="L114" s="42"/>
      <c r="M114" s="42"/>
      <c r="P114" s="42"/>
    </row>
    <row r="115">
      <c r="A115" s="42"/>
      <c r="B115" s="42"/>
      <c r="C115" s="42"/>
      <c r="D115" s="42"/>
      <c r="I115" s="42"/>
      <c r="J115" s="42"/>
      <c r="K115" s="42"/>
      <c r="L115" s="42"/>
      <c r="M115" s="42"/>
      <c r="P115" s="42"/>
    </row>
    <row r="116">
      <c r="A116" s="42"/>
      <c r="B116" s="42"/>
      <c r="C116" s="42"/>
      <c r="D116" s="42"/>
      <c r="I116" s="42"/>
      <c r="J116" s="42"/>
      <c r="K116" s="42"/>
      <c r="L116" s="42"/>
      <c r="M116" s="42"/>
      <c r="P116" s="42"/>
    </row>
    <row r="117">
      <c r="A117" s="42"/>
      <c r="B117" s="42"/>
      <c r="C117" s="42"/>
      <c r="D117" s="42"/>
      <c r="I117" s="42"/>
      <c r="J117" s="42"/>
      <c r="K117" s="42"/>
      <c r="L117" s="42"/>
      <c r="M117" s="42"/>
      <c r="P117" s="42"/>
    </row>
    <row r="118">
      <c r="A118" s="42"/>
      <c r="B118" s="42"/>
      <c r="C118" s="42"/>
      <c r="D118" s="42"/>
      <c r="I118" s="42"/>
      <c r="J118" s="42"/>
      <c r="K118" s="42"/>
      <c r="L118" s="42"/>
      <c r="M118" s="42"/>
      <c r="P118" s="42"/>
    </row>
    <row r="119">
      <c r="A119" s="42"/>
      <c r="B119" s="42"/>
      <c r="C119" s="42"/>
      <c r="D119" s="42"/>
      <c r="I119" s="42"/>
      <c r="J119" s="42"/>
      <c r="K119" s="42"/>
      <c r="L119" s="42"/>
      <c r="M119" s="42"/>
      <c r="P119" s="42"/>
    </row>
    <row r="120">
      <c r="A120" s="42"/>
      <c r="B120" s="42"/>
      <c r="C120" s="42"/>
      <c r="D120" s="42"/>
      <c r="I120" s="42"/>
      <c r="J120" s="42"/>
      <c r="K120" s="42"/>
      <c r="L120" s="42"/>
      <c r="M120" s="42"/>
      <c r="P120" s="42"/>
    </row>
    <row r="121">
      <c r="A121" s="42"/>
      <c r="B121" s="42"/>
      <c r="C121" s="42"/>
      <c r="D121" s="42"/>
      <c r="I121" s="42"/>
      <c r="J121" s="42"/>
      <c r="K121" s="42"/>
      <c r="L121" s="42"/>
      <c r="M121" s="42"/>
      <c r="P121" s="42"/>
    </row>
    <row r="122">
      <c r="A122" s="42"/>
      <c r="B122" s="42"/>
      <c r="C122" s="42"/>
      <c r="D122" s="42"/>
      <c r="I122" s="42"/>
      <c r="J122" s="42"/>
      <c r="K122" s="42"/>
      <c r="L122" s="42"/>
      <c r="M122" s="42"/>
      <c r="P122" s="42"/>
    </row>
    <row r="123">
      <c r="A123" s="42"/>
      <c r="B123" s="42"/>
      <c r="C123" s="42"/>
      <c r="D123" s="42"/>
      <c r="I123" s="42"/>
      <c r="J123" s="42"/>
      <c r="K123" s="42"/>
      <c r="L123" s="42"/>
      <c r="M123" s="42"/>
      <c r="P123" s="42"/>
    </row>
    <row r="124">
      <c r="A124" s="42"/>
      <c r="B124" s="42"/>
      <c r="C124" s="42"/>
      <c r="D124" s="42"/>
      <c r="I124" s="42"/>
      <c r="J124" s="42"/>
      <c r="K124" s="42"/>
      <c r="L124" s="42"/>
      <c r="M124" s="42"/>
      <c r="P124" s="42"/>
    </row>
    <row r="125">
      <c r="A125" s="42"/>
      <c r="B125" s="42"/>
      <c r="C125" s="42"/>
      <c r="D125" s="42"/>
      <c r="I125" s="42"/>
      <c r="J125" s="42"/>
      <c r="K125" s="42"/>
      <c r="L125" s="42"/>
      <c r="M125" s="42"/>
      <c r="P125" s="42"/>
    </row>
    <row r="126">
      <c r="A126" s="42"/>
      <c r="B126" s="42"/>
      <c r="C126" s="42"/>
      <c r="D126" s="42"/>
      <c r="I126" s="42"/>
      <c r="J126" s="42"/>
      <c r="K126" s="42"/>
      <c r="L126" s="42"/>
      <c r="M126" s="42"/>
      <c r="P126" s="42"/>
    </row>
    <row r="127">
      <c r="A127" s="42"/>
      <c r="B127" s="42"/>
      <c r="C127" s="42"/>
      <c r="D127" s="42"/>
      <c r="I127" s="42"/>
      <c r="J127" s="42"/>
      <c r="K127" s="42"/>
      <c r="L127" s="42"/>
      <c r="M127" s="42"/>
      <c r="P127" s="42"/>
    </row>
    <row r="128">
      <c r="A128" s="42"/>
      <c r="B128" s="42"/>
      <c r="C128" s="42"/>
      <c r="D128" s="42"/>
      <c r="I128" s="42"/>
      <c r="J128" s="42"/>
      <c r="K128" s="42"/>
      <c r="L128" s="42"/>
      <c r="M128" s="42"/>
      <c r="P128" s="42"/>
    </row>
    <row r="129">
      <c r="A129" s="42"/>
      <c r="B129" s="42"/>
      <c r="C129" s="42"/>
      <c r="D129" s="42"/>
      <c r="I129" s="42"/>
      <c r="J129" s="42"/>
      <c r="K129" s="42"/>
      <c r="L129" s="42"/>
      <c r="M129" s="42"/>
      <c r="P129" s="42"/>
    </row>
    <row r="130">
      <c r="A130" s="42"/>
      <c r="B130" s="42"/>
      <c r="C130" s="42"/>
      <c r="D130" s="42"/>
      <c r="I130" s="42"/>
      <c r="J130" s="42"/>
      <c r="K130" s="42"/>
      <c r="L130" s="42"/>
      <c r="M130" s="42"/>
      <c r="P130" s="42"/>
    </row>
    <row r="131">
      <c r="A131" s="42"/>
      <c r="B131" s="42"/>
      <c r="C131" s="42"/>
      <c r="D131" s="42"/>
      <c r="I131" s="42"/>
      <c r="J131" s="42"/>
      <c r="K131" s="42"/>
      <c r="L131" s="42"/>
      <c r="M131" s="42"/>
      <c r="P131" s="42"/>
    </row>
    <row r="132">
      <c r="A132" s="42"/>
      <c r="B132" s="42"/>
      <c r="C132" s="42"/>
      <c r="D132" s="42"/>
      <c r="I132" s="42"/>
      <c r="J132" s="42"/>
      <c r="K132" s="42"/>
      <c r="L132" s="42"/>
      <c r="M132" s="42"/>
      <c r="P132" s="42"/>
    </row>
    <row r="133">
      <c r="A133" s="42"/>
      <c r="B133" s="42"/>
      <c r="C133" s="42"/>
      <c r="D133" s="42"/>
      <c r="I133" s="42"/>
      <c r="J133" s="42"/>
      <c r="K133" s="42"/>
      <c r="L133" s="42"/>
      <c r="M133" s="42"/>
      <c r="P133" s="42"/>
    </row>
    <row r="134">
      <c r="A134" s="42"/>
      <c r="B134" s="42"/>
      <c r="C134" s="42"/>
      <c r="D134" s="42"/>
      <c r="I134" s="42"/>
      <c r="J134" s="42"/>
      <c r="K134" s="42"/>
      <c r="L134" s="42"/>
      <c r="M134" s="42"/>
      <c r="P134" s="42"/>
    </row>
    <row r="135">
      <c r="A135" s="42"/>
      <c r="B135" s="42"/>
      <c r="C135" s="42"/>
      <c r="D135" s="42"/>
      <c r="I135" s="42"/>
      <c r="J135" s="42"/>
      <c r="K135" s="42"/>
      <c r="L135" s="42"/>
      <c r="M135" s="42"/>
      <c r="P135" s="42"/>
    </row>
    <row r="136">
      <c r="A136" s="42"/>
      <c r="B136" s="42"/>
      <c r="C136" s="42"/>
      <c r="D136" s="42"/>
      <c r="I136" s="42"/>
      <c r="J136" s="42"/>
      <c r="K136" s="42"/>
      <c r="L136" s="42"/>
      <c r="M136" s="42"/>
      <c r="P136" s="42"/>
    </row>
    <row r="137">
      <c r="A137" s="42"/>
      <c r="B137" s="42"/>
      <c r="C137" s="42"/>
      <c r="D137" s="42"/>
      <c r="I137" s="42"/>
      <c r="J137" s="42"/>
      <c r="K137" s="42"/>
      <c r="L137" s="42"/>
      <c r="M137" s="42"/>
      <c r="P137" s="42"/>
    </row>
    <row r="138">
      <c r="A138" s="42"/>
      <c r="B138" s="42"/>
      <c r="C138" s="42"/>
      <c r="D138" s="42"/>
      <c r="I138" s="42"/>
      <c r="J138" s="42"/>
      <c r="K138" s="42"/>
      <c r="L138" s="42"/>
      <c r="M138" s="42"/>
      <c r="P138" s="42"/>
    </row>
    <row r="139">
      <c r="A139" s="42"/>
      <c r="B139" s="42"/>
      <c r="C139" s="42"/>
      <c r="D139" s="42"/>
      <c r="I139" s="42"/>
      <c r="J139" s="42"/>
      <c r="K139" s="42"/>
      <c r="L139" s="42"/>
      <c r="M139" s="42"/>
      <c r="P139" s="42"/>
    </row>
    <row r="140">
      <c r="A140" s="42"/>
      <c r="B140" s="42"/>
      <c r="C140" s="42"/>
      <c r="D140" s="42"/>
      <c r="I140" s="42"/>
      <c r="J140" s="42"/>
      <c r="K140" s="42"/>
      <c r="L140" s="42"/>
      <c r="M140" s="42"/>
      <c r="P140" s="42"/>
    </row>
    <row r="141">
      <c r="A141" s="42"/>
      <c r="B141" s="42"/>
      <c r="C141" s="42"/>
      <c r="D141" s="42"/>
      <c r="I141" s="42"/>
      <c r="J141" s="42"/>
      <c r="K141" s="42"/>
      <c r="L141" s="42"/>
      <c r="M141" s="42"/>
      <c r="P141" s="42"/>
    </row>
    <row r="142">
      <c r="A142" s="42"/>
      <c r="B142" s="42"/>
      <c r="C142" s="42"/>
      <c r="D142" s="42"/>
      <c r="I142" s="42"/>
      <c r="J142" s="42"/>
      <c r="K142" s="42"/>
      <c r="L142" s="42"/>
      <c r="M142" s="42"/>
      <c r="P142" s="42"/>
    </row>
    <row r="143">
      <c r="A143" s="42"/>
      <c r="B143" s="42"/>
      <c r="C143" s="42"/>
      <c r="D143" s="42"/>
      <c r="I143" s="42"/>
      <c r="J143" s="42"/>
      <c r="K143" s="42"/>
      <c r="L143" s="42"/>
      <c r="M143" s="42"/>
      <c r="P143" s="42"/>
    </row>
    <row r="144">
      <c r="A144" s="42"/>
      <c r="B144" s="42"/>
      <c r="C144" s="42"/>
      <c r="D144" s="42"/>
      <c r="I144" s="42"/>
      <c r="J144" s="42"/>
      <c r="K144" s="42"/>
      <c r="L144" s="42"/>
      <c r="M144" s="42"/>
      <c r="P144" s="42"/>
    </row>
    <row r="145">
      <c r="A145" s="42"/>
      <c r="B145" s="42"/>
      <c r="C145" s="42"/>
      <c r="D145" s="42"/>
      <c r="I145" s="42"/>
      <c r="J145" s="42"/>
      <c r="K145" s="42"/>
      <c r="L145" s="42"/>
      <c r="M145" s="42"/>
      <c r="P145" s="42"/>
    </row>
    <row r="146">
      <c r="A146" s="42"/>
      <c r="B146" s="42"/>
      <c r="C146" s="42"/>
      <c r="D146" s="42"/>
      <c r="I146" s="42"/>
      <c r="J146" s="42"/>
      <c r="K146" s="42"/>
      <c r="L146" s="42"/>
      <c r="M146" s="42"/>
      <c r="P146" s="42"/>
    </row>
    <row r="147">
      <c r="A147" s="42"/>
      <c r="B147" s="42"/>
      <c r="C147" s="42"/>
      <c r="D147" s="42"/>
      <c r="I147" s="42"/>
      <c r="J147" s="42"/>
      <c r="K147" s="42"/>
      <c r="L147" s="42"/>
      <c r="M147" s="42"/>
      <c r="P147" s="42"/>
    </row>
    <row r="148">
      <c r="A148" s="42"/>
      <c r="B148" s="42"/>
      <c r="C148" s="42"/>
      <c r="D148" s="42"/>
      <c r="I148" s="42"/>
      <c r="J148" s="42"/>
      <c r="K148" s="42"/>
      <c r="L148" s="42"/>
      <c r="M148" s="42"/>
      <c r="P148" s="42"/>
    </row>
    <row r="149">
      <c r="A149" s="42"/>
      <c r="B149" s="42"/>
      <c r="C149" s="42"/>
      <c r="D149" s="42"/>
      <c r="I149" s="42"/>
      <c r="J149" s="42"/>
      <c r="K149" s="42"/>
      <c r="L149" s="42"/>
      <c r="M149" s="42"/>
      <c r="P149" s="42"/>
    </row>
    <row r="150">
      <c r="A150" s="42"/>
      <c r="B150" s="42"/>
      <c r="C150" s="42"/>
      <c r="D150" s="42"/>
      <c r="I150" s="42"/>
      <c r="J150" s="42"/>
      <c r="K150" s="42"/>
      <c r="L150" s="42"/>
      <c r="M150" s="42"/>
      <c r="P150" s="42"/>
    </row>
    <row r="151">
      <c r="A151" s="42"/>
      <c r="B151" s="42"/>
      <c r="C151" s="42"/>
      <c r="D151" s="42"/>
      <c r="I151" s="42"/>
      <c r="J151" s="42"/>
      <c r="K151" s="42"/>
      <c r="L151" s="42"/>
      <c r="M151" s="42"/>
      <c r="P151" s="42"/>
    </row>
    <row r="152">
      <c r="A152" s="42"/>
      <c r="B152" s="42"/>
      <c r="C152" s="42"/>
      <c r="D152" s="42"/>
      <c r="I152" s="42"/>
      <c r="J152" s="42"/>
      <c r="K152" s="42"/>
      <c r="L152" s="42"/>
      <c r="M152" s="42"/>
      <c r="P152" s="42"/>
    </row>
    <row r="153">
      <c r="A153" s="42"/>
      <c r="B153" s="42"/>
      <c r="C153" s="42"/>
      <c r="D153" s="42"/>
      <c r="I153" s="42"/>
      <c r="J153" s="42"/>
      <c r="K153" s="42"/>
      <c r="L153" s="42"/>
      <c r="M153" s="42"/>
      <c r="P153" s="42"/>
    </row>
    <row r="154">
      <c r="A154" s="42"/>
      <c r="B154" s="42"/>
      <c r="C154" s="42"/>
      <c r="D154" s="42"/>
      <c r="I154" s="42"/>
      <c r="J154" s="42"/>
      <c r="K154" s="42"/>
      <c r="L154" s="42"/>
      <c r="M154" s="42"/>
      <c r="P154" s="42"/>
    </row>
    <row r="155">
      <c r="A155" s="42"/>
      <c r="B155" s="42"/>
      <c r="C155" s="42"/>
      <c r="D155" s="42"/>
      <c r="I155" s="42"/>
      <c r="J155" s="42"/>
      <c r="K155" s="42"/>
      <c r="L155" s="42"/>
      <c r="M155" s="42"/>
      <c r="P155" s="42"/>
    </row>
    <row r="156">
      <c r="A156" s="42"/>
      <c r="B156" s="42"/>
      <c r="C156" s="42"/>
      <c r="D156" s="42"/>
      <c r="I156" s="42"/>
      <c r="J156" s="42"/>
      <c r="K156" s="42"/>
      <c r="L156" s="42"/>
      <c r="M156" s="42"/>
      <c r="P156" s="42"/>
    </row>
    <row r="157">
      <c r="A157" s="42"/>
      <c r="B157" s="42"/>
      <c r="C157" s="42"/>
      <c r="D157" s="42"/>
      <c r="I157" s="42"/>
      <c r="J157" s="42"/>
      <c r="K157" s="42"/>
      <c r="L157" s="42"/>
      <c r="M157" s="42"/>
      <c r="P157" s="42"/>
    </row>
    <row r="158">
      <c r="A158" s="42"/>
      <c r="B158" s="42"/>
      <c r="C158" s="42"/>
      <c r="D158" s="42"/>
      <c r="I158" s="42"/>
      <c r="J158" s="42"/>
      <c r="K158" s="42"/>
      <c r="L158" s="42"/>
      <c r="M158" s="42"/>
      <c r="P158" s="42"/>
    </row>
    <row r="159">
      <c r="A159" s="42"/>
      <c r="B159" s="42"/>
      <c r="C159" s="42"/>
      <c r="D159" s="42"/>
      <c r="I159" s="42"/>
      <c r="J159" s="42"/>
      <c r="K159" s="42"/>
      <c r="L159" s="42"/>
      <c r="M159" s="42"/>
      <c r="P159" s="42"/>
    </row>
    <row r="160">
      <c r="A160" s="42"/>
      <c r="B160" s="42"/>
      <c r="C160" s="42"/>
      <c r="D160" s="42"/>
      <c r="I160" s="42"/>
      <c r="J160" s="42"/>
      <c r="K160" s="42"/>
      <c r="L160" s="42"/>
      <c r="M160" s="42"/>
      <c r="P160" s="42"/>
    </row>
    <row r="161">
      <c r="A161" s="42"/>
      <c r="B161" s="42"/>
      <c r="C161" s="42"/>
      <c r="D161" s="42"/>
      <c r="I161" s="42"/>
      <c r="J161" s="42"/>
      <c r="K161" s="42"/>
      <c r="L161" s="42"/>
      <c r="M161" s="42"/>
      <c r="P161" s="42"/>
    </row>
    <row r="162">
      <c r="A162" s="42"/>
      <c r="B162" s="42"/>
      <c r="C162" s="42"/>
      <c r="D162" s="42"/>
      <c r="I162" s="42"/>
      <c r="J162" s="42"/>
      <c r="K162" s="42"/>
      <c r="L162" s="42"/>
      <c r="M162" s="42"/>
      <c r="P162" s="42"/>
    </row>
    <row r="163">
      <c r="A163" s="42"/>
      <c r="B163" s="42"/>
      <c r="C163" s="42"/>
      <c r="D163" s="42"/>
      <c r="I163" s="42"/>
      <c r="J163" s="42"/>
      <c r="K163" s="42"/>
      <c r="L163" s="42"/>
      <c r="M163" s="42"/>
      <c r="P163" s="42"/>
    </row>
    <row r="164">
      <c r="A164" s="42"/>
      <c r="B164" s="42"/>
      <c r="C164" s="42"/>
      <c r="D164" s="42"/>
      <c r="I164" s="42"/>
      <c r="J164" s="42"/>
      <c r="K164" s="42"/>
      <c r="L164" s="42"/>
      <c r="M164" s="42"/>
      <c r="P164" s="42"/>
    </row>
    <row r="165">
      <c r="A165" s="42"/>
      <c r="B165" s="42"/>
      <c r="C165" s="42"/>
      <c r="D165" s="42"/>
      <c r="I165" s="42"/>
      <c r="J165" s="42"/>
      <c r="K165" s="42"/>
      <c r="L165" s="42"/>
      <c r="M165" s="42"/>
      <c r="P165" s="42"/>
    </row>
    <row r="166">
      <c r="A166" s="42"/>
      <c r="B166" s="42"/>
      <c r="C166" s="42"/>
      <c r="D166" s="42"/>
      <c r="I166" s="42"/>
      <c r="J166" s="42"/>
      <c r="K166" s="42"/>
      <c r="L166" s="42"/>
      <c r="M166" s="42"/>
      <c r="P166" s="42"/>
    </row>
    <row r="167">
      <c r="A167" s="42"/>
      <c r="B167" s="42"/>
      <c r="C167" s="42"/>
      <c r="D167" s="42"/>
      <c r="I167" s="42"/>
      <c r="J167" s="42"/>
      <c r="K167" s="42"/>
      <c r="L167" s="42"/>
      <c r="M167" s="42"/>
      <c r="P167" s="42"/>
    </row>
    <row r="168">
      <c r="A168" s="42"/>
      <c r="B168" s="42"/>
      <c r="C168" s="42"/>
      <c r="D168" s="42"/>
      <c r="I168" s="42"/>
      <c r="J168" s="42"/>
      <c r="K168" s="42"/>
      <c r="L168" s="42"/>
      <c r="M168" s="42"/>
      <c r="P168" s="42"/>
    </row>
    <row r="169">
      <c r="A169" s="42"/>
      <c r="B169" s="42"/>
      <c r="C169" s="42"/>
      <c r="D169" s="42"/>
      <c r="I169" s="42"/>
      <c r="J169" s="42"/>
      <c r="K169" s="42"/>
      <c r="L169" s="42"/>
      <c r="M169" s="42"/>
      <c r="P169" s="42"/>
    </row>
    <row r="170">
      <c r="A170" s="42"/>
      <c r="B170" s="42"/>
      <c r="C170" s="42"/>
      <c r="D170" s="42"/>
      <c r="I170" s="42"/>
      <c r="J170" s="42"/>
      <c r="K170" s="42"/>
      <c r="L170" s="42"/>
      <c r="M170" s="42"/>
      <c r="P170" s="42"/>
    </row>
    <row r="171">
      <c r="A171" s="42"/>
      <c r="B171" s="42"/>
      <c r="C171" s="42"/>
      <c r="D171" s="42"/>
      <c r="I171" s="42"/>
      <c r="J171" s="42"/>
      <c r="K171" s="42"/>
      <c r="L171" s="42"/>
      <c r="M171" s="42"/>
      <c r="P171" s="42"/>
    </row>
    <row r="172">
      <c r="A172" s="42"/>
      <c r="B172" s="42"/>
      <c r="C172" s="42"/>
      <c r="D172" s="42"/>
      <c r="I172" s="42"/>
      <c r="J172" s="42"/>
      <c r="K172" s="42"/>
      <c r="L172" s="42"/>
      <c r="M172" s="42"/>
      <c r="P172" s="42"/>
    </row>
    <row r="173">
      <c r="A173" s="42"/>
      <c r="B173" s="42"/>
      <c r="C173" s="42"/>
      <c r="D173" s="42"/>
      <c r="I173" s="42"/>
      <c r="J173" s="42"/>
      <c r="K173" s="42"/>
      <c r="L173" s="42"/>
      <c r="M173" s="42"/>
      <c r="P173" s="42"/>
    </row>
    <row r="174">
      <c r="A174" s="42"/>
      <c r="B174" s="42"/>
      <c r="C174" s="42"/>
      <c r="D174" s="42"/>
      <c r="I174" s="42"/>
      <c r="J174" s="42"/>
      <c r="K174" s="42"/>
      <c r="L174" s="42"/>
      <c r="M174" s="42"/>
      <c r="P174" s="42"/>
    </row>
    <row r="175">
      <c r="A175" s="42"/>
      <c r="B175" s="42"/>
      <c r="C175" s="42"/>
      <c r="D175" s="42"/>
      <c r="I175" s="42"/>
      <c r="J175" s="42"/>
      <c r="K175" s="42"/>
      <c r="L175" s="42"/>
      <c r="M175" s="42"/>
      <c r="P175" s="42"/>
    </row>
    <row r="176">
      <c r="A176" s="42"/>
      <c r="B176" s="42"/>
      <c r="C176" s="42"/>
      <c r="D176" s="42"/>
      <c r="I176" s="42"/>
      <c r="J176" s="42"/>
      <c r="K176" s="42"/>
      <c r="L176" s="42"/>
      <c r="M176" s="42"/>
      <c r="P176" s="42"/>
    </row>
    <row r="177">
      <c r="A177" s="42"/>
      <c r="B177" s="42"/>
      <c r="C177" s="42"/>
      <c r="D177" s="42"/>
      <c r="I177" s="42"/>
      <c r="J177" s="42"/>
      <c r="K177" s="42"/>
      <c r="L177" s="42"/>
      <c r="M177" s="42"/>
      <c r="P177" s="42"/>
    </row>
    <row r="178">
      <c r="A178" s="42"/>
      <c r="B178" s="42"/>
      <c r="C178" s="42"/>
      <c r="D178" s="42"/>
      <c r="I178" s="42"/>
      <c r="J178" s="42"/>
      <c r="K178" s="42"/>
      <c r="L178" s="42"/>
      <c r="M178" s="42"/>
      <c r="P178" s="42"/>
    </row>
    <row r="179">
      <c r="A179" s="42"/>
      <c r="B179" s="42"/>
      <c r="C179" s="42"/>
      <c r="D179" s="42"/>
      <c r="I179" s="42"/>
      <c r="J179" s="42"/>
      <c r="K179" s="42"/>
      <c r="L179" s="42"/>
      <c r="M179" s="42"/>
      <c r="P179" s="42"/>
    </row>
    <row r="180">
      <c r="A180" s="42"/>
      <c r="B180" s="42"/>
      <c r="C180" s="42"/>
      <c r="D180" s="42"/>
      <c r="I180" s="42"/>
      <c r="J180" s="42"/>
      <c r="K180" s="42"/>
      <c r="L180" s="42"/>
      <c r="M180" s="42"/>
      <c r="P180" s="42"/>
    </row>
    <row r="181">
      <c r="A181" s="42"/>
      <c r="B181" s="42"/>
      <c r="C181" s="42"/>
      <c r="D181" s="42"/>
      <c r="I181" s="42"/>
      <c r="J181" s="42"/>
      <c r="K181" s="42"/>
      <c r="L181" s="42"/>
      <c r="M181" s="42"/>
      <c r="P181" s="42"/>
    </row>
    <row r="182">
      <c r="A182" s="42"/>
      <c r="B182" s="42"/>
      <c r="C182" s="42"/>
      <c r="D182" s="42"/>
      <c r="I182" s="42"/>
      <c r="J182" s="42"/>
      <c r="K182" s="42"/>
      <c r="L182" s="42"/>
      <c r="M182" s="42"/>
      <c r="P182" s="42"/>
    </row>
    <row r="183">
      <c r="A183" s="42"/>
      <c r="B183" s="42"/>
      <c r="C183" s="42"/>
      <c r="D183" s="42"/>
      <c r="I183" s="42"/>
      <c r="J183" s="42"/>
      <c r="K183" s="42"/>
      <c r="L183" s="42"/>
      <c r="M183" s="42"/>
      <c r="P183" s="42"/>
    </row>
    <row r="184">
      <c r="A184" s="42"/>
      <c r="B184" s="42"/>
      <c r="C184" s="42"/>
      <c r="D184" s="42"/>
      <c r="I184" s="42"/>
      <c r="J184" s="42"/>
      <c r="K184" s="42"/>
      <c r="L184" s="42"/>
      <c r="M184" s="42"/>
      <c r="P184" s="42"/>
    </row>
    <row r="185">
      <c r="A185" s="42"/>
      <c r="B185" s="42"/>
      <c r="C185" s="42"/>
      <c r="D185" s="42"/>
      <c r="I185" s="42"/>
      <c r="J185" s="42"/>
      <c r="K185" s="42"/>
      <c r="L185" s="42"/>
      <c r="M185" s="42"/>
      <c r="P185" s="42"/>
    </row>
    <row r="186">
      <c r="A186" s="42"/>
      <c r="B186" s="42"/>
      <c r="C186" s="42"/>
      <c r="D186" s="42"/>
      <c r="I186" s="42"/>
      <c r="J186" s="42"/>
      <c r="K186" s="42"/>
      <c r="L186" s="42"/>
      <c r="M186" s="42"/>
      <c r="P186" s="42"/>
    </row>
    <row r="187">
      <c r="A187" s="42"/>
      <c r="B187" s="42"/>
      <c r="C187" s="42"/>
      <c r="D187" s="42"/>
      <c r="I187" s="42"/>
      <c r="J187" s="42"/>
      <c r="K187" s="42"/>
      <c r="L187" s="42"/>
      <c r="M187" s="42"/>
      <c r="P187" s="42"/>
    </row>
    <row r="188">
      <c r="A188" s="42"/>
      <c r="B188" s="42"/>
      <c r="C188" s="42"/>
      <c r="D188" s="42"/>
      <c r="I188" s="42"/>
      <c r="J188" s="42"/>
      <c r="K188" s="42"/>
      <c r="L188" s="42"/>
      <c r="M188" s="42"/>
      <c r="P188" s="42"/>
    </row>
    <row r="189">
      <c r="A189" s="42"/>
      <c r="B189" s="42"/>
      <c r="C189" s="42"/>
      <c r="D189" s="42"/>
      <c r="I189" s="42"/>
      <c r="J189" s="42"/>
      <c r="K189" s="42"/>
      <c r="L189" s="42"/>
      <c r="M189" s="42"/>
      <c r="P189" s="42"/>
    </row>
    <row r="190">
      <c r="A190" s="42"/>
      <c r="B190" s="42"/>
      <c r="C190" s="42"/>
      <c r="D190" s="42"/>
      <c r="I190" s="42"/>
      <c r="J190" s="42"/>
      <c r="K190" s="42"/>
      <c r="L190" s="42"/>
      <c r="M190" s="42"/>
      <c r="P190" s="42"/>
    </row>
    <row r="191">
      <c r="A191" s="42"/>
      <c r="B191" s="42"/>
      <c r="C191" s="42"/>
      <c r="D191" s="42"/>
      <c r="I191" s="42"/>
      <c r="J191" s="42"/>
      <c r="K191" s="42"/>
      <c r="L191" s="42"/>
      <c r="M191" s="42"/>
      <c r="P191" s="42"/>
    </row>
    <row r="192">
      <c r="A192" s="42"/>
      <c r="B192" s="42"/>
      <c r="C192" s="42"/>
      <c r="D192" s="42"/>
      <c r="I192" s="42"/>
      <c r="J192" s="42"/>
      <c r="K192" s="42"/>
      <c r="L192" s="42"/>
      <c r="M192" s="42"/>
      <c r="P192" s="42"/>
    </row>
    <row r="193">
      <c r="A193" s="42"/>
      <c r="B193" s="42"/>
      <c r="C193" s="42"/>
      <c r="D193" s="42"/>
      <c r="I193" s="42"/>
      <c r="J193" s="42"/>
      <c r="K193" s="42"/>
      <c r="L193" s="42"/>
      <c r="M193" s="42"/>
      <c r="P193" s="42"/>
    </row>
    <row r="194">
      <c r="A194" s="42"/>
      <c r="B194" s="42"/>
      <c r="C194" s="42"/>
      <c r="D194" s="42"/>
      <c r="I194" s="42"/>
      <c r="J194" s="42"/>
      <c r="K194" s="42"/>
      <c r="L194" s="42"/>
      <c r="M194" s="42"/>
      <c r="P194" s="42"/>
    </row>
    <row r="195">
      <c r="A195" s="42"/>
      <c r="B195" s="42"/>
      <c r="C195" s="42"/>
      <c r="D195" s="42"/>
      <c r="I195" s="42"/>
      <c r="J195" s="42"/>
      <c r="K195" s="42"/>
      <c r="L195" s="42"/>
      <c r="M195" s="42"/>
      <c r="P195" s="42"/>
    </row>
    <row r="196">
      <c r="A196" s="42"/>
      <c r="B196" s="42"/>
      <c r="C196" s="42"/>
      <c r="D196" s="42"/>
      <c r="I196" s="42"/>
      <c r="J196" s="42"/>
      <c r="K196" s="42"/>
      <c r="L196" s="42"/>
      <c r="M196" s="42"/>
      <c r="P196" s="42"/>
    </row>
    <row r="197">
      <c r="A197" s="42"/>
      <c r="B197" s="42"/>
      <c r="C197" s="42"/>
      <c r="D197" s="42"/>
      <c r="I197" s="42"/>
      <c r="J197" s="42"/>
      <c r="K197" s="42"/>
      <c r="L197" s="42"/>
      <c r="M197" s="42"/>
      <c r="P197" s="42"/>
    </row>
    <row r="198">
      <c r="A198" s="42"/>
      <c r="B198" s="42"/>
      <c r="C198" s="42"/>
      <c r="D198" s="42"/>
      <c r="I198" s="42"/>
      <c r="J198" s="42"/>
      <c r="K198" s="42"/>
      <c r="L198" s="42"/>
      <c r="M198" s="42"/>
      <c r="P198" s="42"/>
    </row>
    <row r="199">
      <c r="A199" s="42"/>
      <c r="B199" s="42"/>
      <c r="C199" s="42"/>
      <c r="D199" s="42"/>
      <c r="I199" s="42"/>
      <c r="J199" s="42"/>
      <c r="K199" s="42"/>
      <c r="L199" s="42"/>
      <c r="M199" s="42"/>
      <c r="P199" s="42"/>
    </row>
    <row r="200">
      <c r="A200" s="42"/>
      <c r="B200" s="42"/>
      <c r="C200" s="42"/>
      <c r="D200" s="42"/>
      <c r="I200" s="42"/>
      <c r="J200" s="42"/>
      <c r="K200" s="42"/>
      <c r="L200" s="42"/>
      <c r="M200" s="42"/>
      <c r="P200" s="42"/>
    </row>
    <row r="201">
      <c r="A201" s="42"/>
      <c r="B201" s="42"/>
      <c r="C201" s="42"/>
      <c r="D201" s="42"/>
      <c r="I201" s="42"/>
      <c r="J201" s="42"/>
      <c r="K201" s="42"/>
      <c r="L201" s="42"/>
      <c r="M201" s="42"/>
      <c r="P201" s="42"/>
    </row>
    <row r="202">
      <c r="A202" s="42"/>
      <c r="B202" s="42"/>
      <c r="C202" s="42"/>
      <c r="D202" s="42"/>
      <c r="I202" s="42"/>
      <c r="J202" s="42"/>
      <c r="K202" s="42"/>
      <c r="L202" s="42"/>
      <c r="M202" s="42"/>
      <c r="P202" s="42"/>
    </row>
    <row r="203">
      <c r="A203" s="42"/>
      <c r="B203" s="42"/>
      <c r="C203" s="42"/>
      <c r="D203" s="42"/>
      <c r="I203" s="42"/>
      <c r="J203" s="42"/>
      <c r="K203" s="42"/>
      <c r="L203" s="42"/>
      <c r="M203" s="42"/>
      <c r="P203" s="42"/>
    </row>
    <row r="204">
      <c r="A204" s="42"/>
      <c r="B204" s="42"/>
      <c r="C204" s="42"/>
      <c r="D204" s="42"/>
      <c r="I204" s="42"/>
      <c r="J204" s="42"/>
      <c r="K204" s="42"/>
      <c r="L204" s="42"/>
      <c r="M204" s="42"/>
      <c r="P204" s="42"/>
    </row>
    <row r="205">
      <c r="A205" s="42"/>
      <c r="B205" s="42"/>
      <c r="C205" s="42"/>
      <c r="D205" s="42"/>
      <c r="I205" s="42"/>
      <c r="J205" s="42"/>
      <c r="K205" s="42"/>
      <c r="L205" s="42"/>
      <c r="M205" s="42"/>
      <c r="P205" s="42"/>
    </row>
    <row r="206">
      <c r="A206" s="42"/>
      <c r="B206" s="42"/>
      <c r="C206" s="42"/>
      <c r="D206" s="42"/>
      <c r="I206" s="42"/>
      <c r="J206" s="42"/>
      <c r="K206" s="42"/>
      <c r="L206" s="42"/>
      <c r="M206" s="42"/>
      <c r="P206" s="42"/>
    </row>
    <row r="207">
      <c r="A207" s="42"/>
      <c r="B207" s="42"/>
      <c r="C207" s="42"/>
      <c r="D207" s="42"/>
      <c r="I207" s="42"/>
      <c r="J207" s="42"/>
      <c r="K207" s="42"/>
      <c r="L207" s="42"/>
      <c r="M207" s="42"/>
      <c r="P207" s="42"/>
    </row>
    <row r="208">
      <c r="A208" s="42"/>
      <c r="B208" s="42"/>
      <c r="C208" s="42"/>
      <c r="D208" s="42"/>
      <c r="I208" s="42"/>
      <c r="J208" s="42"/>
      <c r="K208" s="42"/>
      <c r="L208" s="42"/>
      <c r="M208" s="42"/>
      <c r="P208" s="42"/>
    </row>
    <row r="209">
      <c r="A209" s="42"/>
      <c r="B209" s="42"/>
      <c r="C209" s="42"/>
      <c r="D209" s="42"/>
      <c r="I209" s="42"/>
      <c r="J209" s="42"/>
      <c r="K209" s="42"/>
      <c r="L209" s="42"/>
      <c r="M209" s="42"/>
      <c r="P209" s="42"/>
    </row>
    <row r="210">
      <c r="A210" s="42"/>
      <c r="B210" s="42"/>
      <c r="C210" s="42"/>
      <c r="D210" s="42"/>
      <c r="I210" s="42"/>
      <c r="J210" s="42"/>
      <c r="K210" s="42"/>
      <c r="L210" s="42"/>
      <c r="M210" s="42"/>
      <c r="P210" s="42"/>
    </row>
    <row r="211">
      <c r="A211" s="42"/>
      <c r="B211" s="42"/>
      <c r="C211" s="42"/>
      <c r="D211" s="42"/>
      <c r="I211" s="42"/>
      <c r="J211" s="42"/>
      <c r="K211" s="42"/>
      <c r="L211" s="42"/>
      <c r="M211" s="42"/>
      <c r="P211" s="42"/>
    </row>
    <row r="212">
      <c r="A212" s="42"/>
      <c r="B212" s="42"/>
      <c r="C212" s="42"/>
      <c r="D212" s="42"/>
      <c r="I212" s="42"/>
      <c r="J212" s="42"/>
      <c r="K212" s="42"/>
      <c r="L212" s="42"/>
      <c r="M212" s="42"/>
      <c r="P212" s="42"/>
    </row>
    <row r="213">
      <c r="A213" s="42"/>
      <c r="B213" s="42"/>
      <c r="C213" s="42"/>
      <c r="D213" s="42"/>
      <c r="I213" s="42"/>
      <c r="J213" s="42"/>
      <c r="K213" s="42"/>
      <c r="L213" s="42"/>
      <c r="M213" s="42"/>
      <c r="P213" s="42"/>
    </row>
    <row r="214">
      <c r="A214" s="42"/>
      <c r="B214" s="42"/>
      <c r="C214" s="42"/>
      <c r="D214" s="42"/>
      <c r="I214" s="42"/>
      <c r="J214" s="42"/>
      <c r="K214" s="42"/>
      <c r="L214" s="42"/>
      <c r="M214" s="42"/>
      <c r="P214" s="42"/>
    </row>
    <row r="215">
      <c r="A215" s="42"/>
      <c r="B215" s="42"/>
      <c r="C215" s="42"/>
      <c r="D215" s="42"/>
      <c r="I215" s="42"/>
      <c r="J215" s="42"/>
      <c r="K215" s="42"/>
      <c r="L215" s="42"/>
      <c r="M215" s="42"/>
      <c r="P215" s="42"/>
    </row>
    <row r="216">
      <c r="A216" s="42"/>
      <c r="B216" s="42"/>
      <c r="C216" s="42"/>
      <c r="D216" s="42"/>
      <c r="I216" s="42"/>
      <c r="J216" s="42"/>
      <c r="K216" s="42"/>
      <c r="L216" s="42"/>
      <c r="M216" s="42"/>
      <c r="P216" s="42"/>
    </row>
    <row r="217">
      <c r="A217" s="42"/>
      <c r="B217" s="42"/>
      <c r="C217" s="42"/>
      <c r="D217" s="42"/>
      <c r="I217" s="42"/>
      <c r="J217" s="42"/>
      <c r="K217" s="42"/>
      <c r="L217" s="42"/>
      <c r="M217" s="42"/>
      <c r="P217" s="42"/>
    </row>
    <row r="218">
      <c r="A218" s="42"/>
      <c r="B218" s="42"/>
      <c r="C218" s="42"/>
      <c r="D218" s="42"/>
      <c r="I218" s="42"/>
      <c r="J218" s="42"/>
      <c r="K218" s="42"/>
      <c r="L218" s="42"/>
      <c r="M218" s="42"/>
      <c r="P218" s="42"/>
    </row>
    <row r="219">
      <c r="A219" s="42"/>
      <c r="B219" s="42"/>
      <c r="C219" s="42"/>
      <c r="D219" s="42"/>
      <c r="I219" s="42"/>
      <c r="J219" s="42"/>
      <c r="K219" s="42"/>
      <c r="L219" s="42"/>
      <c r="M219" s="42"/>
      <c r="P219" s="42"/>
    </row>
    <row r="220">
      <c r="A220" s="42"/>
      <c r="B220" s="42"/>
      <c r="C220" s="42"/>
      <c r="D220" s="42"/>
      <c r="I220" s="42"/>
      <c r="J220" s="42"/>
      <c r="K220" s="42"/>
      <c r="L220" s="42"/>
      <c r="M220" s="42"/>
      <c r="P220" s="42"/>
    </row>
    <row r="221">
      <c r="A221" s="42"/>
      <c r="B221" s="42"/>
      <c r="C221" s="42"/>
      <c r="D221" s="42"/>
      <c r="I221" s="42"/>
      <c r="J221" s="42"/>
      <c r="K221" s="42"/>
      <c r="L221" s="42"/>
      <c r="M221" s="42"/>
      <c r="P221" s="42"/>
    </row>
    <row r="222">
      <c r="A222" s="42"/>
      <c r="B222" s="42"/>
      <c r="C222" s="42"/>
      <c r="D222" s="42"/>
      <c r="I222" s="42"/>
      <c r="J222" s="42"/>
      <c r="K222" s="42"/>
      <c r="L222" s="42"/>
      <c r="M222" s="42"/>
      <c r="P222" s="42"/>
    </row>
    <row r="223">
      <c r="A223" s="42"/>
      <c r="B223" s="42"/>
      <c r="C223" s="42"/>
      <c r="D223" s="42"/>
      <c r="I223" s="42"/>
      <c r="J223" s="42"/>
      <c r="K223" s="42"/>
      <c r="L223" s="42"/>
      <c r="M223" s="42"/>
      <c r="P223" s="42"/>
    </row>
    <row r="224">
      <c r="A224" s="42"/>
      <c r="B224" s="42"/>
      <c r="C224" s="42"/>
      <c r="D224" s="42"/>
      <c r="I224" s="42"/>
      <c r="J224" s="42"/>
      <c r="K224" s="42"/>
      <c r="L224" s="42"/>
      <c r="M224" s="42"/>
      <c r="P224" s="42"/>
    </row>
    <row r="225">
      <c r="A225" s="42"/>
      <c r="B225" s="42"/>
      <c r="C225" s="42"/>
      <c r="D225" s="42"/>
      <c r="I225" s="42"/>
      <c r="J225" s="42"/>
      <c r="K225" s="42"/>
      <c r="L225" s="42"/>
      <c r="M225" s="42"/>
      <c r="P225" s="42"/>
    </row>
    <row r="226">
      <c r="A226" s="42"/>
      <c r="B226" s="42"/>
      <c r="C226" s="42"/>
      <c r="D226" s="42"/>
      <c r="I226" s="42"/>
      <c r="J226" s="42"/>
      <c r="K226" s="42"/>
      <c r="L226" s="42"/>
      <c r="M226" s="42"/>
      <c r="P226" s="42"/>
    </row>
    <row r="227">
      <c r="A227" s="42"/>
      <c r="B227" s="42"/>
      <c r="C227" s="42"/>
      <c r="D227" s="42"/>
      <c r="I227" s="42"/>
      <c r="J227" s="42"/>
      <c r="K227" s="42"/>
      <c r="L227" s="42"/>
      <c r="M227" s="42"/>
      <c r="P227" s="42"/>
    </row>
    <row r="228">
      <c r="A228" s="42"/>
      <c r="B228" s="42"/>
      <c r="C228" s="42"/>
      <c r="D228" s="42"/>
      <c r="I228" s="42"/>
      <c r="J228" s="42"/>
      <c r="K228" s="42"/>
      <c r="L228" s="42"/>
      <c r="M228" s="42"/>
      <c r="P228" s="42"/>
    </row>
    <row r="229">
      <c r="A229" s="42"/>
      <c r="B229" s="42"/>
      <c r="C229" s="42"/>
      <c r="D229" s="42"/>
      <c r="I229" s="42"/>
      <c r="J229" s="42"/>
      <c r="K229" s="42"/>
      <c r="L229" s="42"/>
      <c r="M229" s="42"/>
      <c r="P229" s="42"/>
    </row>
    <row r="230">
      <c r="A230" s="42"/>
      <c r="B230" s="42"/>
      <c r="C230" s="42"/>
      <c r="D230" s="42"/>
      <c r="I230" s="42"/>
      <c r="J230" s="42"/>
      <c r="K230" s="42"/>
      <c r="L230" s="42"/>
      <c r="M230" s="42"/>
      <c r="P230" s="42"/>
    </row>
    <row r="231">
      <c r="A231" s="42"/>
      <c r="B231" s="42"/>
      <c r="C231" s="42"/>
      <c r="D231" s="42"/>
      <c r="I231" s="42"/>
      <c r="J231" s="42"/>
      <c r="K231" s="42"/>
      <c r="L231" s="42"/>
      <c r="M231" s="42"/>
      <c r="P231" s="42"/>
    </row>
    <row r="232">
      <c r="A232" s="42"/>
      <c r="B232" s="42"/>
      <c r="C232" s="42"/>
      <c r="D232" s="42"/>
      <c r="I232" s="42"/>
      <c r="J232" s="42"/>
      <c r="K232" s="42"/>
      <c r="L232" s="42"/>
      <c r="M232" s="42"/>
      <c r="P232" s="42"/>
    </row>
    <row r="233">
      <c r="A233" s="42"/>
      <c r="B233" s="42"/>
      <c r="C233" s="42"/>
      <c r="D233" s="42"/>
      <c r="I233" s="42"/>
      <c r="J233" s="42"/>
      <c r="K233" s="42"/>
      <c r="L233" s="42"/>
      <c r="M233" s="42"/>
      <c r="P233" s="42"/>
    </row>
    <row r="234">
      <c r="A234" s="42"/>
      <c r="B234" s="42"/>
      <c r="C234" s="42"/>
      <c r="D234" s="42"/>
      <c r="I234" s="42"/>
      <c r="J234" s="42"/>
      <c r="K234" s="42"/>
      <c r="L234" s="42"/>
      <c r="M234" s="42"/>
      <c r="P234" s="42"/>
    </row>
    <row r="235">
      <c r="A235" s="42"/>
      <c r="B235" s="42"/>
      <c r="C235" s="42"/>
      <c r="D235" s="42"/>
      <c r="I235" s="42"/>
      <c r="J235" s="42"/>
      <c r="K235" s="42"/>
      <c r="L235" s="42"/>
      <c r="M235" s="42"/>
      <c r="P235" s="42"/>
    </row>
    <row r="236">
      <c r="A236" s="42"/>
      <c r="B236" s="42"/>
      <c r="C236" s="42"/>
      <c r="D236" s="42"/>
      <c r="I236" s="42"/>
      <c r="J236" s="42"/>
      <c r="K236" s="42"/>
      <c r="L236" s="42"/>
      <c r="M236" s="42"/>
      <c r="P236" s="42"/>
    </row>
    <row r="237">
      <c r="A237" s="42"/>
      <c r="B237" s="42"/>
      <c r="C237" s="42"/>
      <c r="D237" s="42"/>
      <c r="I237" s="42"/>
      <c r="J237" s="42"/>
      <c r="K237" s="42"/>
      <c r="L237" s="42"/>
      <c r="M237" s="42"/>
      <c r="P237" s="42"/>
    </row>
    <row r="238">
      <c r="A238" s="42"/>
      <c r="B238" s="42"/>
      <c r="C238" s="42"/>
      <c r="D238" s="42"/>
      <c r="I238" s="42"/>
      <c r="J238" s="42"/>
      <c r="K238" s="42"/>
      <c r="L238" s="42"/>
      <c r="M238" s="42"/>
      <c r="P238" s="42"/>
    </row>
    <row r="239">
      <c r="A239" s="42"/>
      <c r="B239" s="42"/>
      <c r="C239" s="42"/>
      <c r="D239" s="42"/>
      <c r="I239" s="42"/>
      <c r="J239" s="42"/>
      <c r="K239" s="42"/>
      <c r="L239" s="42"/>
      <c r="M239" s="42"/>
      <c r="P239" s="42"/>
    </row>
    <row r="240">
      <c r="A240" s="42"/>
      <c r="B240" s="42"/>
      <c r="C240" s="42"/>
      <c r="D240" s="42"/>
      <c r="I240" s="42"/>
      <c r="J240" s="42"/>
      <c r="K240" s="42"/>
      <c r="L240" s="42"/>
      <c r="M240" s="42"/>
      <c r="P240" s="42"/>
    </row>
    <row r="241">
      <c r="A241" s="42"/>
      <c r="B241" s="42"/>
      <c r="C241" s="42"/>
      <c r="D241" s="42"/>
      <c r="I241" s="42"/>
      <c r="J241" s="42"/>
      <c r="K241" s="42"/>
      <c r="L241" s="42"/>
      <c r="M241" s="42"/>
      <c r="P241" s="42"/>
    </row>
    <row r="242">
      <c r="A242" s="42"/>
      <c r="B242" s="42"/>
      <c r="C242" s="42"/>
      <c r="D242" s="42"/>
      <c r="I242" s="42"/>
      <c r="J242" s="42"/>
      <c r="K242" s="42"/>
      <c r="L242" s="42"/>
      <c r="M242" s="42"/>
      <c r="P242" s="42"/>
    </row>
    <row r="243">
      <c r="A243" s="42"/>
      <c r="B243" s="42"/>
      <c r="C243" s="42"/>
      <c r="D243" s="42"/>
      <c r="I243" s="42"/>
      <c r="J243" s="42"/>
      <c r="K243" s="42"/>
      <c r="L243" s="42"/>
      <c r="M243" s="42"/>
      <c r="P243" s="42"/>
    </row>
    <row r="244">
      <c r="A244" s="42"/>
      <c r="B244" s="42"/>
      <c r="C244" s="42"/>
      <c r="D244" s="42"/>
      <c r="I244" s="42"/>
      <c r="J244" s="42"/>
      <c r="K244" s="42"/>
      <c r="L244" s="42"/>
      <c r="M244" s="42"/>
      <c r="P244" s="42"/>
    </row>
    <row r="245">
      <c r="A245" s="42"/>
      <c r="B245" s="42"/>
      <c r="C245" s="42"/>
      <c r="D245" s="42"/>
      <c r="I245" s="42"/>
      <c r="J245" s="42"/>
      <c r="K245" s="42"/>
      <c r="L245" s="42"/>
      <c r="M245" s="42"/>
      <c r="P245" s="42"/>
    </row>
    <row r="246">
      <c r="A246" s="42"/>
      <c r="B246" s="42"/>
      <c r="C246" s="42"/>
      <c r="D246" s="42"/>
      <c r="I246" s="42"/>
      <c r="J246" s="42"/>
      <c r="K246" s="42"/>
      <c r="L246" s="42"/>
      <c r="M246" s="42"/>
      <c r="P246" s="42"/>
    </row>
    <row r="247">
      <c r="A247" s="42"/>
      <c r="B247" s="42"/>
      <c r="C247" s="42"/>
      <c r="D247" s="42"/>
      <c r="I247" s="42"/>
      <c r="J247" s="42"/>
      <c r="K247" s="42"/>
      <c r="L247" s="42"/>
      <c r="M247" s="42"/>
      <c r="P247" s="42"/>
    </row>
    <row r="248">
      <c r="A248" s="42"/>
      <c r="B248" s="42"/>
      <c r="C248" s="42"/>
      <c r="D248" s="42"/>
      <c r="I248" s="42"/>
      <c r="J248" s="42"/>
      <c r="K248" s="42"/>
      <c r="L248" s="42"/>
      <c r="M248" s="42"/>
      <c r="P248" s="42"/>
    </row>
    <row r="249">
      <c r="A249" s="42"/>
      <c r="B249" s="42"/>
      <c r="C249" s="42"/>
      <c r="D249" s="42"/>
      <c r="I249" s="42"/>
      <c r="J249" s="42"/>
      <c r="K249" s="42"/>
      <c r="L249" s="42"/>
      <c r="M249" s="42"/>
      <c r="P249" s="42"/>
    </row>
    <row r="250">
      <c r="A250" s="42"/>
      <c r="B250" s="42"/>
      <c r="C250" s="42"/>
      <c r="D250" s="42"/>
      <c r="I250" s="42"/>
      <c r="J250" s="42"/>
      <c r="K250" s="42"/>
      <c r="L250" s="42"/>
      <c r="M250" s="42"/>
      <c r="P250" s="42"/>
    </row>
    <row r="251">
      <c r="A251" s="42"/>
      <c r="B251" s="42"/>
      <c r="C251" s="42"/>
      <c r="D251" s="42"/>
      <c r="I251" s="42"/>
      <c r="J251" s="42"/>
      <c r="K251" s="42"/>
      <c r="L251" s="42"/>
      <c r="M251" s="42"/>
      <c r="P251" s="42"/>
    </row>
    <row r="252">
      <c r="A252" s="42"/>
      <c r="B252" s="42"/>
      <c r="C252" s="42"/>
      <c r="D252" s="42"/>
      <c r="I252" s="42"/>
      <c r="J252" s="42"/>
      <c r="K252" s="42"/>
      <c r="L252" s="42"/>
      <c r="M252" s="42"/>
      <c r="P252" s="42"/>
    </row>
    <row r="253">
      <c r="A253" s="42"/>
      <c r="B253" s="42"/>
      <c r="C253" s="42"/>
      <c r="D253" s="42"/>
      <c r="I253" s="42"/>
      <c r="J253" s="42"/>
      <c r="K253" s="42"/>
      <c r="L253" s="42"/>
      <c r="M253" s="42"/>
      <c r="P253" s="42"/>
    </row>
    <row r="254">
      <c r="A254" s="42"/>
      <c r="B254" s="42"/>
      <c r="C254" s="42"/>
      <c r="D254" s="42"/>
      <c r="I254" s="42"/>
      <c r="J254" s="42"/>
      <c r="K254" s="42"/>
      <c r="L254" s="42"/>
      <c r="M254" s="42"/>
      <c r="P254" s="42"/>
    </row>
    <row r="255">
      <c r="A255" s="42"/>
      <c r="B255" s="42"/>
      <c r="C255" s="42"/>
      <c r="D255" s="42"/>
      <c r="I255" s="42"/>
      <c r="J255" s="42"/>
      <c r="K255" s="42"/>
      <c r="L255" s="42"/>
      <c r="M255" s="42"/>
      <c r="P255" s="42"/>
    </row>
    <row r="256">
      <c r="A256" s="42"/>
      <c r="B256" s="42"/>
      <c r="C256" s="42"/>
      <c r="D256" s="42"/>
      <c r="I256" s="42"/>
      <c r="J256" s="42"/>
      <c r="K256" s="42"/>
      <c r="L256" s="42"/>
      <c r="M256" s="42"/>
      <c r="P256" s="42"/>
    </row>
    <row r="257">
      <c r="A257" s="42"/>
      <c r="B257" s="42"/>
      <c r="C257" s="42"/>
      <c r="D257" s="42"/>
      <c r="I257" s="42"/>
      <c r="J257" s="42"/>
      <c r="K257" s="42"/>
      <c r="L257" s="42"/>
      <c r="M257" s="42"/>
      <c r="P257" s="42"/>
    </row>
    <row r="258">
      <c r="A258" s="42"/>
      <c r="B258" s="42"/>
      <c r="C258" s="42"/>
      <c r="D258" s="42"/>
      <c r="I258" s="42"/>
      <c r="J258" s="42"/>
      <c r="K258" s="42"/>
      <c r="L258" s="42"/>
      <c r="M258" s="42"/>
      <c r="P258" s="42"/>
    </row>
    <row r="259">
      <c r="A259" s="42"/>
      <c r="B259" s="42"/>
      <c r="C259" s="42"/>
      <c r="D259" s="42"/>
      <c r="I259" s="42"/>
      <c r="J259" s="42"/>
      <c r="K259" s="42"/>
      <c r="L259" s="42"/>
      <c r="M259" s="42"/>
      <c r="P259" s="42"/>
    </row>
    <row r="260">
      <c r="A260" s="42"/>
      <c r="B260" s="42"/>
      <c r="C260" s="42"/>
      <c r="D260" s="42"/>
      <c r="I260" s="42"/>
      <c r="J260" s="42"/>
      <c r="K260" s="42"/>
      <c r="L260" s="42"/>
      <c r="M260" s="42"/>
      <c r="P260" s="42"/>
    </row>
    <row r="261">
      <c r="A261" s="42"/>
      <c r="B261" s="42"/>
      <c r="C261" s="42"/>
      <c r="D261" s="42"/>
      <c r="I261" s="42"/>
      <c r="J261" s="42"/>
      <c r="K261" s="42"/>
      <c r="L261" s="42"/>
      <c r="M261" s="42"/>
      <c r="P261" s="42"/>
    </row>
    <row r="262">
      <c r="A262" s="42"/>
      <c r="B262" s="42"/>
      <c r="C262" s="42"/>
      <c r="D262" s="42"/>
      <c r="I262" s="42"/>
      <c r="J262" s="42"/>
      <c r="K262" s="42"/>
      <c r="L262" s="42"/>
      <c r="M262" s="42"/>
      <c r="P262" s="42"/>
    </row>
    <row r="263">
      <c r="A263" s="42"/>
      <c r="B263" s="42"/>
      <c r="C263" s="42"/>
      <c r="D263" s="42"/>
      <c r="I263" s="42"/>
      <c r="J263" s="42"/>
      <c r="K263" s="42"/>
      <c r="L263" s="42"/>
      <c r="M263" s="42"/>
      <c r="P263" s="42"/>
    </row>
    <row r="264">
      <c r="A264" s="42"/>
      <c r="B264" s="42"/>
      <c r="C264" s="42"/>
      <c r="D264" s="42"/>
      <c r="I264" s="42"/>
      <c r="J264" s="42"/>
      <c r="K264" s="42"/>
      <c r="L264" s="42"/>
      <c r="M264" s="42"/>
      <c r="P264" s="42"/>
    </row>
    <row r="265">
      <c r="A265" s="42"/>
      <c r="B265" s="42"/>
      <c r="C265" s="42"/>
      <c r="D265" s="42"/>
      <c r="I265" s="42"/>
      <c r="J265" s="42"/>
      <c r="K265" s="42"/>
      <c r="L265" s="42"/>
      <c r="M265" s="42"/>
      <c r="P265" s="42"/>
    </row>
    <row r="266">
      <c r="A266" s="42"/>
      <c r="B266" s="42"/>
      <c r="C266" s="42"/>
      <c r="D266" s="42"/>
      <c r="I266" s="42"/>
      <c r="J266" s="42"/>
      <c r="K266" s="42"/>
      <c r="L266" s="42"/>
      <c r="M266" s="42"/>
      <c r="P266" s="42"/>
    </row>
    <row r="267">
      <c r="A267" s="42"/>
      <c r="B267" s="42"/>
      <c r="C267" s="42"/>
      <c r="D267" s="42"/>
      <c r="I267" s="42"/>
      <c r="J267" s="42"/>
      <c r="K267" s="42"/>
      <c r="L267" s="42"/>
      <c r="M267" s="42"/>
      <c r="P267" s="42"/>
    </row>
    <row r="268">
      <c r="A268" s="42"/>
      <c r="B268" s="42"/>
      <c r="C268" s="42"/>
      <c r="D268" s="42"/>
      <c r="I268" s="42"/>
      <c r="J268" s="42"/>
      <c r="K268" s="42"/>
      <c r="L268" s="42"/>
      <c r="M268" s="42"/>
      <c r="P268" s="42"/>
    </row>
    <row r="269">
      <c r="A269" s="42"/>
      <c r="B269" s="42"/>
      <c r="C269" s="42"/>
      <c r="D269" s="42"/>
      <c r="I269" s="42"/>
      <c r="J269" s="42"/>
      <c r="K269" s="42"/>
      <c r="L269" s="42"/>
      <c r="M269" s="42"/>
      <c r="P269" s="42"/>
    </row>
    <row r="270">
      <c r="A270" s="42"/>
      <c r="B270" s="42"/>
      <c r="C270" s="42"/>
      <c r="D270" s="42"/>
      <c r="I270" s="42"/>
      <c r="J270" s="42"/>
      <c r="K270" s="42"/>
      <c r="L270" s="42"/>
      <c r="M270" s="42"/>
      <c r="P270" s="42"/>
    </row>
    <row r="271">
      <c r="A271" s="42"/>
      <c r="B271" s="42"/>
      <c r="C271" s="42"/>
      <c r="D271" s="42"/>
      <c r="I271" s="42"/>
      <c r="J271" s="42"/>
      <c r="K271" s="42"/>
      <c r="L271" s="42"/>
      <c r="M271" s="42"/>
      <c r="P271" s="42"/>
    </row>
    <row r="272">
      <c r="A272" s="42"/>
      <c r="B272" s="42"/>
      <c r="C272" s="42"/>
      <c r="D272" s="42"/>
      <c r="I272" s="42"/>
      <c r="J272" s="42"/>
      <c r="K272" s="42"/>
      <c r="L272" s="42"/>
      <c r="M272" s="42"/>
      <c r="P272" s="42"/>
    </row>
    <row r="273">
      <c r="A273" s="42"/>
      <c r="B273" s="42"/>
      <c r="C273" s="42"/>
      <c r="D273" s="42"/>
      <c r="I273" s="42"/>
      <c r="J273" s="42"/>
      <c r="K273" s="42"/>
      <c r="L273" s="42"/>
      <c r="M273" s="42"/>
      <c r="P273" s="42"/>
    </row>
    <row r="274">
      <c r="A274" s="42"/>
      <c r="B274" s="42"/>
      <c r="C274" s="42"/>
      <c r="D274" s="42"/>
      <c r="I274" s="42"/>
      <c r="J274" s="42"/>
      <c r="K274" s="42"/>
      <c r="L274" s="42"/>
      <c r="M274" s="42"/>
      <c r="P274" s="42"/>
    </row>
    <row r="275">
      <c r="A275" s="42"/>
      <c r="B275" s="42"/>
      <c r="C275" s="42"/>
      <c r="D275" s="42"/>
      <c r="I275" s="42"/>
      <c r="J275" s="42"/>
      <c r="K275" s="42"/>
      <c r="L275" s="42"/>
      <c r="M275" s="42"/>
      <c r="P275" s="42"/>
    </row>
    <row r="276">
      <c r="A276" s="42"/>
      <c r="B276" s="42"/>
      <c r="C276" s="42"/>
      <c r="D276" s="42"/>
      <c r="I276" s="42"/>
      <c r="J276" s="42"/>
      <c r="K276" s="42"/>
      <c r="L276" s="42"/>
      <c r="M276" s="42"/>
      <c r="P276" s="42"/>
    </row>
    <row r="277">
      <c r="A277" s="42"/>
      <c r="B277" s="42"/>
      <c r="C277" s="42"/>
      <c r="D277" s="42"/>
      <c r="I277" s="42"/>
      <c r="J277" s="42"/>
      <c r="K277" s="42"/>
      <c r="L277" s="42"/>
      <c r="M277" s="42"/>
      <c r="P277" s="42"/>
    </row>
    <row r="278">
      <c r="A278" s="42"/>
      <c r="B278" s="42"/>
      <c r="C278" s="42"/>
      <c r="D278" s="42"/>
      <c r="I278" s="42"/>
      <c r="J278" s="42"/>
      <c r="K278" s="42"/>
      <c r="L278" s="42"/>
      <c r="M278" s="42"/>
      <c r="P278" s="42"/>
    </row>
    <row r="279">
      <c r="A279" s="42"/>
      <c r="B279" s="42"/>
      <c r="C279" s="42"/>
      <c r="D279" s="42"/>
      <c r="I279" s="42"/>
      <c r="J279" s="42"/>
      <c r="K279" s="42"/>
      <c r="L279" s="42"/>
      <c r="M279" s="42"/>
      <c r="P279" s="42"/>
    </row>
    <row r="280">
      <c r="A280" s="42"/>
      <c r="B280" s="42"/>
      <c r="C280" s="42"/>
      <c r="D280" s="42"/>
      <c r="I280" s="42"/>
      <c r="J280" s="42"/>
      <c r="K280" s="42"/>
      <c r="L280" s="42"/>
      <c r="M280" s="42"/>
      <c r="P280" s="42"/>
    </row>
    <row r="281">
      <c r="A281" s="42"/>
      <c r="B281" s="42"/>
      <c r="C281" s="42"/>
      <c r="D281" s="42"/>
      <c r="I281" s="42"/>
      <c r="J281" s="42"/>
      <c r="K281" s="42"/>
      <c r="L281" s="42"/>
      <c r="M281" s="42"/>
      <c r="P281" s="42"/>
    </row>
    <row r="282">
      <c r="A282" s="42"/>
      <c r="B282" s="42"/>
      <c r="C282" s="42"/>
      <c r="D282" s="42"/>
      <c r="I282" s="42"/>
      <c r="J282" s="42"/>
      <c r="K282" s="42"/>
      <c r="L282" s="42"/>
      <c r="M282" s="42"/>
      <c r="P282" s="42"/>
    </row>
    <row r="283">
      <c r="A283" s="42"/>
      <c r="B283" s="42"/>
      <c r="C283" s="42"/>
      <c r="D283" s="42"/>
      <c r="I283" s="42"/>
      <c r="J283" s="42"/>
      <c r="K283" s="42"/>
      <c r="L283" s="42"/>
      <c r="M283" s="42"/>
      <c r="P283" s="42"/>
    </row>
    <row r="284">
      <c r="A284" s="42"/>
      <c r="B284" s="42"/>
      <c r="C284" s="42"/>
      <c r="D284" s="42"/>
      <c r="I284" s="42"/>
      <c r="J284" s="42"/>
      <c r="K284" s="42"/>
      <c r="L284" s="42"/>
      <c r="M284" s="42"/>
      <c r="P284" s="42"/>
    </row>
    <row r="285">
      <c r="A285" s="42"/>
      <c r="B285" s="42"/>
      <c r="C285" s="42"/>
      <c r="D285" s="42"/>
      <c r="I285" s="42"/>
      <c r="J285" s="42"/>
      <c r="K285" s="42"/>
      <c r="L285" s="42"/>
      <c r="M285" s="42"/>
      <c r="P285" s="42"/>
    </row>
    <row r="286">
      <c r="A286" s="42"/>
      <c r="B286" s="42"/>
      <c r="C286" s="42"/>
      <c r="D286" s="42"/>
      <c r="I286" s="42"/>
      <c r="J286" s="42"/>
      <c r="K286" s="42"/>
      <c r="L286" s="42"/>
      <c r="M286" s="42"/>
      <c r="P286" s="42"/>
    </row>
    <row r="287">
      <c r="A287" s="42"/>
      <c r="B287" s="42"/>
      <c r="C287" s="42"/>
      <c r="D287" s="42"/>
      <c r="I287" s="42"/>
      <c r="J287" s="42"/>
      <c r="K287" s="42"/>
      <c r="L287" s="42"/>
      <c r="M287" s="42"/>
      <c r="P287" s="42"/>
    </row>
    <row r="288">
      <c r="A288" s="42"/>
      <c r="B288" s="42"/>
      <c r="C288" s="42"/>
      <c r="D288" s="42"/>
      <c r="I288" s="42"/>
      <c r="J288" s="42"/>
      <c r="K288" s="42"/>
      <c r="L288" s="42"/>
      <c r="M288" s="42"/>
      <c r="P288" s="42"/>
    </row>
    <row r="289">
      <c r="A289" s="42"/>
      <c r="B289" s="42"/>
      <c r="C289" s="42"/>
      <c r="D289" s="42"/>
      <c r="I289" s="42"/>
      <c r="J289" s="42"/>
      <c r="K289" s="42"/>
      <c r="L289" s="42"/>
      <c r="M289" s="42"/>
      <c r="P289" s="42"/>
    </row>
    <row r="290">
      <c r="A290" s="42"/>
      <c r="B290" s="42"/>
      <c r="C290" s="42"/>
      <c r="D290" s="42"/>
      <c r="I290" s="42"/>
      <c r="J290" s="42"/>
      <c r="K290" s="42"/>
      <c r="L290" s="42"/>
      <c r="M290" s="42"/>
      <c r="P290" s="42"/>
    </row>
    <row r="291">
      <c r="A291" s="42"/>
      <c r="B291" s="42"/>
      <c r="C291" s="42"/>
      <c r="D291" s="42"/>
      <c r="I291" s="42"/>
      <c r="J291" s="42"/>
      <c r="K291" s="42"/>
      <c r="L291" s="42"/>
      <c r="M291" s="42"/>
      <c r="P291" s="42"/>
    </row>
    <row r="292">
      <c r="A292" s="42"/>
      <c r="B292" s="42"/>
      <c r="C292" s="42"/>
      <c r="D292" s="42"/>
      <c r="I292" s="42"/>
      <c r="J292" s="42"/>
      <c r="K292" s="42"/>
      <c r="L292" s="42"/>
      <c r="M292" s="42"/>
      <c r="P292" s="42"/>
    </row>
    <row r="293">
      <c r="A293" s="42"/>
      <c r="B293" s="42"/>
      <c r="C293" s="42"/>
      <c r="D293" s="42"/>
      <c r="I293" s="42"/>
      <c r="J293" s="42"/>
      <c r="K293" s="42"/>
      <c r="L293" s="42"/>
      <c r="M293" s="42"/>
      <c r="P293" s="42"/>
    </row>
    <row r="294">
      <c r="A294" s="42"/>
      <c r="B294" s="42"/>
      <c r="C294" s="42"/>
      <c r="D294" s="42"/>
      <c r="I294" s="42"/>
      <c r="J294" s="42"/>
      <c r="K294" s="42"/>
      <c r="L294" s="42"/>
      <c r="M294" s="42"/>
      <c r="P294" s="42"/>
    </row>
    <row r="295">
      <c r="A295" s="42"/>
      <c r="B295" s="42"/>
      <c r="C295" s="42"/>
      <c r="D295" s="42"/>
      <c r="I295" s="42"/>
      <c r="J295" s="42"/>
      <c r="K295" s="42"/>
      <c r="L295" s="42"/>
      <c r="M295" s="42"/>
      <c r="P295" s="42"/>
    </row>
    <row r="296">
      <c r="A296" s="42"/>
      <c r="B296" s="42"/>
      <c r="C296" s="42"/>
      <c r="D296" s="42"/>
      <c r="I296" s="42"/>
      <c r="J296" s="42"/>
      <c r="K296" s="42"/>
      <c r="L296" s="42"/>
      <c r="M296" s="42"/>
      <c r="P296" s="42"/>
    </row>
    <row r="297">
      <c r="A297" s="42"/>
      <c r="B297" s="42"/>
      <c r="C297" s="42"/>
      <c r="D297" s="42"/>
      <c r="I297" s="42"/>
      <c r="J297" s="42"/>
      <c r="K297" s="42"/>
      <c r="L297" s="42"/>
      <c r="M297" s="42"/>
      <c r="P297" s="42"/>
    </row>
    <row r="298">
      <c r="A298" s="42"/>
      <c r="B298" s="42"/>
      <c r="C298" s="42"/>
      <c r="D298" s="42"/>
      <c r="I298" s="42"/>
      <c r="J298" s="42"/>
      <c r="K298" s="42"/>
      <c r="L298" s="42"/>
      <c r="M298" s="42"/>
      <c r="P298" s="42"/>
    </row>
    <row r="299">
      <c r="A299" s="42"/>
      <c r="B299" s="42"/>
      <c r="C299" s="42"/>
      <c r="D299" s="42"/>
      <c r="I299" s="42"/>
      <c r="J299" s="42"/>
      <c r="K299" s="42"/>
      <c r="L299" s="42"/>
      <c r="M299" s="42"/>
      <c r="P299" s="42"/>
    </row>
    <row r="300">
      <c r="A300" s="42"/>
      <c r="B300" s="42"/>
      <c r="C300" s="42"/>
      <c r="D300" s="42"/>
      <c r="I300" s="42"/>
      <c r="J300" s="42"/>
      <c r="K300" s="42"/>
      <c r="L300" s="42"/>
      <c r="M300" s="42"/>
      <c r="P300" s="42"/>
    </row>
    <row r="301">
      <c r="A301" s="42"/>
      <c r="B301" s="42"/>
      <c r="C301" s="42"/>
      <c r="D301" s="42"/>
      <c r="I301" s="42"/>
      <c r="J301" s="42"/>
      <c r="K301" s="42"/>
      <c r="L301" s="42"/>
      <c r="M301" s="42"/>
      <c r="P301" s="42"/>
    </row>
    <row r="302">
      <c r="A302" s="42"/>
      <c r="B302" s="42"/>
      <c r="C302" s="42"/>
      <c r="D302" s="42"/>
      <c r="I302" s="42"/>
      <c r="J302" s="42"/>
      <c r="K302" s="42"/>
      <c r="L302" s="42"/>
      <c r="M302" s="42"/>
      <c r="P302" s="42"/>
    </row>
    <row r="303">
      <c r="A303" s="42"/>
      <c r="B303" s="42"/>
      <c r="C303" s="42"/>
      <c r="D303" s="42"/>
      <c r="I303" s="42"/>
      <c r="J303" s="42"/>
      <c r="K303" s="42"/>
      <c r="L303" s="42"/>
      <c r="M303" s="42"/>
      <c r="P303" s="42"/>
    </row>
    <row r="304">
      <c r="A304" s="42"/>
      <c r="B304" s="42"/>
      <c r="C304" s="42"/>
      <c r="D304" s="42"/>
      <c r="I304" s="42"/>
      <c r="J304" s="42"/>
      <c r="K304" s="42"/>
      <c r="L304" s="42"/>
      <c r="M304" s="42"/>
      <c r="P304" s="42"/>
    </row>
    <row r="305">
      <c r="A305" s="42"/>
      <c r="B305" s="42"/>
      <c r="C305" s="42"/>
      <c r="D305" s="42"/>
      <c r="I305" s="42"/>
      <c r="J305" s="42"/>
      <c r="K305" s="42"/>
      <c r="L305" s="42"/>
      <c r="M305" s="42"/>
      <c r="P305" s="42"/>
    </row>
    <row r="306">
      <c r="A306" s="42"/>
      <c r="B306" s="42"/>
      <c r="C306" s="42"/>
      <c r="D306" s="42"/>
      <c r="I306" s="42"/>
      <c r="J306" s="42"/>
      <c r="K306" s="42"/>
      <c r="L306" s="42"/>
      <c r="M306" s="42"/>
      <c r="P306" s="42"/>
    </row>
    <row r="307">
      <c r="A307" s="42"/>
      <c r="B307" s="42"/>
      <c r="C307" s="42"/>
      <c r="D307" s="42"/>
      <c r="I307" s="42"/>
      <c r="J307" s="42"/>
      <c r="K307" s="42"/>
      <c r="L307" s="42"/>
      <c r="M307" s="42"/>
      <c r="P307" s="42"/>
    </row>
    <row r="308">
      <c r="A308" s="42"/>
      <c r="B308" s="42"/>
      <c r="C308" s="42"/>
      <c r="D308" s="42"/>
      <c r="I308" s="42"/>
      <c r="J308" s="42"/>
      <c r="K308" s="42"/>
      <c r="L308" s="42"/>
      <c r="M308" s="42"/>
      <c r="P308" s="42"/>
    </row>
    <row r="309">
      <c r="A309" s="42"/>
      <c r="B309" s="42"/>
      <c r="C309" s="42"/>
      <c r="D309" s="42"/>
      <c r="I309" s="42"/>
      <c r="J309" s="42"/>
      <c r="K309" s="42"/>
      <c r="L309" s="42"/>
      <c r="M309" s="42"/>
      <c r="P309" s="42"/>
    </row>
    <row r="310">
      <c r="A310" s="42"/>
      <c r="B310" s="42"/>
      <c r="C310" s="42"/>
      <c r="D310" s="42"/>
      <c r="I310" s="42"/>
      <c r="J310" s="42"/>
      <c r="K310" s="42"/>
      <c r="L310" s="42"/>
      <c r="M310" s="42"/>
      <c r="P310" s="42"/>
    </row>
    <row r="311">
      <c r="A311" s="42"/>
      <c r="B311" s="42"/>
      <c r="C311" s="42"/>
      <c r="D311" s="42"/>
      <c r="I311" s="42"/>
      <c r="J311" s="42"/>
      <c r="K311" s="42"/>
      <c r="L311" s="42"/>
      <c r="M311" s="42"/>
      <c r="P311" s="42"/>
    </row>
    <row r="312">
      <c r="A312" s="42"/>
      <c r="B312" s="42"/>
      <c r="C312" s="42"/>
      <c r="D312" s="42"/>
      <c r="I312" s="42"/>
      <c r="J312" s="42"/>
      <c r="K312" s="42"/>
      <c r="L312" s="42"/>
      <c r="M312" s="42"/>
      <c r="P312" s="42"/>
    </row>
    <row r="313">
      <c r="A313" s="42"/>
      <c r="B313" s="42"/>
      <c r="C313" s="42"/>
      <c r="D313" s="42"/>
      <c r="I313" s="42"/>
      <c r="J313" s="42"/>
      <c r="K313" s="42"/>
      <c r="L313" s="42"/>
      <c r="M313" s="42"/>
      <c r="P313" s="42"/>
    </row>
    <row r="314">
      <c r="A314" s="42"/>
      <c r="B314" s="42"/>
      <c r="C314" s="42"/>
      <c r="D314" s="42"/>
      <c r="I314" s="42"/>
      <c r="J314" s="42"/>
      <c r="K314" s="42"/>
      <c r="L314" s="42"/>
      <c r="M314" s="42"/>
      <c r="P314" s="42"/>
    </row>
    <row r="315">
      <c r="A315" s="42"/>
      <c r="B315" s="42"/>
      <c r="C315" s="42"/>
      <c r="D315" s="42"/>
      <c r="I315" s="42"/>
      <c r="J315" s="42"/>
      <c r="K315" s="42"/>
      <c r="L315" s="42"/>
      <c r="M315" s="42"/>
      <c r="P315" s="42"/>
    </row>
    <row r="316">
      <c r="A316" s="42"/>
      <c r="B316" s="42"/>
      <c r="C316" s="42"/>
      <c r="D316" s="42"/>
      <c r="I316" s="42"/>
      <c r="J316" s="42"/>
      <c r="K316" s="42"/>
      <c r="L316" s="42"/>
      <c r="M316" s="42"/>
      <c r="P316" s="42"/>
    </row>
    <row r="317">
      <c r="A317" s="42"/>
      <c r="B317" s="42"/>
      <c r="C317" s="42"/>
      <c r="D317" s="42"/>
      <c r="I317" s="42"/>
      <c r="J317" s="42"/>
      <c r="K317" s="42"/>
      <c r="L317" s="42"/>
      <c r="M317" s="42"/>
      <c r="P317" s="42"/>
    </row>
    <row r="318">
      <c r="A318" s="42"/>
      <c r="B318" s="42"/>
      <c r="C318" s="42"/>
      <c r="D318" s="42"/>
      <c r="I318" s="42"/>
      <c r="J318" s="42"/>
      <c r="K318" s="42"/>
      <c r="L318" s="42"/>
      <c r="M318" s="42"/>
      <c r="P318" s="42"/>
    </row>
    <row r="319">
      <c r="A319" s="42"/>
      <c r="B319" s="42"/>
      <c r="C319" s="42"/>
      <c r="D319" s="42"/>
      <c r="I319" s="42"/>
      <c r="J319" s="42"/>
      <c r="K319" s="42"/>
      <c r="L319" s="42"/>
      <c r="M319" s="42"/>
      <c r="P319" s="42"/>
    </row>
    <row r="320">
      <c r="A320" s="42"/>
      <c r="B320" s="42"/>
      <c r="C320" s="42"/>
      <c r="D320" s="42"/>
      <c r="I320" s="42"/>
      <c r="J320" s="42"/>
      <c r="K320" s="42"/>
      <c r="L320" s="42"/>
      <c r="M320" s="42"/>
      <c r="P320" s="42"/>
    </row>
    <row r="321">
      <c r="A321" s="42"/>
      <c r="B321" s="42"/>
      <c r="C321" s="42"/>
      <c r="D321" s="42"/>
      <c r="I321" s="42"/>
      <c r="J321" s="42"/>
      <c r="K321" s="42"/>
      <c r="L321" s="42"/>
      <c r="M321" s="42"/>
      <c r="P321" s="42"/>
    </row>
    <row r="322">
      <c r="A322" s="42"/>
      <c r="B322" s="42"/>
      <c r="C322" s="42"/>
      <c r="D322" s="42"/>
      <c r="I322" s="42"/>
      <c r="J322" s="42"/>
      <c r="K322" s="42"/>
      <c r="L322" s="42"/>
      <c r="M322" s="42"/>
      <c r="P322" s="42"/>
    </row>
    <row r="323">
      <c r="A323" s="42"/>
      <c r="B323" s="42"/>
      <c r="C323" s="42"/>
      <c r="D323" s="42"/>
      <c r="I323" s="42"/>
      <c r="J323" s="42"/>
      <c r="K323" s="42"/>
      <c r="L323" s="42"/>
      <c r="M323" s="42"/>
      <c r="P323" s="42"/>
    </row>
    <row r="324">
      <c r="A324" s="42"/>
      <c r="B324" s="42"/>
      <c r="C324" s="42"/>
      <c r="D324" s="42"/>
      <c r="I324" s="42"/>
      <c r="J324" s="42"/>
      <c r="K324" s="42"/>
      <c r="L324" s="42"/>
      <c r="M324" s="42"/>
      <c r="P324" s="42"/>
    </row>
    <row r="325">
      <c r="A325" s="42"/>
      <c r="B325" s="42"/>
      <c r="C325" s="42"/>
      <c r="D325" s="42"/>
      <c r="I325" s="42"/>
      <c r="J325" s="42"/>
      <c r="K325" s="42"/>
      <c r="L325" s="42"/>
      <c r="M325" s="42"/>
      <c r="P325" s="42"/>
    </row>
    <row r="326">
      <c r="A326" s="42"/>
      <c r="B326" s="42"/>
      <c r="C326" s="42"/>
      <c r="D326" s="42"/>
      <c r="I326" s="42"/>
      <c r="J326" s="42"/>
      <c r="K326" s="42"/>
      <c r="L326" s="42"/>
      <c r="M326" s="42"/>
      <c r="P326" s="42"/>
    </row>
    <row r="327">
      <c r="A327" s="42"/>
      <c r="B327" s="42"/>
      <c r="C327" s="42"/>
      <c r="D327" s="42"/>
      <c r="I327" s="42"/>
      <c r="J327" s="42"/>
      <c r="K327" s="42"/>
      <c r="L327" s="42"/>
      <c r="M327" s="42"/>
      <c r="P327" s="42"/>
    </row>
    <row r="328">
      <c r="A328" s="42"/>
      <c r="B328" s="42"/>
      <c r="C328" s="42"/>
      <c r="D328" s="42"/>
      <c r="I328" s="42"/>
      <c r="J328" s="42"/>
      <c r="K328" s="42"/>
      <c r="L328" s="42"/>
      <c r="M328" s="42"/>
      <c r="P328" s="42"/>
    </row>
    <row r="329">
      <c r="A329" s="42"/>
      <c r="B329" s="42"/>
      <c r="C329" s="42"/>
      <c r="D329" s="42"/>
      <c r="I329" s="42"/>
      <c r="J329" s="42"/>
      <c r="K329" s="42"/>
      <c r="L329" s="42"/>
      <c r="M329" s="42"/>
      <c r="P329" s="42"/>
    </row>
    <row r="330">
      <c r="A330" s="42"/>
      <c r="B330" s="42"/>
      <c r="C330" s="42"/>
      <c r="D330" s="42"/>
      <c r="I330" s="42"/>
      <c r="J330" s="42"/>
      <c r="K330" s="42"/>
      <c r="L330" s="42"/>
      <c r="M330" s="42"/>
      <c r="P330" s="42"/>
    </row>
    <row r="331">
      <c r="A331" s="42"/>
      <c r="B331" s="42"/>
      <c r="C331" s="42"/>
      <c r="D331" s="42"/>
      <c r="I331" s="42"/>
      <c r="J331" s="42"/>
      <c r="K331" s="42"/>
      <c r="L331" s="42"/>
      <c r="M331" s="42"/>
      <c r="P331" s="42"/>
    </row>
    <row r="332">
      <c r="A332" s="42"/>
      <c r="B332" s="42"/>
      <c r="C332" s="42"/>
      <c r="D332" s="42"/>
      <c r="I332" s="42"/>
      <c r="J332" s="42"/>
      <c r="K332" s="42"/>
      <c r="L332" s="42"/>
      <c r="M332" s="42"/>
      <c r="P332" s="42"/>
    </row>
    <row r="333">
      <c r="A333" s="42"/>
      <c r="B333" s="42"/>
      <c r="C333" s="42"/>
      <c r="D333" s="42"/>
      <c r="I333" s="42"/>
      <c r="J333" s="42"/>
      <c r="K333" s="42"/>
      <c r="L333" s="42"/>
      <c r="M333" s="42"/>
      <c r="P333" s="42"/>
    </row>
    <row r="334">
      <c r="A334" s="42"/>
      <c r="B334" s="42"/>
      <c r="C334" s="42"/>
      <c r="D334" s="42"/>
      <c r="I334" s="42"/>
      <c r="J334" s="42"/>
      <c r="K334" s="42"/>
      <c r="L334" s="42"/>
      <c r="M334" s="42"/>
      <c r="P334" s="42"/>
    </row>
    <row r="335">
      <c r="A335" s="42"/>
      <c r="B335" s="42"/>
      <c r="C335" s="42"/>
      <c r="D335" s="42"/>
      <c r="I335" s="42"/>
      <c r="J335" s="42"/>
      <c r="K335" s="42"/>
      <c r="L335" s="42"/>
      <c r="M335" s="42"/>
      <c r="P335" s="42"/>
    </row>
    <row r="336">
      <c r="A336" s="42"/>
      <c r="B336" s="42"/>
      <c r="C336" s="42"/>
      <c r="D336" s="42"/>
      <c r="I336" s="42"/>
      <c r="J336" s="42"/>
      <c r="K336" s="42"/>
      <c r="L336" s="42"/>
      <c r="M336" s="42"/>
      <c r="P336" s="42"/>
    </row>
    <row r="337">
      <c r="A337" s="42"/>
      <c r="B337" s="42"/>
      <c r="C337" s="42"/>
      <c r="D337" s="42"/>
      <c r="I337" s="42"/>
      <c r="J337" s="42"/>
      <c r="K337" s="42"/>
      <c r="L337" s="42"/>
      <c r="M337" s="42"/>
      <c r="P337" s="42"/>
    </row>
    <row r="338">
      <c r="A338" s="42"/>
      <c r="B338" s="42"/>
      <c r="C338" s="42"/>
      <c r="D338" s="42"/>
      <c r="I338" s="42"/>
      <c r="J338" s="42"/>
      <c r="K338" s="42"/>
      <c r="L338" s="42"/>
      <c r="M338" s="42"/>
      <c r="P338" s="42"/>
    </row>
    <row r="339">
      <c r="A339" s="42"/>
      <c r="B339" s="42"/>
      <c r="C339" s="42"/>
      <c r="D339" s="42"/>
      <c r="I339" s="42"/>
      <c r="J339" s="42"/>
      <c r="K339" s="42"/>
      <c r="L339" s="42"/>
      <c r="M339" s="42"/>
      <c r="P339" s="42"/>
    </row>
    <row r="340">
      <c r="A340" s="42"/>
      <c r="B340" s="42"/>
      <c r="C340" s="42"/>
      <c r="D340" s="42"/>
      <c r="I340" s="42"/>
      <c r="J340" s="42"/>
      <c r="K340" s="42"/>
      <c r="L340" s="42"/>
      <c r="M340" s="42"/>
      <c r="P340" s="42"/>
    </row>
    <row r="341">
      <c r="A341" s="42"/>
      <c r="B341" s="42"/>
      <c r="C341" s="42"/>
      <c r="D341" s="42"/>
      <c r="I341" s="42"/>
      <c r="J341" s="42"/>
      <c r="K341" s="42"/>
      <c r="L341" s="42"/>
      <c r="M341" s="42"/>
      <c r="P341" s="42"/>
    </row>
    <row r="342">
      <c r="A342" s="42"/>
      <c r="B342" s="42"/>
      <c r="C342" s="42"/>
      <c r="D342" s="42"/>
      <c r="I342" s="42"/>
      <c r="J342" s="42"/>
      <c r="K342" s="42"/>
      <c r="L342" s="42"/>
      <c r="M342" s="42"/>
      <c r="P342" s="42"/>
    </row>
    <row r="343">
      <c r="A343" s="42"/>
      <c r="B343" s="42"/>
      <c r="C343" s="42"/>
      <c r="D343" s="42"/>
      <c r="I343" s="42"/>
      <c r="J343" s="42"/>
      <c r="K343" s="42"/>
      <c r="L343" s="42"/>
      <c r="M343" s="42"/>
      <c r="P343" s="42"/>
    </row>
    <row r="344">
      <c r="A344" s="42"/>
      <c r="B344" s="42"/>
      <c r="C344" s="42"/>
      <c r="D344" s="42"/>
      <c r="I344" s="42"/>
      <c r="J344" s="42"/>
      <c r="K344" s="42"/>
      <c r="L344" s="42"/>
      <c r="M344" s="42"/>
      <c r="P344" s="42"/>
    </row>
    <row r="345">
      <c r="A345" s="42"/>
      <c r="B345" s="42"/>
      <c r="C345" s="42"/>
      <c r="D345" s="42"/>
      <c r="I345" s="42"/>
      <c r="J345" s="42"/>
      <c r="K345" s="42"/>
      <c r="L345" s="42"/>
      <c r="M345" s="42"/>
      <c r="P345" s="42"/>
    </row>
    <row r="346">
      <c r="A346" s="42"/>
      <c r="B346" s="42"/>
      <c r="C346" s="42"/>
      <c r="D346" s="42"/>
      <c r="I346" s="42"/>
      <c r="J346" s="42"/>
      <c r="K346" s="42"/>
      <c r="L346" s="42"/>
      <c r="M346" s="42"/>
      <c r="P346" s="42"/>
    </row>
    <row r="347">
      <c r="A347" s="42"/>
      <c r="B347" s="42"/>
      <c r="C347" s="42"/>
      <c r="D347" s="42"/>
      <c r="I347" s="42"/>
      <c r="J347" s="42"/>
      <c r="K347" s="42"/>
      <c r="L347" s="42"/>
      <c r="M347" s="42"/>
      <c r="P347" s="42"/>
    </row>
    <row r="348">
      <c r="A348" s="42"/>
      <c r="B348" s="42"/>
      <c r="C348" s="42"/>
      <c r="D348" s="42"/>
      <c r="I348" s="42"/>
      <c r="J348" s="42"/>
      <c r="K348" s="42"/>
      <c r="L348" s="42"/>
      <c r="M348" s="42"/>
      <c r="P348" s="42"/>
    </row>
    <row r="349">
      <c r="A349" s="42"/>
      <c r="B349" s="42"/>
      <c r="C349" s="42"/>
      <c r="D349" s="42"/>
      <c r="I349" s="42"/>
      <c r="J349" s="42"/>
      <c r="K349" s="42"/>
      <c r="L349" s="42"/>
      <c r="M349" s="42"/>
      <c r="P349" s="42"/>
    </row>
    <row r="350">
      <c r="A350" s="42"/>
      <c r="B350" s="42"/>
      <c r="C350" s="42"/>
      <c r="D350" s="42"/>
      <c r="I350" s="42"/>
      <c r="J350" s="42"/>
      <c r="K350" s="42"/>
      <c r="L350" s="42"/>
      <c r="M350" s="42"/>
      <c r="P350" s="42"/>
    </row>
    <row r="351">
      <c r="A351" s="42"/>
      <c r="B351" s="42"/>
      <c r="C351" s="42"/>
      <c r="D351" s="42"/>
      <c r="I351" s="42"/>
      <c r="J351" s="42"/>
      <c r="K351" s="42"/>
      <c r="L351" s="42"/>
      <c r="M351" s="42"/>
      <c r="P351" s="42"/>
    </row>
    <row r="352">
      <c r="A352" s="42"/>
      <c r="B352" s="42"/>
      <c r="C352" s="42"/>
      <c r="D352" s="42"/>
      <c r="I352" s="42"/>
      <c r="J352" s="42"/>
      <c r="K352" s="42"/>
      <c r="L352" s="42"/>
      <c r="M352" s="42"/>
      <c r="P352" s="42"/>
    </row>
    <row r="353">
      <c r="A353" s="42"/>
      <c r="B353" s="42"/>
      <c r="C353" s="42"/>
      <c r="D353" s="42"/>
      <c r="I353" s="42"/>
      <c r="J353" s="42"/>
      <c r="K353" s="42"/>
      <c r="L353" s="42"/>
      <c r="M353" s="42"/>
      <c r="P353" s="42"/>
    </row>
    <row r="354">
      <c r="A354" s="42"/>
      <c r="B354" s="42"/>
      <c r="C354" s="42"/>
      <c r="D354" s="42"/>
      <c r="I354" s="42"/>
      <c r="J354" s="42"/>
      <c r="K354" s="42"/>
      <c r="L354" s="42"/>
      <c r="M354" s="42"/>
      <c r="P354" s="42"/>
    </row>
    <row r="355">
      <c r="A355" s="42"/>
      <c r="B355" s="42"/>
      <c r="C355" s="42"/>
      <c r="D355" s="42"/>
      <c r="I355" s="42"/>
      <c r="J355" s="42"/>
      <c r="K355" s="42"/>
      <c r="L355" s="42"/>
      <c r="M355" s="42"/>
      <c r="P355" s="42"/>
    </row>
    <row r="356">
      <c r="A356" s="42"/>
      <c r="B356" s="42"/>
      <c r="C356" s="42"/>
      <c r="D356" s="42"/>
      <c r="I356" s="42"/>
      <c r="J356" s="42"/>
      <c r="K356" s="42"/>
      <c r="L356" s="42"/>
      <c r="M356" s="42"/>
      <c r="P356" s="42"/>
    </row>
    <row r="357">
      <c r="A357" s="42"/>
      <c r="B357" s="42"/>
      <c r="C357" s="42"/>
      <c r="D357" s="42"/>
      <c r="I357" s="42"/>
      <c r="J357" s="42"/>
      <c r="K357" s="42"/>
      <c r="L357" s="42"/>
      <c r="M357" s="42"/>
      <c r="P357" s="42"/>
    </row>
    <row r="358">
      <c r="A358" s="42"/>
      <c r="B358" s="42"/>
      <c r="C358" s="42"/>
      <c r="D358" s="42"/>
      <c r="I358" s="42"/>
      <c r="J358" s="42"/>
      <c r="K358" s="42"/>
      <c r="L358" s="42"/>
      <c r="M358" s="42"/>
      <c r="P358" s="42"/>
    </row>
    <row r="359">
      <c r="A359" s="42"/>
      <c r="B359" s="42"/>
      <c r="C359" s="42"/>
      <c r="D359" s="42"/>
      <c r="I359" s="42"/>
      <c r="J359" s="42"/>
      <c r="K359" s="42"/>
      <c r="L359" s="42"/>
      <c r="M359" s="42"/>
      <c r="P359" s="42"/>
    </row>
    <row r="360">
      <c r="A360" s="42"/>
      <c r="B360" s="42"/>
      <c r="C360" s="42"/>
      <c r="D360" s="42"/>
      <c r="I360" s="42"/>
      <c r="J360" s="42"/>
      <c r="K360" s="42"/>
      <c r="L360" s="42"/>
      <c r="M360" s="42"/>
      <c r="P360" s="42"/>
    </row>
    <row r="361">
      <c r="A361" s="42"/>
      <c r="B361" s="42"/>
      <c r="C361" s="42"/>
      <c r="D361" s="42"/>
      <c r="I361" s="42"/>
      <c r="J361" s="42"/>
      <c r="K361" s="42"/>
      <c r="L361" s="42"/>
      <c r="M361" s="42"/>
      <c r="P361" s="42"/>
    </row>
    <row r="362">
      <c r="A362" s="42"/>
      <c r="B362" s="42"/>
      <c r="C362" s="42"/>
      <c r="D362" s="42"/>
      <c r="I362" s="42"/>
      <c r="J362" s="42"/>
      <c r="K362" s="42"/>
      <c r="L362" s="42"/>
      <c r="M362" s="42"/>
      <c r="P362" s="42"/>
    </row>
    <row r="363">
      <c r="A363" s="42"/>
      <c r="B363" s="42"/>
      <c r="C363" s="42"/>
      <c r="D363" s="42"/>
      <c r="I363" s="42"/>
      <c r="J363" s="42"/>
      <c r="K363" s="42"/>
      <c r="L363" s="42"/>
      <c r="M363" s="42"/>
      <c r="P363" s="42"/>
    </row>
    <row r="364">
      <c r="A364" s="42"/>
      <c r="B364" s="42"/>
      <c r="C364" s="42"/>
      <c r="D364" s="42"/>
      <c r="I364" s="42"/>
      <c r="J364" s="42"/>
      <c r="K364" s="42"/>
      <c r="L364" s="42"/>
      <c r="M364" s="42"/>
      <c r="P364" s="42"/>
    </row>
    <row r="365">
      <c r="A365" s="42"/>
      <c r="B365" s="42"/>
      <c r="C365" s="42"/>
      <c r="D365" s="42"/>
      <c r="I365" s="42"/>
      <c r="J365" s="42"/>
      <c r="K365" s="42"/>
      <c r="L365" s="42"/>
      <c r="M365" s="42"/>
      <c r="P365" s="42"/>
    </row>
    <row r="366">
      <c r="A366" s="42"/>
      <c r="B366" s="42"/>
      <c r="C366" s="42"/>
      <c r="D366" s="42"/>
      <c r="I366" s="42"/>
      <c r="J366" s="42"/>
      <c r="K366" s="42"/>
      <c r="L366" s="42"/>
      <c r="M366" s="42"/>
      <c r="P366" s="42"/>
    </row>
    <row r="367">
      <c r="A367" s="42"/>
      <c r="B367" s="42"/>
      <c r="C367" s="42"/>
      <c r="D367" s="42"/>
      <c r="I367" s="42"/>
      <c r="J367" s="42"/>
      <c r="K367" s="42"/>
      <c r="L367" s="42"/>
      <c r="M367" s="42"/>
      <c r="P367" s="42"/>
    </row>
    <row r="368">
      <c r="A368" s="42"/>
      <c r="B368" s="42"/>
      <c r="C368" s="42"/>
      <c r="D368" s="42"/>
      <c r="I368" s="42"/>
      <c r="J368" s="42"/>
      <c r="K368" s="42"/>
      <c r="L368" s="42"/>
      <c r="M368" s="42"/>
      <c r="P368" s="42"/>
    </row>
    <row r="369">
      <c r="A369" s="42"/>
      <c r="B369" s="42"/>
      <c r="C369" s="42"/>
      <c r="D369" s="42"/>
      <c r="I369" s="42"/>
      <c r="J369" s="42"/>
      <c r="K369" s="42"/>
      <c r="L369" s="42"/>
      <c r="M369" s="42"/>
      <c r="P369" s="42"/>
    </row>
    <row r="370">
      <c r="A370" s="42"/>
      <c r="B370" s="42"/>
      <c r="C370" s="42"/>
      <c r="D370" s="42"/>
      <c r="I370" s="42"/>
      <c r="J370" s="42"/>
      <c r="K370" s="42"/>
      <c r="L370" s="42"/>
      <c r="M370" s="42"/>
      <c r="P370" s="42"/>
    </row>
    <row r="371">
      <c r="A371" s="42"/>
      <c r="B371" s="42"/>
      <c r="C371" s="42"/>
      <c r="D371" s="42"/>
      <c r="I371" s="42"/>
      <c r="J371" s="42"/>
      <c r="K371" s="42"/>
      <c r="L371" s="42"/>
      <c r="M371" s="42"/>
      <c r="P371" s="42"/>
    </row>
    <row r="372">
      <c r="A372" s="42"/>
      <c r="B372" s="42"/>
      <c r="C372" s="42"/>
      <c r="D372" s="42"/>
      <c r="I372" s="42"/>
      <c r="J372" s="42"/>
      <c r="K372" s="42"/>
      <c r="L372" s="42"/>
      <c r="M372" s="42"/>
      <c r="P372" s="42"/>
    </row>
    <row r="373">
      <c r="A373" s="42"/>
      <c r="B373" s="42"/>
      <c r="C373" s="42"/>
      <c r="D373" s="42"/>
      <c r="I373" s="42"/>
      <c r="J373" s="42"/>
      <c r="K373" s="42"/>
      <c r="L373" s="42"/>
      <c r="M373" s="42"/>
      <c r="P373" s="42"/>
    </row>
    <row r="374">
      <c r="A374" s="42"/>
      <c r="B374" s="42"/>
      <c r="C374" s="42"/>
      <c r="D374" s="42"/>
      <c r="I374" s="42"/>
      <c r="J374" s="42"/>
      <c r="K374" s="42"/>
      <c r="L374" s="42"/>
      <c r="M374" s="42"/>
      <c r="P374" s="42"/>
    </row>
    <row r="375">
      <c r="A375" s="42"/>
      <c r="B375" s="42"/>
      <c r="C375" s="42"/>
      <c r="D375" s="42"/>
      <c r="I375" s="42"/>
      <c r="J375" s="42"/>
      <c r="K375" s="42"/>
      <c r="L375" s="42"/>
      <c r="M375" s="42"/>
      <c r="P375" s="42"/>
    </row>
    <row r="376">
      <c r="A376" s="42"/>
      <c r="B376" s="42"/>
      <c r="C376" s="42"/>
      <c r="D376" s="42"/>
      <c r="I376" s="42"/>
      <c r="J376" s="42"/>
      <c r="K376" s="42"/>
      <c r="L376" s="42"/>
      <c r="M376" s="42"/>
      <c r="P376" s="42"/>
    </row>
    <row r="377">
      <c r="A377" s="42"/>
      <c r="B377" s="42"/>
      <c r="C377" s="42"/>
      <c r="D377" s="42"/>
      <c r="I377" s="42"/>
      <c r="J377" s="42"/>
      <c r="K377" s="42"/>
      <c r="L377" s="42"/>
      <c r="M377" s="42"/>
      <c r="P377" s="42"/>
    </row>
    <row r="378">
      <c r="A378" s="42"/>
      <c r="B378" s="42"/>
      <c r="C378" s="42"/>
      <c r="D378" s="42"/>
      <c r="I378" s="42"/>
      <c r="J378" s="42"/>
      <c r="K378" s="42"/>
      <c r="L378" s="42"/>
      <c r="M378" s="42"/>
      <c r="P378" s="42"/>
    </row>
    <row r="379">
      <c r="A379" s="42"/>
      <c r="B379" s="42"/>
      <c r="C379" s="42"/>
      <c r="D379" s="42"/>
      <c r="I379" s="42"/>
      <c r="J379" s="42"/>
      <c r="K379" s="42"/>
      <c r="L379" s="42"/>
      <c r="M379" s="42"/>
      <c r="P379" s="42"/>
    </row>
    <row r="380">
      <c r="A380" s="42"/>
      <c r="B380" s="42"/>
      <c r="C380" s="42"/>
      <c r="D380" s="42"/>
      <c r="I380" s="42"/>
      <c r="J380" s="42"/>
      <c r="K380" s="42"/>
      <c r="L380" s="42"/>
      <c r="M380" s="42"/>
      <c r="P380" s="42"/>
    </row>
    <row r="381">
      <c r="A381" s="42"/>
      <c r="B381" s="42"/>
      <c r="C381" s="42"/>
      <c r="D381" s="42"/>
      <c r="I381" s="42"/>
      <c r="J381" s="42"/>
      <c r="K381" s="42"/>
      <c r="L381" s="42"/>
      <c r="M381" s="42"/>
      <c r="P381" s="42"/>
    </row>
    <row r="382">
      <c r="A382" s="42"/>
      <c r="B382" s="42"/>
      <c r="C382" s="42"/>
      <c r="D382" s="42"/>
      <c r="I382" s="42"/>
      <c r="J382" s="42"/>
      <c r="K382" s="42"/>
      <c r="L382" s="42"/>
      <c r="M382" s="42"/>
      <c r="P382" s="42"/>
    </row>
    <row r="383">
      <c r="A383" s="42"/>
      <c r="B383" s="42"/>
      <c r="C383" s="42"/>
      <c r="D383" s="42"/>
      <c r="I383" s="42"/>
      <c r="J383" s="42"/>
      <c r="K383" s="42"/>
      <c r="L383" s="42"/>
      <c r="M383" s="42"/>
      <c r="P383" s="42"/>
    </row>
    <row r="384">
      <c r="A384" s="42"/>
      <c r="B384" s="42"/>
      <c r="C384" s="42"/>
      <c r="D384" s="42"/>
      <c r="I384" s="42"/>
      <c r="J384" s="42"/>
      <c r="K384" s="42"/>
      <c r="L384" s="42"/>
      <c r="M384" s="42"/>
      <c r="P384" s="42"/>
    </row>
    <row r="385">
      <c r="A385" s="42"/>
      <c r="B385" s="42"/>
      <c r="C385" s="42"/>
      <c r="D385" s="42"/>
      <c r="I385" s="42"/>
      <c r="J385" s="42"/>
      <c r="K385" s="42"/>
      <c r="L385" s="42"/>
      <c r="M385" s="42"/>
      <c r="P385" s="42"/>
    </row>
    <row r="386">
      <c r="A386" s="42"/>
      <c r="B386" s="42"/>
      <c r="C386" s="42"/>
      <c r="D386" s="42"/>
      <c r="I386" s="42"/>
      <c r="J386" s="42"/>
      <c r="K386" s="42"/>
      <c r="L386" s="42"/>
      <c r="M386" s="42"/>
      <c r="P386" s="42"/>
    </row>
    <row r="387">
      <c r="A387" s="42"/>
      <c r="B387" s="42"/>
      <c r="C387" s="42"/>
      <c r="D387" s="42"/>
      <c r="I387" s="42"/>
      <c r="J387" s="42"/>
      <c r="K387" s="42"/>
      <c r="L387" s="42"/>
      <c r="M387" s="42"/>
      <c r="P387" s="42"/>
    </row>
    <row r="388">
      <c r="A388" s="42"/>
      <c r="B388" s="42"/>
      <c r="C388" s="42"/>
      <c r="D388" s="42"/>
      <c r="I388" s="42"/>
      <c r="J388" s="42"/>
      <c r="K388" s="42"/>
      <c r="L388" s="42"/>
      <c r="M388" s="42"/>
      <c r="P388" s="42"/>
    </row>
    <row r="389">
      <c r="A389" s="42"/>
      <c r="B389" s="42"/>
      <c r="C389" s="42"/>
      <c r="D389" s="42"/>
      <c r="I389" s="42"/>
      <c r="J389" s="42"/>
      <c r="K389" s="42"/>
      <c r="L389" s="42"/>
      <c r="M389" s="42"/>
      <c r="P389" s="42"/>
    </row>
    <row r="390">
      <c r="A390" s="42"/>
      <c r="B390" s="42"/>
      <c r="C390" s="42"/>
      <c r="D390" s="42"/>
      <c r="I390" s="42"/>
      <c r="J390" s="42"/>
      <c r="K390" s="42"/>
      <c r="L390" s="42"/>
      <c r="M390" s="42"/>
      <c r="P390" s="42"/>
    </row>
    <row r="391">
      <c r="A391" s="42"/>
      <c r="B391" s="42"/>
      <c r="C391" s="42"/>
      <c r="D391" s="42"/>
      <c r="I391" s="42"/>
      <c r="J391" s="42"/>
      <c r="K391" s="42"/>
      <c r="L391" s="42"/>
      <c r="M391" s="42"/>
      <c r="P391" s="42"/>
    </row>
    <row r="392">
      <c r="A392" s="42"/>
      <c r="B392" s="42"/>
      <c r="C392" s="42"/>
      <c r="D392" s="42"/>
      <c r="I392" s="42"/>
      <c r="J392" s="42"/>
      <c r="K392" s="42"/>
      <c r="L392" s="42"/>
      <c r="M392" s="42"/>
      <c r="P392" s="42"/>
    </row>
    <row r="393">
      <c r="A393" s="42"/>
      <c r="B393" s="42"/>
      <c r="C393" s="42"/>
      <c r="D393" s="42"/>
      <c r="I393" s="42"/>
      <c r="J393" s="42"/>
      <c r="K393" s="42"/>
      <c r="L393" s="42"/>
      <c r="M393" s="42"/>
      <c r="P393" s="42"/>
    </row>
    <row r="394">
      <c r="A394" s="42"/>
      <c r="B394" s="42"/>
      <c r="C394" s="42"/>
      <c r="D394" s="42"/>
      <c r="I394" s="42"/>
      <c r="J394" s="42"/>
      <c r="K394" s="42"/>
      <c r="L394" s="42"/>
      <c r="M394" s="42"/>
      <c r="P394" s="42"/>
    </row>
    <row r="395">
      <c r="A395" s="42"/>
      <c r="B395" s="42"/>
      <c r="C395" s="42"/>
      <c r="D395" s="42"/>
      <c r="I395" s="42"/>
      <c r="J395" s="42"/>
      <c r="K395" s="42"/>
      <c r="L395" s="42"/>
      <c r="M395" s="42"/>
      <c r="P395" s="42"/>
    </row>
    <row r="396">
      <c r="A396" s="42"/>
      <c r="B396" s="42"/>
      <c r="C396" s="42"/>
      <c r="D396" s="42"/>
      <c r="I396" s="42"/>
      <c r="J396" s="42"/>
      <c r="K396" s="42"/>
      <c r="L396" s="42"/>
      <c r="M396" s="42"/>
      <c r="P396" s="42"/>
    </row>
    <row r="397">
      <c r="A397" s="42"/>
      <c r="B397" s="42"/>
      <c r="C397" s="42"/>
      <c r="D397" s="42"/>
      <c r="I397" s="42"/>
      <c r="J397" s="42"/>
      <c r="K397" s="42"/>
      <c r="L397" s="42"/>
      <c r="M397" s="42"/>
      <c r="P397" s="42"/>
    </row>
    <row r="398">
      <c r="A398" s="42"/>
      <c r="B398" s="42"/>
      <c r="C398" s="42"/>
      <c r="D398" s="42"/>
      <c r="I398" s="42"/>
      <c r="J398" s="42"/>
      <c r="K398" s="42"/>
      <c r="L398" s="42"/>
      <c r="M398" s="42"/>
      <c r="P398" s="42"/>
    </row>
    <row r="399">
      <c r="A399" s="42"/>
      <c r="B399" s="42"/>
      <c r="C399" s="42"/>
      <c r="D399" s="42"/>
      <c r="I399" s="42"/>
      <c r="J399" s="42"/>
      <c r="K399" s="42"/>
      <c r="L399" s="42"/>
      <c r="M399" s="42"/>
      <c r="P399" s="42"/>
    </row>
    <row r="400">
      <c r="A400" s="42"/>
      <c r="B400" s="42"/>
      <c r="C400" s="42"/>
      <c r="D400" s="42"/>
      <c r="I400" s="42"/>
      <c r="J400" s="42"/>
      <c r="K400" s="42"/>
      <c r="L400" s="42"/>
      <c r="M400" s="42"/>
      <c r="P400" s="42"/>
    </row>
    <row r="401">
      <c r="A401" s="42"/>
      <c r="B401" s="42"/>
      <c r="C401" s="42"/>
      <c r="D401" s="42"/>
      <c r="I401" s="42"/>
      <c r="J401" s="42"/>
      <c r="K401" s="42"/>
      <c r="L401" s="42"/>
      <c r="M401" s="42"/>
      <c r="P401" s="42"/>
    </row>
    <row r="402">
      <c r="A402" s="42"/>
      <c r="B402" s="42"/>
      <c r="C402" s="42"/>
      <c r="D402" s="42"/>
      <c r="I402" s="42"/>
      <c r="J402" s="42"/>
      <c r="K402" s="42"/>
      <c r="L402" s="42"/>
      <c r="M402" s="42"/>
      <c r="P402" s="42"/>
    </row>
    <row r="403">
      <c r="A403" s="42"/>
      <c r="B403" s="42"/>
      <c r="C403" s="42"/>
      <c r="D403" s="42"/>
      <c r="I403" s="42"/>
      <c r="J403" s="42"/>
      <c r="K403" s="42"/>
      <c r="L403" s="42"/>
      <c r="M403" s="42"/>
      <c r="P403" s="42"/>
    </row>
    <row r="404">
      <c r="A404" s="42"/>
      <c r="B404" s="42"/>
      <c r="C404" s="42"/>
      <c r="D404" s="42"/>
      <c r="I404" s="42"/>
      <c r="J404" s="42"/>
      <c r="K404" s="42"/>
      <c r="L404" s="42"/>
      <c r="M404" s="42"/>
      <c r="P404" s="42"/>
    </row>
    <row r="405">
      <c r="A405" s="42"/>
      <c r="B405" s="42"/>
      <c r="C405" s="42"/>
      <c r="D405" s="42"/>
      <c r="I405" s="42"/>
      <c r="J405" s="42"/>
      <c r="K405" s="42"/>
      <c r="L405" s="42"/>
      <c r="M405" s="42"/>
      <c r="P405" s="42"/>
    </row>
    <row r="406">
      <c r="A406" s="42"/>
      <c r="B406" s="42"/>
      <c r="C406" s="42"/>
      <c r="D406" s="42"/>
      <c r="I406" s="42"/>
      <c r="J406" s="42"/>
      <c r="K406" s="42"/>
      <c r="L406" s="42"/>
      <c r="M406" s="42"/>
      <c r="P406" s="42"/>
    </row>
    <row r="407">
      <c r="A407" s="42"/>
      <c r="B407" s="42"/>
      <c r="C407" s="42"/>
      <c r="D407" s="42"/>
      <c r="I407" s="42"/>
      <c r="J407" s="42"/>
      <c r="K407" s="42"/>
      <c r="L407" s="42"/>
      <c r="M407" s="42"/>
      <c r="P407" s="42"/>
    </row>
    <row r="408">
      <c r="A408" s="42"/>
      <c r="B408" s="42"/>
      <c r="C408" s="42"/>
      <c r="D408" s="42"/>
      <c r="I408" s="42"/>
      <c r="J408" s="42"/>
      <c r="K408" s="42"/>
      <c r="L408" s="42"/>
      <c r="M408" s="42"/>
      <c r="P408" s="42"/>
    </row>
    <row r="409">
      <c r="A409" s="42"/>
      <c r="B409" s="42"/>
      <c r="C409" s="42"/>
      <c r="D409" s="42"/>
      <c r="I409" s="42"/>
      <c r="J409" s="42"/>
      <c r="K409" s="42"/>
      <c r="L409" s="42"/>
      <c r="M409" s="42"/>
      <c r="P409" s="42"/>
    </row>
    <row r="410">
      <c r="A410" s="42"/>
      <c r="B410" s="42"/>
      <c r="C410" s="42"/>
      <c r="D410" s="42"/>
      <c r="I410" s="42"/>
      <c r="J410" s="42"/>
      <c r="K410" s="42"/>
      <c r="L410" s="42"/>
      <c r="M410" s="42"/>
      <c r="P410" s="42"/>
    </row>
    <row r="411">
      <c r="A411" s="42"/>
      <c r="B411" s="42"/>
      <c r="C411" s="42"/>
      <c r="D411" s="42"/>
      <c r="I411" s="42"/>
      <c r="J411" s="42"/>
      <c r="K411" s="42"/>
      <c r="L411" s="42"/>
      <c r="M411" s="42"/>
      <c r="P411" s="42"/>
    </row>
    <row r="412">
      <c r="A412" s="42"/>
      <c r="B412" s="42"/>
      <c r="C412" s="42"/>
      <c r="D412" s="42"/>
      <c r="I412" s="42"/>
      <c r="J412" s="42"/>
      <c r="K412" s="42"/>
      <c r="L412" s="42"/>
      <c r="M412" s="42"/>
      <c r="P412" s="42"/>
    </row>
    <row r="413">
      <c r="A413" s="42"/>
      <c r="B413" s="42"/>
      <c r="C413" s="42"/>
      <c r="D413" s="42"/>
      <c r="I413" s="42"/>
      <c r="J413" s="42"/>
      <c r="K413" s="42"/>
      <c r="L413" s="42"/>
      <c r="M413" s="42"/>
      <c r="P413" s="42"/>
    </row>
    <row r="414">
      <c r="A414" s="42"/>
      <c r="B414" s="42"/>
      <c r="C414" s="42"/>
      <c r="D414" s="42"/>
      <c r="I414" s="42"/>
      <c r="J414" s="42"/>
      <c r="K414" s="42"/>
      <c r="L414" s="42"/>
      <c r="M414" s="42"/>
      <c r="P414" s="42"/>
    </row>
    <row r="415">
      <c r="A415" s="42"/>
      <c r="B415" s="42"/>
      <c r="C415" s="42"/>
      <c r="D415" s="42"/>
      <c r="I415" s="42"/>
      <c r="J415" s="42"/>
      <c r="K415" s="42"/>
      <c r="L415" s="42"/>
      <c r="M415" s="42"/>
      <c r="P415" s="42"/>
    </row>
    <row r="416">
      <c r="A416" s="42"/>
      <c r="B416" s="42"/>
      <c r="C416" s="42"/>
      <c r="D416" s="42"/>
      <c r="I416" s="42"/>
      <c r="J416" s="42"/>
      <c r="K416" s="42"/>
      <c r="L416" s="42"/>
      <c r="M416" s="42"/>
      <c r="P416" s="42"/>
    </row>
    <row r="417">
      <c r="A417" s="42"/>
      <c r="B417" s="42"/>
      <c r="C417" s="42"/>
      <c r="D417" s="42"/>
      <c r="I417" s="42"/>
      <c r="J417" s="42"/>
      <c r="K417" s="42"/>
      <c r="L417" s="42"/>
      <c r="M417" s="42"/>
      <c r="P417" s="42"/>
    </row>
    <row r="418">
      <c r="A418" s="42"/>
      <c r="B418" s="42"/>
      <c r="C418" s="42"/>
      <c r="D418" s="42"/>
      <c r="I418" s="42"/>
      <c r="J418" s="42"/>
      <c r="K418" s="42"/>
      <c r="L418" s="42"/>
      <c r="M418" s="42"/>
      <c r="P418" s="42"/>
    </row>
    <row r="419">
      <c r="A419" s="42"/>
      <c r="B419" s="42"/>
      <c r="C419" s="42"/>
      <c r="D419" s="42"/>
      <c r="I419" s="42"/>
      <c r="J419" s="42"/>
      <c r="K419" s="42"/>
      <c r="L419" s="42"/>
      <c r="M419" s="42"/>
      <c r="P419" s="42"/>
    </row>
    <row r="420">
      <c r="A420" s="42"/>
      <c r="B420" s="42"/>
      <c r="C420" s="42"/>
      <c r="D420" s="42"/>
      <c r="I420" s="42"/>
      <c r="J420" s="42"/>
      <c r="K420" s="42"/>
      <c r="L420" s="42"/>
      <c r="M420" s="42"/>
      <c r="P420" s="42"/>
    </row>
    <row r="421">
      <c r="A421" s="42"/>
      <c r="B421" s="42"/>
      <c r="C421" s="42"/>
      <c r="D421" s="42"/>
      <c r="I421" s="42"/>
      <c r="J421" s="42"/>
      <c r="K421" s="42"/>
      <c r="L421" s="42"/>
      <c r="M421" s="42"/>
      <c r="P421" s="42"/>
    </row>
    <row r="422">
      <c r="A422" s="42"/>
      <c r="B422" s="42"/>
      <c r="C422" s="42"/>
      <c r="D422" s="42"/>
      <c r="I422" s="42"/>
      <c r="J422" s="42"/>
      <c r="K422" s="42"/>
      <c r="L422" s="42"/>
      <c r="M422" s="42"/>
      <c r="P422" s="42"/>
    </row>
    <row r="423">
      <c r="A423" s="42"/>
      <c r="B423" s="42"/>
      <c r="C423" s="42"/>
      <c r="D423" s="42"/>
      <c r="I423" s="42"/>
      <c r="J423" s="42"/>
      <c r="K423" s="42"/>
      <c r="L423" s="42"/>
      <c r="M423" s="42"/>
      <c r="P423" s="42"/>
    </row>
    <row r="424">
      <c r="A424" s="42"/>
      <c r="B424" s="42"/>
      <c r="C424" s="42"/>
      <c r="D424" s="42"/>
      <c r="I424" s="42"/>
      <c r="J424" s="42"/>
      <c r="K424" s="42"/>
      <c r="L424" s="42"/>
      <c r="M424" s="42"/>
      <c r="P424" s="42"/>
    </row>
    <row r="425">
      <c r="A425" s="42"/>
      <c r="B425" s="42"/>
      <c r="C425" s="42"/>
      <c r="D425" s="42"/>
      <c r="I425" s="42"/>
      <c r="J425" s="42"/>
      <c r="K425" s="42"/>
      <c r="L425" s="42"/>
      <c r="M425" s="42"/>
      <c r="P425" s="42"/>
    </row>
    <row r="426">
      <c r="A426" s="42"/>
      <c r="B426" s="42"/>
      <c r="C426" s="42"/>
      <c r="D426" s="42"/>
      <c r="I426" s="42"/>
      <c r="J426" s="42"/>
      <c r="K426" s="42"/>
      <c r="L426" s="42"/>
      <c r="M426" s="42"/>
      <c r="P426" s="42"/>
    </row>
    <row r="427">
      <c r="A427" s="42"/>
      <c r="B427" s="42"/>
      <c r="C427" s="42"/>
      <c r="D427" s="42"/>
      <c r="I427" s="42"/>
      <c r="J427" s="42"/>
      <c r="K427" s="42"/>
      <c r="L427" s="42"/>
      <c r="M427" s="42"/>
      <c r="P427" s="42"/>
    </row>
    <row r="428">
      <c r="A428" s="42"/>
      <c r="B428" s="42"/>
      <c r="C428" s="42"/>
      <c r="D428" s="42"/>
      <c r="I428" s="42"/>
      <c r="J428" s="42"/>
      <c r="K428" s="42"/>
      <c r="L428" s="42"/>
      <c r="M428" s="42"/>
      <c r="P428" s="42"/>
    </row>
    <row r="429">
      <c r="A429" s="42"/>
      <c r="B429" s="42"/>
      <c r="C429" s="42"/>
      <c r="D429" s="42"/>
      <c r="I429" s="42"/>
      <c r="J429" s="42"/>
      <c r="K429" s="42"/>
      <c r="L429" s="42"/>
      <c r="M429" s="42"/>
      <c r="P429" s="42"/>
    </row>
    <row r="430">
      <c r="A430" s="42"/>
      <c r="B430" s="42"/>
      <c r="C430" s="42"/>
      <c r="D430" s="42"/>
      <c r="I430" s="42"/>
      <c r="J430" s="42"/>
      <c r="K430" s="42"/>
      <c r="L430" s="42"/>
      <c r="M430" s="42"/>
      <c r="P430" s="42"/>
    </row>
    <row r="431">
      <c r="A431" s="42"/>
      <c r="B431" s="42"/>
      <c r="C431" s="42"/>
      <c r="D431" s="42"/>
      <c r="I431" s="42"/>
      <c r="J431" s="42"/>
      <c r="K431" s="42"/>
      <c r="L431" s="42"/>
      <c r="M431" s="42"/>
      <c r="P431" s="42"/>
    </row>
    <row r="432">
      <c r="A432" s="42"/>
      <c r="B432" s="42"/>
      <c r="C432" s="42"/>
      <c r="D432" s="42"/>
      <c r="I432" s="42"/>
      <c r="J432" s="42"/>
      <c r="K432" s="42"/>
      <c r="L432" s="42"/>
      <c r="M432" s="42"/>
      <c r="P432" s="42"/>
    </row>
    <row r="433">
      <c r="A433" s="42"/>
      <c r="B433" s="42"/>
      <c r="C433" s="42"/>
      <c r="D433" s="42"/>
      <c r="I433" s="42"/>
      <c r="J433" s="42"/>
      <c r="K433" s="42"/>
      <c r="L433" s="42"/>
      <c r="M433" s="42"/>
      <c r="P433" s="42"/>
    </row>
    <row r="434">
      <c r="A434" s="42"/>
      <c r="B434" s="42"/>
      <c r="C434" s="42"/>
      <c r="D434" s="42"/>
      <c r="I434" s="42"/>
      <c r="J434" s="42"/>
      <c r="K434" s="42"/>
      <c r="L434" s="42"/>
      <c r="M434" s="42"/>
      <c r="P434" s="42"/>
    </row>
    <row r="435">
      <c r="A435" s="42"/>
      <c r="B435" s="42"/>
      <c r="C435" s="42"/>
      <c r="D435" s="42"/>
      <c r="I435" s="42"/>
      <c r="J435" s="42"/>
      <c r="K435" s="42"/>
      <c r="L435" s="42"/>
      <c r="M435" s="42"/>
      <c r="P435" s="42"/>
    </row>
    <row r="436">
      <c r="A436" s="42"/>
      <c r="B436" s="42"/>
      <c r="C436" s="42"/>
      <c r="D436" s="42"/>
      <c r="I436" s="42"/>
      <c r="J436" s="42"/>
      <c r="K436" s="42"/>
      <c r="L436" s="42"/>
      <c r="M436" s="42"/>
      <c r="P436" s="42"/>
    </row>
    <row r="437">
      <c r="A437" s="42"/>
      <c r="B437" s="42"/>
      <c r="C437" s="42"/>
      <c r="D437" s="42"/>
      <c r="I437" s="42"/>
      <c r="J437" s="42"/>
      <c r="K437" s="42"/>
      <c r="L437" s="42"/>
      <c r="M437" s="42"/>
      <c r="P437" s="42"/>
    </row>
    <row r="438">
      <c r="A438" s="42"/>
      <c r="B438" s="42"/>
      <c r="C438" s="42"/>
      <c r="D438" s="42"/>
      <c r="I438" s="42"/>
      <c r="J438" s="42"/>
      <c r="K438" s="42"/>
      <c r="L438" s="42"/>
      <c r="M438" s="42"/>
      <c r="P438" s="42"/>
    </row>
    <row r="439">
      <c r="A439" s="42"/>
      <c r="B439" s="42"/>
      <c r="C439" s="42"/>
      <c r="D439" s="42"/>
      <c r="I439" s="42"/>
      <c r="J439" s="42"/>
      <c r="K439" s="42"/>
      <c r="L439" s="42"/>
      <c r="M439" s="42"/>
      <c r="P439" s="42"/>
    </row>
    <row r="440">
      <c r="A440" s="42"/>
      <c r="B440" s="42"/>
      <c r="C440" s="42"/>
      <c r="D440" s="42"/>
      <c r="I440" s="42"/>
      <c r="J440" s="42"/>
      <c r="K440" s="42"/>
      <c r="L440" s="42"/>
      <c r="M440" s="42"/>
      <c r="P440" s="42"/>
    </row>
    <row r="441">
      <c r="A441" s="42"/>
      <c r="B441" s="42"/>
      <c r="C441" s="42"/>
      <c r="D441" s="42"/>
      <c r="I441" s="42"/>
      <c r="J441" s="42"/>
      <c r="K441" s="42"/>
      <c r="L441" s="42"/>
      <c r="M441" s="42"/>
      <c r="P441" s="42"/>
    </row>
    <row r="442">
      <c r="A442" s="42"/>
      <c r="B442" s="42"/>
      <c r="C442" s="42"/>
      <c r="D442" s="42"/>
      <c r="I442" s="42"/>
      <c r="J442" s="42"/>
      <c r="K442" s="42"/>
      <c r="L442" s="42"/>
      <c r="M442" s="42"/>
      <c r="P442" s="42"/>
    </row>
    <row r="443">
      <c r="A443" s="42"/>
      <c r="B443" s="42"/>
      <c r="C443" s="42"/>
      <c r="D443" s="42"/>
      <c r="I443" s="42"/>
      <c r="J443" s="42"/>
      <c r="K443" s="42"/>
      <c r="L443" s="42"/>
      <c r="M443" s="42"/>
      <c r="P443" s="42"/>
    </row>
    <row r="444">
      <c r="A444" s="42"/>
      <c r="B444" s="42"/>
      <c r="C444" s="42"/>
      <c r="D444" s="42"/>
      <c r="I444" s="42"/>
      <c r="J444" s="42"/>
      <c r="K444" s="42"/>
      <c r="L444" s="42"/>
      <c r="M444" s="42"/>
      <c r="P444" s="42"/>
    </row>
    <row r="445">
      <c r="A445" s="42"/>
      <c r="B445" s="42"/>
      <c r="C445" s="42"/>
      <c r="D445" s="42"/>
      <c r="I445" s="42"/>
      <c r="J445" s="42"/>
      <c r="K445" s="42"/>
      <c r="L445" s="42"/>
      <c r="M445" s="42"/>
      <c r="P445" s="42"/>
    </row>
    <row r="446">
      <c r="A446" s="42"/>
      <c r="B446" s="42"/>
      <c r="C446" s="42"/>
      <c r="D446" s="42"/>
      <c r="I446" s="42"/>
      <c r="J446" s="42"/>
      <c r="K446" s="42"/>
      <c r="L446" s="42"/>
      <c r="M446" s="42"/>
      <c r="P446" s="42"/>
    </row>
    <row r="447">
      <c r="A447" s="42"/>
      <c r="B447" s="42"/>
      <c r="C447" s="42"/>
      <c r="D447" s="42"/>
      <c r="I447" s="42"/>
      <c r="J447" s="42"/>
      <c r="K447" s="42"/>
      <c r="L447" s="42"/>
      <c r="M447" s="42"/>
      <c r="P447" s="42"/>
    </row>
    <row r="448">
      <c r="A448" s="42"/>
      <c r="B448" s="42"/>
      <c r="C448" s="42"/>
      <c r="D448" s="42"/>
      <c r="I448" s="42"/>
      <c r="J448" s="42"/>
      <c r="K448" s="42"/>
      <c r="L448" s="42"/>
      <c r="M448" s="42"/>
      <c r="P448" s="42"/>
    </row>
    <row r="449">
      <c r="A449" s="42"/>
      <c r="B449" s="42"/>
      <c r="C449" s="42"/>
      <c r="D449" s="42"/>
      <c r="I449" s="42"/>
      <c r="J449" s="42"/>
      <c r="K449" s="42"/>
      <c r="L449" s="42"/>
      <c r="M449" s="42"/>
      <c r="P449" s="42"/>
    </row>
    <row r="450">
      <c r="A450" s="42"/>
      <c r="B450" s="42"/>
      <c r="C450" s="42"/>
      <c r="D450" s="42"/>
      <c r="I450" s="42"/>
      <c r="J450" s="42"/>
      <c r="K450" s="42"/>
      <c r="L450" s="42"/>
      <c r="M450" s="42"/>
      <c r="P450" s="42"/>
    </row>
    <row r="451">
      <c r="A451" s="42"/>
      <c r="B451" s="42"/>
      <c r="C451" s="42"/>
      <c r="D451" s="42"/>
      <c r="I451" s="42"/>
      <c r="J451" s="42"/>
      <c r="K451" s="42"/>
      <c r="L451" s="42"/>
      <c r="M451" s="42"/>
      <c r="P451" s="42"/>
    </row>
    <row r="452">
      <c r="A452" s="42"/>
      <c r="B452" s="42"/>
      <c r="C452" s="42"/>
      <c r="D452" s="42"/>
      <c r="I452" s="42"/>
      <c r="J452" s="42"/>
      <c r="K452" s="42"/>
      <c r="L452" s="42"/>
      <c r="M452" s="42"/>
      <c r="P452" s="42"/>
    </row>
    <row r="453">
      <c r="A453" s="42"/>
      <c r="B453" s="42"/>
      <c r="C453" s="42"/>
      <c r="D453" s="42"/>
      <c r="I453" s="42"/>
      <c r="J453" s="42"/>
      <c r="K453" s="42"/>
      <c r="L453" s="42"/>
      <c r="M453" s="42"/>
      <c r="P453" s="42"/>
    </row>
    <row r="454">
      <c r="A454" s="42"/>
      <c r="B454" s="42"/>
      <c r="C454" s="42"/>
      <c r="D454" s="42"/>
      <c r="I454" s="42"/>
      <c r="J454" s="42"/>
      <c r="K454" s="42"/>
      <c r="L454" s="42"/>
      <c r="M454" s="42"/>
      <c r="P454" s="42"/>
    </row>
    <row r="455">
      <c r="A455" s="42"/>
      <c r="B455" s="42"/>
      <c r="C455" s="42"/>
      <c r="D455" s="42"/>
      <c r="I455" s="42"/>
      <c r="J455" s="42"/>
      <c r="K455" s="42"/>
      <c r="L455" s="42"/>
      <c r="M455" s="42"/>
      <c r="P455" s="42"/>
    </row>
    <row r="456">
      <c r="A456" s="42"/>
      <c r="B456" s="42"/>
      <c r="C456" s="42"/>
      <c r="D456" s="42"/>
      <c r="I456" s="42"/>
      <c r="J456" s="42"/>
      <c r="K456" s="42"/>
      <c r="L456" s="42"/>
      <c r="M456" s="42"/>
      <c r="P456" s="42"/>
    </row>
    <row r="457">
      <c r="A457" s="42"/>
      <c r="B457" s="42"/>
      <c r="C457" s="42"/>
      <c r="D457" s="42"/>
      <c r="I457" s="42"/>
      <c r="J457" s="42"/>
      <c r="K457" s="42"/>
      <c r="L457" s="42"/>
      <c r="M457" s="42"/>
      <c r="P457" s="42"/>
    </row>
    <row r="458">
      <c r="A458" s="42"/>
      <c r="B458" s="42"/>
      <c r="C458" s="42"/>
      <c r="D458" s="42"/>
      <c r="I458" s="42"/>
      <c r="J458" s="42"/>
      <c r="K458" s="42"/>
      <c r="L458" s="42"/>
      <c r="M458" s="42"/>
      <c r="P458" s="42"/>
    </row>
    <row r="459">
      <c r="A459" s="42"/>
      <c r="B459" s="42"/>
      <c r="C459" s="42"/>
      <c r="D459" s="42"/>
      <c r="I459" s="42"/>
      <c r="J459" s="42"/>
      <c r="K459" s="42"/>
      <c r="L459" s="42"/>
      <c r="M459" s="42"/>
      <c r="P459" s="42"/>
    </row>
    <row r="460">
      <c r="A460" s="42"/>
      <c r="B460" s="42"/>
      <c r="C460" s="42"/>
      <c r="D460" s="42"/>
      <c r="I460" s="42"/>
      <c r="J460" s="42"/>
      <c r="K460" s="42"/>
      <c r="L460" s="42"/>
      <c r="M460" s="42"/>
      <c r="P460" s="42"/>
    </row>
    <row r="461">
      <c r="A461" s="42"/>
      <c r="B461" s="42"/>
      <c r="C461" s="42"/>
      <c r="D461" s="42"/>
      <c r="I461" s="42"/>
      <c r="J461" s="42"/>
      <c r="K461" s="42"/>
      <c r="L461" s="42"/>
      <c r="M461" s="42"/>
      <c r="P461" s="42"/>
    </row>
    <row r="462">
      <c r="A462" s="42"/>
      <c r="B462" s="42"/>
      <c r="C462" s="42"/>
      <c r="D462" s="42"/>
      <c r="I462" s="42"/>
      <c r="J462" s="42"/>
      <c r="K462" s="42"/>
      <c r="L462" s="42"/>
      <c r="M462" s="42"/>
      <c r="P462" s="42"/>
    </row>
    <row r="463">
      <c r="A463" s="42"/>
      <c r="B463" s="42"/>
      <c r="C463" s="42"/>
      <c r="D463" s="42"/>
      <c r="I463" s="42"/>
      <c r="J463" s="42"/>
      <c r="K463" s="42"/>
      <c r="L463" s="42"/>
      <c r="M463" s="42"/>
      <c r="P463" s="42"/>
    </row>
    <row r="464">
      <c r="A464" s="42"/>
      <c r="B464" s="42"/>
      <c r="C464" s="42"/>
      <c r="D464" s="42"/>
      <c r="I464" s="42"/>
      <c r="J464" s="42"/>
      <c r="K464" s="42"/>
      <c r="L464" s="42"/>
      <c r="M464" s="42"/>
      <c r="P464" s="42"/>
    </row>
    <row r="465">
      <c r="A465" s="42"/>
      <c r="B465" s="42"/>
      <c r="C465" s="42"/>
      <c r="D465" s="42"/>
      <c r="I465" s="42"/>
      <c r="J465" s="42"/>
      <c r="K465" s="42"/>
      <c r="L465" s="42"/>
      <c r="M465" s="42"/>
      <c r="P465" s="42"/>
    </row>
    <row r="466">
      <c r="A466" s="42"/>
      <c r="B466" s="42"/>
      <c r="C466" s="42"/>
      <c r="D466" s="42"/>
      <c r="I466" s="42"/>
      <c r="J466" s="42"/>
      <c r="K466" s="42"/>
      <c r="L466" s="42"/>
      <c r="M466" s="42"/>
      <c r="P466" s="42"/>
    </row>
    <row r="467">
      <c r="A467" s="42"/>
      <c r="B467" s="42"/>
      <c r="C467" s="42"/>
      <c r="D467" s="42"/>
      <c r="I467" s="42"/>
      <c r="J467" s="42"/>
      <c r="K467" s="42"/>
      <c r="L467" s="42"/>
      <c r="M467" s="42"/>
      <c r="P467" s="42"/>
    </row>
    <row r="468">
      <c r="A468" s="42"/>
      <c r="B468" s="42"/>
      <c r="C468" s="42"/>
      <c r="D468" s="42"/>
      <c r="I468" s="42"/>
      <c r="J468" s="42"/>
      <c r="K468" s="42"/>
      <c r="L468" s="42"/>
      <c r="M468" s="42"/>
      <c r="P468" s="42"/>
    </row>
    <row r="469">
      <c r="A469" s="42"/>
      <c r="B469" s="42"/>
      <c r="C469" s="42"/>
      <c r="D469" s="42"/>
      <c r="I469" s="42"/>
      <c r="J469" s="42"/>
      <c r="K469" s="42"/>
      <c r="L469" s="42"/>
      <c r="M469" s="42"/>
      <c r="P469" s="42"/>
    </row>
    <row r="470">
      <c r="A470" s="42"/>
      <c r="B470" s="42"/>
      <c r="C470" s="42"/>
      <c r="D470" s="42"/>
      <c r="I470" s="42"/>
      <c r="J470" s="42"/>
      <c r="K470" s="42"/>
      <c r="L470" s="42"/>
      <c r="M470" s="42"/>
      <c r="P470" s="42"/>
    </row>
    <row r="471">
      <c r="A471" s="42"/>
      <c r="B471" s="42"/>
      <c r="C471" s="42"/>
      <c r="D471" s="42"/>
      <c r="I471" s="42"/>
      <c r="J471" s="42"/>
      <c r="K471" s="42"/>
      <c r="L471" s="42"/>
      <c r="M471" s="42"/>
      <c r="P471" s="42"/>
    </row>
    <row r="472">
      <c r="A472" s="42"/>
      <c r="B472" s="42"/>
      <c r="C472" s="42"/>
      <c r="D472" s="42"/>
      <c r="I472" s="42"/>
      <c r="J472" s="42"/>
      <c r="K472" s="42"/>
      <c r="L472" s="42"/>
      <c r="M472" s="42"/>
      <c r="P472" s="42"/>
    </row>
    <row r="473">
      <c r="A473" s="42"/>
      <c r="B473" s="42"/>
      <c r="C473" s="42"/>
      <c r="D473" s="42"/>
      <c r="I473" s="42"/>
      <c r="J473" s="42"/>
      <c r="K473" s="42"/>
      <c r="L473" s="42"/>
      <c r="M473" s="42"/>
      <c r="P473" s="42"/>
    </row>
    <row r="474">
      <c r="A474" s="42"/>
      <c r="B474" s="42"/>
      <c r="C474" s="42"/>
      <c r="D474" s="42"/>
      <c r="I474" s="42"/>
      <c r="J474" s="42"/>
      <c r="K474" s="42"/>
      <c r="L474" s="42"/>
      <c r="M474" s="42"/>
      <c r="P474" s="42"/>
    </row>
    <row r="475">
      <c r="A475" s="42"/>
      <c r="B475" s="42"/>
      <c r="C475" s="42"/>
      <c r="D475" s="42"/>
      <c r="I475" s="42"/>
      <c r="J475" s="42"/>
      <c r="K475" s="42"/>
      <c r="L475" s="42"/>
      <c r="M475" s="42"/>
      <c r="P475" s="42"/>
    </row>
    <row r="476">
      <c r="A476" s="42"/>
      <c r="B476" s="42"/>
      <c r="C476" s="42"/>
      <c r="D476" s="42"/>
      <c r="I476" s="42"/>
      <c r="J476" s="42"/>
      <c r="K476" s="42"/>
      <c r="L476" s="42"/>
      <c r="M476" s="42"/>
      <c r="P476" s="42"/>
    </row>
    <row r="477">
      <c r="A477" s="42"/>
      <c r="B477" s="42"/>
      <c r="C477" s="42"/>
      <c r="D477" s="42"/>
      <c r="I477" s="42"/>
      <c r="J477" s="42"/>
      <c r="K477" s="42"/>
      <c r="L477" s="42"/>
      <c r="M477" s="42"/>
      <c r="P477" s="42"/>
    </row>
    <row r="478">
      <c r="A478" s="42"/>
      <c r="B478" s="42"/>
      <c r="C478" s="42"/>
      <c r="D478" s="42"/>
      <c r="I478" s="42"/>
      <c r="J478" s="42"/>
      <c r="K478" s="42"/>
      <c r="L478" s="42"/>
      <c r="M478" s="42"/>
      <c r="P478" s="42"/>
    </row>
    <row r="479">
      <c r="A479" s="42"/>
      <c r="B479" s="42"/>
      <c r="C479" s="42"/>
      <c r="D479" s="42"/>
      <c r="I479" s="42"/>
      <c r="J479" s="42"/>
      <c r="K479" s="42"/>
      <c r="L479" s="42"/>
      <c r="M479" s="42"/>
      <c r="P479" s="42"/>
    </row>
    <row r="480">
      <c r="A480" s="42"/>
      <c r="B480" s="42"/>
      <c r="C480" s="42"/>
      <c r="D480" s="42"/>
      <c r="I480" s="42"/>
      <c r="J480" s="42"/>
      <c r="K480" s="42"/>
      <c r="L480" s="42"/>
      <c r="M480" s="42"/>
      <c r="P480" s="42"/>
    </row>
    <row r="481">
      <c r="A481" s="42"/>
      <c r="B481" s="42"/>
      <c r="C481" s="42"/>
      <c r="D481" s="42"/>
      <c r="I481" s="42"/>
      <c r="J481" s="42"/>
      <c r="K481" s="42"/>
      <c r="L481" s="42"/>
      <c r="M481" s="42"/>
      <c r="P481" s="42"/>
    </row>
    <row r="482">
      <c r="A482" s="42"/>
      <c r="B482" s="42"/>
      <c r="C482" s="42"/>
      <c r="D482" s="42"/>
      <c r="I482" s="42"/>
      <c r="J482" s="42"/>
      <c r="K482" s="42"/>
      <c r="L482" s="42"/>
      <c r="M482" s="42"/>
      <c r="P482" s="42"/>
    </row>
    <row r="483">
      <c r="A483" s="42"/>
      <c r="B483" s="42"/>
      <c r="C483" s="42"/>
      <c r="D483" s="42"/>
      <c r="I483" s="42"/>
      <c r="J483" s="42"/>
      <c r="K483" s="42"/>
      <c r="L483" s="42"/>
      <c r="M483" s="42"/>
      <c r="P483" s="42"/>
    </row>
    <row r="484">
      <c r="A484" s="42"/>
      <c r="B484" s="42"/>
      <c r="C484" s="42"/>
      <c r="D484" s="42"/>
      <c r="I484" s="42"/>
      <c r="J484" s="42"/>
      <c r="K484" s="42"/>
      <c r="L484" s="42"/>
      <c r="M484" s="42"/>
      <c r="P484" s="42"/>
    </row>
    <row r="485">
      <c r="A485" s="42"/>
      <c r="B485" s="42"/>
      <c r="C485" s="42"/>
      <c r="D485" s="42"/>
      <c r="I485" s="42"/>
      <c r="J485" s="42"/>
      <c r="K485" s="42"/>
      <c r="L485" s="42"/>
      <c r="M485" s="42"/>
      <c r="P485" s="42"/>
    </row>
    <row r="486">
      <c r="A486" s="42"/>
      <c r="B486" s="42"/>
      <c r="C486" s="42"/>
      <c r="D486" s="42"/>
      <c r="I486" s="42"/>
      <c r="J486" s="42"/>
      <c r="K486" s="42"/>
      <c r="L486" s="42"/>
      <c r="M486" s="42"/>
      <c r="P486" s="42"/>
    </row>
    <row r="487">
      <c r="A487" s="42"/>
      <c r="B487" s="42"/>
      <c r="C487" s="42"/>
      <c r="D487" s="42"/>
      <c r="I487" s="42"/>
      <c r="J487" s="42"/>
      <c r="K487" s="42"/>
      <c r="L487" s="42"/>
      <c r="M487" s="42"/>
      <c r="P487" s="42"/>
    </row>
    <row r="488">
      <c r="A488" s="42"/>
      <c r="B488" s="42"/>
      <c r="C488" s="42"/>
      <c r="D488" s="42"/>
      <c r="I488" s="42"/>
      <c r="J488" s="42"/>
      <c r="K488" s="42"/>
      <c r="L488" s="42"/>
      <c r="M488" s="42"/>
      <c r="P488" s="42"/>
    </row>
    <row r="489">
      <c r="A489" s="42"/>
      <c r="B489" s="42"/>
      <c r="C489" s="42"/>
      <c r="D489" s="42"/>
      <c r="I489" s="42"/>
      <c r="J489" s="42"/>
      <c r="K489" s="42"/>
      <c r="L489" s="42"/>
      <c r="M489" s="42"/>
      <c r="P489" s="42"/>
    </row>
    <row r="490">
      <c r="A490" s="42"/>
      <c r="B490" s="42"/>
      <c r="C490" s="42"/>
      <c r="D490" s="42"/>
      <c r="I490" s="42"/>
      <c r="J490" s="42"/>
      <c r="K490" s="42"/>
      <c r="L490" s="42"/>
      <c r="M490" s="42"/>
      <c r="P490" s="42"/>
    </row>
    <row r="491">
      <c r="A491" s="42"/>
      <c r="B491" s="42"/>
      <c r="C491" s="42"/>
      <c r="D491" s="42"/>
      <c r="I491" s="42"/>
      <c r="J491" s="42"/>
      <c r="K491" s="42"/>
      <c r="L491" s="42"/>
      <c r="M491" s="42"/>
      <c r="P491" s="42"/>
    </row>
    <row r="492">
      <c r="A492" s="42"/>
      <c r="B492" s="42"/>
      <c r="C492" s="42"/>
      <c r="D492" s="42"/>
      <c r="I492" s="42"/>
      <c r="J492" s="42"/>
      <c r="K492" s="42"/>
      <c r="L492" s="42"/>
      <c r="M492" s="42"/>
      <c r="P492" s="42"/>
    </row>
    <row r="493">
      <c r="A493" s="42"/>
      <c r="B493" s="42"/>
      <c r="C493" s="42"/>
      <c r="D493" s="42"/>
      <c r="I493" s="42"/>
      <c r="J493" s="42"/>
      <c r="K493" s="42"/>
      <c r="L493" s="42"/>
      <c r="M493" s="42"/>
      <c r="P493" s="42"/>
    </row>
    <row r="494">
      <c r="A494" s="42"/>
      <c r="B494" s="42"/>
      <c r="C494" s="42"/>
      <c r="D494" s="42"/>
      <c r="I494" s="42"/>
      <c r="J494" s="42"/>
      <c r="K494" s="42"/>
      <c r="L494" s="42"/>
      <c r="M494" s="42"/>
      <c r="P494" s="42"/>
    </row>
    <row r="495">
      <c r="A495" s="42"/>
      <c r="B495" s="42"/>
      <c r="C495" s="42"/>
      <c r="D495" s="42"/>
      <c r="I495" s="42"/>
      <c r="J495" s="42"/>
      <c r="K495" s="42"/>
      <c r="L495" s="42"/>
      <c r="M495" s="42"/>
      <c r="P495" s="42"/>
    </row>
    <row r="496">
      <c r="A496" s="42"/>
      <c r="B496" s="42"/>
      <c r="C496" s="42"/>
      <c r="D496" s="42"/>
      <c r="I496" s="42"/>
      <c r="J496" s="42"/>
      <c r="K496" s="42"/>
      <c r="L496" s="42"/>
      <c r="M496" s="42"/>
      <c r="P496" s="42"/>
    </row>
    <row r="497">
      <c r="A497" s="42"/>
      <c r="B497" s="42"/>
      <c r="C497" s="42"/>
      <c r="D497" s="42"/>
      <c r="I497" s="42"/>
      <c r="J497" s="42"/>
      <c r="K497" s="42"/>
      <c r="L497" s="42"/>
      <c r="M497" s="42"/>
      <c r="P497" s="42"/>
    </row>
    <row r="498">
      <c r="A498" s="42"/>
      <c r="B498" s="42"/>
      <c r="C498" s="42"/>
      <c r="D498" s="42"/>
      <c r="I498" s="42"/>
      <c r="J498" s="42"/>
      <c r="K498" s="42"/>
      <c r="L498" s="42"/>
      <c r="M498" s="42"/>
      <c r="P498" s="42"/>
    </row>
    <row r="499">
      <c r="A499" s="42"/>
      <c r="B499" s="42"/>
      <c r="C499" s="42"/>
      <c r="D499" s="42"/>
      <c r="I499" s="42"/>
      <c r="J499" s="42"/>
      <c r="K499" s="42"/>
      <c r="L499" s="42"/>
      <c r="M499" s="42"/>
      <c r="P499" s="42"/>
    </row>
    <row r="500">
      <c r="A500" s="42"/>
      <c r="B500" s="42"/>
      <c r="C500" s="42"/>
      <c r="D500" s="42"/>
      <c r="I500" s="42"/>
      <c r="J500" s="42"/>
      <c r="K500" s="42"/>
      <c r="L500" s="42"/>
      <c r="M500" s="42"/>
      <c r="P500" s="42"/>
    </row>
    <row r="501">
      <c r="A501" s="42"/>
      <c r="B501" s="42"/>
      <c r="C501" s="42"/>
      <c r="D501" s="42"/>
      <c r="I501" s="42"/>
      <c r="J501" s="42"/>
      <c r="K501" s="42"/>
      <c r="L501" s="42"/>
      <c r="M501" s="42"/>
      <c r="P501" s="42"/>
    </row>
    <row r="502">
      <c r="A502" s="42"/>
      <c r="B502" s="42"/>
      <c r="C502" s="42"/>
      <c r="D502" s="42"/>
      <c r="I502" s="42"/>
      <c r="J502" s="42"/>
      <c r="K502" s="42"/>
      <c r="L502" s="42"/>
      <c r="M502" s="42"/>
      <c r="P502" s="42"/>
    </row>
    <row r="503">
      <c r="A503" s="42"/>
      <c r="B503" s="42"/>
      <c r="C503" s="42"/>
      <c r="D503" s="42"/>
      <c r="I503" s="42"/>
      <c r="J503" s="42"/>
      <c r="K503" s="42"/>
      <c r="L503" s="42"/>
      <c r="M503" s="42"/>
      <c r="P503" s="42"/>
    </row>
    <row r="504">
      <c r="A504" s="42"/>
      <c r="B504" s="42"/>
      <c r="C504" s="42"/>
      <c r="D504" s="42"/>
      <c r="I504" s="42"/>
      <c r="J504" s="42"/>
      <c r="K504" s="42"/>
      <c r="L504" s="42"/>
      <c r="M504" s="42"/>
      <c r="P504" s="42"/>
    </row>
    <row r="505">
      <c r="A505" s="42"/>
      <c r="B505" s="42"/>
      <c r="C505" s="42"/>
      <c r="D505" s="42"/>
      <c r="I505" s="42"/>
      <c r="J505" s="42"/>
      <c r="K505" s="42"/>
      <c r="L505" s="42"/>
      <c r="M505" s="42"/>
      <c r="P505" s="42"/>
    </row>
    <row r="506">
      <c r="A506" s="42"/>
      <c r="B506" s="42"/>
      <c r="C506" s="42"/>
      <c r="D506" s="42"/>
      <c r="I506" s="42"/>
      <c r="J506" s="42"/>
      <c r="K506" s="42"/>
      <c r="L506" s="42"/>
      <c r="M506" s="42"/>
      <c r="P506" s="42"/>
    </row>
    <row r="507">
      <c r="A507" s="42"/>
      <c r="B507" s="42"/>
      <c r="C507" s="42"/>
      <c r="D507" s="42"/>
      <c r="I507" s="42"/>
      <c r="J507" s="42"/>
      <c r="K507" s="42"/>
      <c r="L507" s="42"/>
      <c r="M507" s="42"/>
      <c r="P507" s="42"/>
    </row>
    <row r="508">
      <c r="A508" s="42"/>
      <c r="B508" s="42"/>
      <c r="C508" s="42"/>
      <c r="D508" s="42"/>
      <c r="I508" s="42"/>
      <c r="J508" s="42"/>
      <c r="K508" s="42"/>
      <c r="L508" s="42"/>
      <c r="M508" s="42"/>
      <c r="P508" s="42"/>
    </row>
    <row r="509">
      <c r="A509" s="42"/>
      <c r="B509" s="42"/>
      <c r="C509" s="42"/>
      <c r="D509" s="42"/>
      <c r="I509" s="42"/>
      <c r="J509" s="42"/>
      <c r="K509" s="42"/>
      <c r="L509" s="42"/>
      <c r="M509" s="42"/>
      <c r="P509" s="42"/>
    </row>
    <row r="510">
      <c r="A510" s="42"/>
      <c r="B510" s="42"/>
      <c r="C510" s="42"/>
      <c r="D510" s="42"/>
      <c r="I510" s="42"/>
      <c r="J510" s="42"/>
      <c r="K510" s="42"/>
      <c r="L510" s="42"/>
      <c r="M510" s="42"/>
      <c r="P510" s="42"/>
    </row>
    <row r="511">
      <c r="A511" s="42"/>
      <c r="B511" s="42"/>
      <c r="C511" s="42"/>
      <c r="D511" s="42"/>
      <c r="I511" s="42"/>
      <c r="J511" s="42"/>
      <c r="K511" s="42"/>
      <c r="L511" s="42"/>
      <c r="M511" s="42"/>
      <c r="P511" s="42"/>
    </row>
    <row r="512">
      <c r="A512" s="42"/>
      <c r="B512" s="42"/>
      <c r="C512" s="42"/>
      <c r="D512" s="42"/>
      <c r="I512" s="42"/>
      <c r="J512" s="42"/>
      <c r="K512" s="42"/>
      <c r="L512" s="42"/>
      <c r="M512" s="42"/>
      <c r="P512" s="42"/>
    </row>
    <row r="513">
      <c r="A513" s="42"/>
      <c r="B513" s="42"/>
      <c r="C513" s="42"/>
      <c r="D513" s="42"/>
      <c r="I513" s="42"/>
      <c r="J513" s="42"/>
      <c r="K513" s="42"/>
      <c r="L513" s="42"/>
      <c r="M513" s="42"/>
      <c r="P513" s="42"/>
    </row>
    <row r="514">
      <c r="A514" s="42"/>
      <c r="B514" s="42"/>
      <c r="C514" s="42"/>
      <c r="D514" s="42"/>
      <c r="I514" s="42"/>
      <c r="J514" s="42"/>
      <c r="K514" s="42"/>
      <c r="L514" s="42"/>
      <c r="M514" s="42"/>
      <c r="P514" s="42"/>
    </row>
    <row r="515">
      <c r="A515" s="42"/>
      <c r="B515" s="42"/>
      <c r="C515" s="42"/>
      <c r="D515" s="42"/>
      <c r="I515" s="42"/>
      <c r="J515" s="42"/>
      <c r="K515" s="42"/>
      <c r="L515" s="42"/>
      <c r="M515" s="42"/>
      <c r="P515" s="42"/>
    </row>
    <row r="516">
      <c r="A516" s="42"/>
      <c r="B516" s="42"/>
      <c r="C516" s="42"/>
      <c r="D516" s="42"/>
      <c r="I516" s="42"/>
      <c r="J516" s="42"/>
      <c r="K516" s="42"/>
      <c r="L516" s="42"/>
      <c r="M516" s="42"/>
      <c r="P516" s="42"/>
    </row>
    <row r="517">
      <c r="A517" s="42"/>
      <c r="B517" s="42"/>
      <c r="C517" s="42"/>
      <c r="D517" s="42"/>
      <c r="I517" s="42"/>
      <c r="J517" s="42"/>
      <c r="K517" s="42"/>
      <c r="L517" s="42"/>
      <c r="M517" s="42"/>
      <c r="P517" s="42"/>
    </row>
    <row r="518">
      <c r="A518" s="42"/>
      <c r="B518" s="42"/>
      <c r="C518" s="42"/>
      <c r="D518" s="42"/>
      <c r="I518" s="42"/>
      <c r="J518" s="42"/>
      <c r="K518" s="42"/>
      <c r="L518" s="42"/>
      <c r="M518" s="42"/>
      <c r="P518" s="42"/>
    </row>
    <row r="519">
      <c r="A519" s="42"/>
      <c r="B519" s="42"/>
      <c r="C519" s="42"/>
      <c r="D519" s="42"/>
      <c r="I519" s="42"/>
      <c r="J519" s="42"/>
      <c r="K519" s="42"/>
      <c r="L519" s="42"/>
      <c r="M519" s="42"/>
      <c r="P519" s="42"/>
    </row>
    <row r="520">
      <c r="A520" s="42"/>
      <c r="B520" s="42"/>
      <c r="C520" s="42"/>
      <c r="D520" s="42"/>
      <c r="I520" s="42"/>
      <c r="J520" s="42"/>
      <c r="K520" s="42"/>
      <c r="L520" s="42"/>
      <c r="M520" s="42"/>
      <c r="P520" s="42"/>
    </row>
    <row r="521">
      <c r="A521" s="42"/>
      <c r="B521" s="42"/>
      <c r="C521" s="42"/>
      <c r="D521" s="42"/>
      <c r="I521" s="42"/>
      <c r="J521" s="42"/>
      <c r="K521" s="42"/>
      <c r="L521" s="42"/>
      <c r="M521" s="42"/>
      <c r="P521" s="42"/>
    </row>
    <row r="522">
      <c r="A522" s="42"/>
      <c r="B522" s="42"/>
      <c r="C522" s="42"/>
      <c r="D522" s="42"/>
      <c r="I522" s="42"/>
      <c r="J522" s="42"/>
      <c r="K522" s="42"/>
      <c r="L522" s="42"/>
      <c r="M522" s="42"/>
      <c r="P522" s="42"/>
    </row>
    <row r="523">
      <c r="A523" s="42"/>
      <c r="B523" s="42"/>
      <c r="C523" s="42"/>
      <c r="D523" s="42"/>
      <c r="I523" s="42"/>
      <c r="J523" s="42"/>
      <c r="K523" s="42"/>
      <c r="L523" s="42"/>
      <c r="M523" s="42"/>
      <c r="P523" s="42"/>
    </row>
    <row r="524">
      <c r="A524" s="42"/>
      <c r="B524" s="42"/>
      <c r="C524" s="42"/>
      <c r="D524" s="42"/>
      <c r="I524" s="42"/>
      <c r="J524" s="42"/>
      <c r="K524" s="42"/>
      <c r="L524" s="42"/>
      <c r="M524" s="42"/>
      <c r="P524" s="42"/>
    </row>
    <row r="525">
      <c r="A525" s="42"/>
      <c r="B525" s="42"/>
      <c r="C525" s="42"/>
      <c r="D525" s="42"/>
      <c r="I525" s="42"/>
      <c r="J525" s="42"/>
      <c r="K525" s="42"/>
      <c r="L525" s="42"/>
      <c r="M525" s="42"/>
      <c r="P525" s="42"/>
    </row>
    <row r="526">
      <c r="A526" s="42"/>
      <c r="B526" s="42"/>
      <c r="C526" s="42"/>
      <c r="D526" s="42"/>
      <c r="I526" s="42"/>
      <c r="J526" s="42"/>
      <c r="K526" s="42"/>
      <c r="L526" s="42"/>
      <c r="M526" s="42"/>
      <c r="P526" s="42"/>
    </row>
    <row r="527">
      <c r="A527" s="42"/>
      <c r="B527" s="42"/>
      <c r="C527" s="42"/>
      <c r="D527" s="42"/>
      <c r="I527" s="42"/>
      <c r="J527" s="42"/>
      <c r="K527" s="42"/>
      <c r="L527" s="42"/>
      <c r="M527" s="42"/>
      <c r="P527" s="42"/>
    </row>
    <row r="528">
      <c r="A528" s="42"/>
      <c r="B528" s="42"/>
      <c r="C528" s="42"/>
      <c r="D528" s="42"/>
      <c r="I528" s="42"/>
      <c r="J528" s="42"/>
      <c r="K528" s="42"/>
      <c r="L528" s="42"/>
      <c r="M528" s="42"/>
      <c r="P528" s="42"/>
    </row>
    <row r="529">
      <c r="A529" s="42"/>
      <c r="B529" s="42"/>
      <c r="C529" s="42"/>
      <c r="D529" s="42"/>
      <c r="I529" s="42"/>
      <c r="J529" s="42"/>
      <c r="K529" s="42"/>
      <c r="L529" s="42"/>
      <c r="M529" s="42"/>
      <c r="P529" s="42"/>
    </row>
    <row r="530">
      <c r="A530" s="42"/>
      <c r="B530" s="42"/>
      <c r="C530" s="42"/>
      <c r="D530" s="42"/>
      <c r="I530" s="42"/>
      <c r="J530" s="42"/>
      <c r="K530" s="42"/>
      <c r="L530" s="42"/>
      <c r="M530" s="42"/>
      <c r="P530" s="42"/>
    </row>
    <row r="531">
      <c r="A531" s="42"/>
      <c r="B531" s="42"/>
      <c r="C531" s="42"/>
      <c r="D531" s="42"/>
      <c r="I531" s="42"/>
      <c r="J531" s="42"/>
      <c r="K531" s="42"/>
      <c r="L531" s="42"/>
      <c r="M531" s="42"/>
      <c r="P531" s="42"/>
    </row>
    <row r="532">
      <c r="A532" s="42"/>
      <c r="B532" s="42"/>
      <c r="C532" s="42"/>
      <c r="D532" s="42"/>
      <c r="I532" s="42"/>
      <c r="J532" s="42"/>
      <c r="K532" s="42"/>
      <c r="L532" s="42"/>
      <c r="M532" s="42"/>
      <c r="P532" s="42"/>
    </row>
    <row r="533">
      <c r="A533" s="42"/>
      <c r="B533" s="42"/>
      <c r="C533" s="42"/>
      <c r="D533" s="42"/>
      <c r="I533" s="42"/>
      <c r="J533" s="42"/>
      <c r="K533" s="42"/>
      <c r="L533" s="42"/>
      <c r="M533" s="42"/>
      <c r="P533" s="42"/>
    </row>
    <row r="534">
      <c r="A534" s="42"/>
      <c r="B534" s="42"/>
      <c r="C534" s="42"/>
      <c r="D534" s="42"/>
      <c r="I534" s="42"/>
      <c r="J534" s="42"/>
      <c r="K534" s="42"/>
      <c r="L534" s="42"/>
      <c r="M534" s="42"/>
      <c r="P534" s="42"/>
    </row>
    <row r="535">
      <c r="A535" s="42"/>
      <c r="B535" s="42"/>
      <c r="C535" s="42"/>
      <c r="D535" s="42"/>
      <c r="I535" s="42"/>
      <c r="J535" s="42"/>
      <c r="K535" s="42"/>
      <c r="L535" s="42"/>
      <c r="M535" s="42"/>
      <c r="P535" s="42"/>
    </row>
    <row r="536">
      <c r="A536" s="42"/>
      <c r="B536" s="42"/>
      <c r="C536" s="42"/>
      <c r="D536" s="42"/>
      <c r="I536" s="42"/>
      <c r="J536" s="42"/>
      <c r="K536" s="42"/>
      <c r="L536" s="42"/>
      <c r="M536" s="42"/>
      <c r="P536" s="42"/>
    </row>
    <row r="537">
      <c r="A537" s="42"/>
      <c r="B537" s="42"/>
      <c r="C537" s="42"/>
      <c r="D537" s="42"/>
      <c r="I537" s="42"/>
      <c r="J537" s="42"/>
      <c r="K537" s="42"/>
      <c r="L537" s="42"/>
      <c r="M537" s="42"/>
      <c r="P537" s="42"/>
    </row>
    <row r="538">
      <c r="A538" s="42"/>
      <c r="B538" s="42"/>
      <c r="C538" s="42"/>
      <c r="D538" s="42"/>
      <c r="I538" s="42"/>
      <c r="J538" s="42"/>
      <c r="K538" s="42"/>
      <c r="L538" s="42"/>
      <c r="M538" s="42"/>
      <c r="P538" s="42"/>
    </row>
    <row r="539">
      <c r="A539" s="42"/>
      <c r="B539" s="42"/>
      <c r="C539" s="42"/>
      <c r="D539" s="42"/>
      <c r="I539" s="42"/>
      <c r="J539" s="42"/>
      <c r="K539" s="42"/>
      <c r="L539" s="42"/>
      <c r="M539" s="42"/>
      <c r="P539" s="42"/>
    </row>
    <row r="540">
      <c r="A540" s="42"/>
      <c r="B540" s="42"/>
      <c r="C540" s="42"/>
      <c r="D540" s="42"/>
      <c r="I540" s="42"/>
      <c r="J540" s="42"/>
      <c r="K540" s="42"/>
      <c r="L540" s="42"/>
      <c r="M540" s="42"/>
      <c r="P540" s="42"/>
    </row>
    <row r="541">
      <c r="A541" s="42"/>
      <c r="B541" s="42"/>
      <c r="C541" s="42"/>
      <c r="D541" s="42"/>
      <c r="I541" s="42"/>
      <c r="J541" s="42"/>
      <c r="K541" s="42"/>
      <c r="L541" s="42"/>
      <c r="M541" s="42"/>
      <c r="P541" s="42"/>
    </row>
    <row r="542">
      <c r="A542" s="42"/>
      <c r="B542" s="42"/>
      <c r="C542" s="42"/>
      <c r="D542" s="42"/>
      <c r="I542" s="42"/>
      <c r="J542" s="42"/>
      <c r="K542" s="42"/>
      <c r="L542" s="42"/>
      <c r="M542" s="42"/>
      <c r="P542" s="42"/>
    </row>
    <row r="543">
      <c r="A543" s="42"/>
      <c r="B543" s="42"/>
      <c r="C543" s="42"/>
      <c r="D543" s="42"/>
      <c r="I543" s="42"/>
      <c r="J543" s="42"/>
      <c r="K543" s="42"/>
      <c r="L543" s="42"/>
      <c r="M543" s="42"/>
      <c r="P543" s="42"/>
    </row>
    <row r="544">
      <c r="A544" s="42"/>
      <c r="B544" s="42"/>
      <c r="C544" s="42"/>
      <c r="D544" s="42"/>
      <c r="I544" s="42"/>
      <c r="J544" s="42"/>
      <c r="K544" s="42"/>
      <c r="L544" s="42"/>
      <c r="M544" s="42"/>
      <c r="P544" s="42"/>
    </row>
    <row r="545">
      <c r="A545" s="42"/>
      <c r="B545" s="42"/>
      <c r="C545" s="42"/>
      <c r="D545" s="42"/>
      <c r="I545" s="42"/>
      <c r="J545" s="42"/>
      <c r="K545" s="42"/>
      <c r="L545" s="42"/>
      <c r="M545" s="42"/>
      <c r="P545" s="42"/>
    </row>
    <row r="546">
      <c r="A546" s="42"/>
      <c r="B546" s="42"/>
      <c r="C546" s="42"/>
      <c r="D546" s="42"/>
      <c r="I546" s="42"/>
      <c r="J546" s="42"/>
      <c r="K546" s="42"/>
      <c r="L546" s="42"/>
      <c r="M546" s="42"/>
      <c r="P546" s="42"/>
    </row>
    <row r="547">
      <c r="A547" s="42"/>
      <c r="B547" s="42"/>
      <c r="C547" s="42"/>
      <c r="D547" s="42"/>
      <c r="I547" s="42"/>
      <c r="J547" s="42"/>
      <c r="K547" s="42"/>
      <c r="L547" s="42"/>
      <c r="M547" s="42"/>
      <c r="P547" s="42"/>
    </row>
    <row r="548">
      <c r="A548" s="42"/>
      <c r="B548" s="42"/>
      <c r="C548" s="42"/>
      <c r="D548" s="42"/>
      <c r="I548" s="42"/>
      <c r="J548" s="42"/>
      <c r="K548" s="42"/>
      <c r="L548" s="42"/>
      <c r="M548" s="42"/>
      <c r="P548" s="42"/>
    </row>
    <row r="549">
      <c r="A549" s="42"/>
      <c r="B549" s="42"/>
      <c r="C549" s="42"/>
      <c r="D549" s="42"/>
      <c r="I549" s="42"/>
      <c r="J549" s="42"/>
      <c r="K549" s="42"/>
      <c r="L549" s="42"/>
      <c r="M549" s="42"/>
      <c r="P549" s="42"/>
    </row>
    <row r="550">
      <c r="A550" s="42"/>
      <c r="B550" s="42"/>
      <c r="C550" s="42"/>
      <c r="D550" s="42"/>
      <c r="I550" s="42"/>
      <c r="J550" s="42"/>
      <c r="K550" s="42"/>
      <c r="L550" s="42"/>
      <c r="M550" s="42"/>
      <c r="P550" s="42"/>
    </row>
    <row r="551">
      <c r="A551" s="42"/>
      <c r="B551" s="42"/>
      <c r="C551" s="42"/>
      <c r="D551" s="42"/>
      <c r="I551" s="42"/>
      <c r="J551" s="42"/>
      <c r="K551" s="42"/>
      <c r="L551" s="42"/>
      <c r="M551" s="42"/>
      <c r="P551" s="42"/>
    </row>
    <row r="552">
      <c r="A552" s="42"/>
      <c r="B552" s="42"/>
      <c r="C552" s="42"/>
      <c r="D552" s="42"/>
      <c r="I552" s="42"/>
      <c r="J552" s="42"/>
      <c r="K552" s="42"/>
      <c r="L552" s="42"/>
      <c r="M552" s="42"/>
      <c r="P552" s="42"/>
    </row>
    <row r="553">
      <c r="A553" s="42"/>
      <c r="B553" s="42"/>
      <c r="C553" s="42"/>
      <c r="D553" s="42"/>
      <c r="I553" s="42"/>
      <c r="J553" s="42"/>
      <c r="K553" s="42"/>
      <c r="L553" s="42"/>
      <c r="M553" s="42"/>
      <c r="P553" s="42"/>
    </row>
    <row r="554">
      <c r="A554" s="42"/>
      <c r="B554" s="42"/>
      <c r="C554" s="42"/>
      <c r="D554" s="42"/>
      <c r="I554" s="42"/>
      <c r="J554" s="42"/>
      <c r="K554" s="42"/>
      <c r="L554" s="42"/>
      <c r="M554" s="42"/>
      <c r="P554" s="42"/>
    </row>
    <row r="555">
      <c r="A555" s="42"/>
      <c r="B555" s="42"/>
      <c r="C555" s="42"/>
      <c r="D555" s="42"/>
      <c r="I555" s="42"/>
      <c r="J555" s="42"/>
      <c r="K555" s="42"/>
      <c r="L555" s="42"/>
      <c r="M555" s="42"/>
      <c r="P555" s="42"/>
    </row>
    <row r="556">
      <c r="A556" s="42"/>
      <c r="B556" s="42"/>
      <c r="C556" s="42"/>
      <c r="D556" s="42"/>
      <c r="I556" s="42"/>
      <c r="J556" s="42"/>
      <c r="K556" s="42"/>
      <c r="L556" s="42"/>
      <c r="M556" s="42"/>
      <c r="P556" s="42"/>
    </row>
    <row r="557">
      <c r="A557" s="42"/>
      <c r="B557" s="42"/>
      <c r="C557" s="42"/>
      <c r="D557" s="42"/>
      <c r="I557" s="42"/>
      <c r="J557" s="42"/>
      <c r="K557" s="42"/>
      <c r="L557" s="42"/>
      <c r="M557" s="42"/>
      <c r="P557" s="42"/>
    </row>
    <row r="558">
      <c r="A558" s="42"/>
      <c r="B558" s="42"/>
      <c r="C558" s="42"/>
      <c r="D558" s="42"/>
      <c r="I558" s="42"/>
      <c r="J558" s="42"/>
      <c r="K558" s="42"/>
      <c r="L558" s="42"/>
      <c r="M558" s="42"/>
      <c r="P558" s="42"/>
    </row>
    <row r="559">
      <c r="A559" s="42"/>
      <c r="B559" s="42"/>
      <c r="C559" s="42"/>
      <c r="D559" s="42"/>
      <c r="I559" s="42"/>
      <c r="J559" s="42"/>
      <c r="K559" s="42"/>
      <c r="L559" s="42"/>
      <c r="M559" s="42"/>
      <c r="P559" s="42"/>
    </row>
    <row r="560">
      <c r="A560" s="42"/>
      <c r="B560" s="42"/>
      <c r="C560" s="42"/>
      <c r="D560" s="42"/>
      <c r="I560" s="42"/>
      <c r="J560" s="42"/>
      <c r="K560" s="42"/>
      <c r="L560" s="42"/>
      <c r="M560" s="42"/>
      <c r="P560" s="42"/>
    </row>
    <row r="561">
      <c r="A561" s="42"/>
      <c r="B561" s="42"/>
      <c r="C561" s="42"/>
      <c r="D561" s="42"/>
      <c r="I561" s="42"/>
      <c r="J561" s="42"/>
      <c r="K561" s="42"/>
      <c r="L561" s="42"/>
      <c r="M561" s="42"/>
      <c r="P561" s="42"/>
    </row>
    <row r="562">
      <c r="A562" s="42"/>
      <c r="B562" s="42"/>
      <c r="C562" s="42"/>
      <c r="D562" s="42"/>
      <c r="I562" s="42"/>
      <c r="J562" s="42"/>
      <c r="K562" s="42"/>
      <c r="L562" s="42"/>
      <c r="M562" s="42"/>
      <c r="P562" s="42"/>
    </row>
    <row r="563">
      <c r="A563" s="42"/>
      <c r="B563" s="42"/>
      <c r="C563" s="42"/>
      <c r="D563" s="42"/>
      <c r="I563" s="42"/>
      <c r="J563" s="42"/>
      <c r="K563" s="42"/>
      <c r="L563" s="42"/>
      <c r="M563" s="42"/>
      <c r="P563" s="42"/>
    </row>
    <row r="564">
      <c r="A564" s="42"/>
      <c r="B564" s="42"/>
      <c r="C564" s="42"/>
      <c r="D564" s="42"/>
      <c r="I564" s="42"/>
      <c r="J564" s="42"/>
      <c r="K564" s="42"/>
      <c r="L564" s="42"/>
      <c r="M564" s="42"/>
      <c r="P564" s="42"/>
    </row>
    <row r="565">
      <c r="A565" s="42"/>
      <c r="B565" s="42"/>
      <c r="C565" s="42"/>
      <c r="D565" s="42"/>
      <c r="I565" s="42"/>
      <c r="J565" s="42"/>
      <c r="K565" s="42"/>
      <c r="L565" s="42"/>
      <c r="M565" s="42"/>
      <c r="P565" s="42"/>
    </row>
    <row r="566">
      <c r="A566" s="42"/>
      <c r="B566" s="42"/>
      <c r="C566" s="42"/>
      <c r="D566" s="42"/>
      <c r="I566" s="42"/>
      <c r="J566" s="42"/>
      <c r="K566" s="42"/>
      <c r="L566" s="42"/>
      <c r="M566" s="42"/>
      <c r="P566" s="42"/>
    </row>
    <row r="567">
      <c r="A567" s="42"/>
      <c r="B567" s="42"/>
      <c r="C567" s="42"/>
      <c r="D567" s="42"/>
      <c r="I567" s="42"/>
      <c r="J567" s="42"/>
      <c r="K567" s="42"/>
      <c r="L567" s="42"/>
      <c r="M567" s="42"/>
      <c r="P567" s="42"/>
    </row>
    <row r="568">
      <c r="A568" s="42"/>
      <c r="B568" s="42"/>
      <c r="C568" s="42"/>
      <c r="D568" s="42"/>
      <c r="I568" s="42"/>
      <c r="J568" s="42"/>
      <c r="K568" s="42"/>
      <c r="L568" s="42"/>
      <c r="M568" s="42"/>
      <c r="P568" s="42"/>
    </row>
    <row r="569">
      <c r="A569" s="42"/>
      <c r="B569" s="42"/>
      <c r="C569" s="42"/>
      <c r="D569" s="42"/>
      <c r="I569" s="42"/>
      <c r="J569" s="42"/>
      <c r="K569" s="42"/>
      <c r="L569" s="42"/>
      <c r="M569" s="42"/>
      <c r="P569" s="42"/>
    </row>
    <row r="570">
      <c r="A570" s="42"/>
      <c r="B570" s="42"/>
      <c r="C570" s="42"/>
      <c r="D570" s="42"/>
      <c r="I570" s="42"/>
      <c r="J570" s="42"/>
      <c r="K570" s="42"/>
      <c r="L570" s="42"/>
      <c r="M570" s="42"/>
      <c r="P570" s="42"/>
    </row>
    <row r="571">
      <c r="A571" s="42"/>
      <c r="B571" s="42"/>
      <c r="C571" s="42"/>
      <c r="D571" s="42"/>
      <c r="I571" s="42"/>
      <c r="J571" s="42"/>
      <c r="K571" s="42"/>
      <c r="L571" s="42"/>
      <c r="M571" s="42"/>
      <c r="P571" s="42"/>
    </row>
    <row r="572">
      <c r="A572" s="42"/>
      <c r="B572" s="42"/>
      <c r="C572" s="42"/>
      <c r="D572" s="42"/>
      <c r="I572" s="42"/>
      <c r="J572" s="42"/>
      <c r="K572" s="42"/>
      <c r="L572" s="42"/>
      <c r="M572" s="42"/>
      <c r="P572" s="42"/>
    </row>
    <row r="573">
      <c r="A573" s="42"/>
      <c r="B573" s="42"/>
      <c r="C573" s="42"/>
      <c r="D573" s="42"/>
      <c r="I573" s="42"/>
      <c r="J573" s="42"/>
      <c r="K573" s="42"/>
      <c r="L573" s="42"/>
      <c r="M573" s="42"/>
      <c r="P573" s="42"/>
    </row>
    <row r="574">
      <c r="A574" s="42"/>
      <c r="B574" s="42"/>
      <c r="C574" s="42"/>
      <c r="D574" s="42"/>
      <c r="I574" s="42"/>
      <c r="J574" s="42"/>
      <c r="K574" s="42"/>
      <c r="L574" s="42"/>
      <c r="M574" s="42"/>
      <c r="P574" s="42"/>
    </row>
    <row r="575">
      <c r="A575" s="42"/>
      <c r="B575" s="42"/>
      <c r="C575" s="42"/>
      <c r="D575" s="42"/>
      <c r="I575" s="42"/>
      <c r="J575" s="42"/>
      <c r="K575" s="42"/>
      <c r="L575" s="42"/>
      <c r="M575" s="42"/>
      <c r="P575" s="42"/>
    </row>
    <row r="576">
      <c r="A576" s="42"/>
      <c r="B576" s="42"/>
      <c r="C576" s="42"/>
      <c r="D576" s="42"/>
      <c r="I576" s="42"/>
      <c r="J576" s="42"/>
      <c r="K576" s="42"/>
      <c r="L576" s="42"/>
      <c r="M576" s="42"/>
      <c r="P576" s="42"/>
    </row>
    <row r="577">
      <c r="A577" s="42"/>
      <c r="B577" s="42"/>
      <c r="C577" s="42"/>
      <c r="D577" s="42"/>
      <c r="I577" s="42"/>
      <c r="J577" s="42"/>
      <c r="K577" s="42"/>
      <c r="L577" s="42"/>
      <c r="M577" s="42"/>
      <c r="P577" s="42"/>
    </row>
    <row r="578">
      <c r="A578" s="42"/>
      <c r="B578" s="42"/>
      <c r="C578" s="42"/>
      <c r="D578" s="42"/>
      <c r="I578" s="42"/>
      <c r="J578" s="42"/>
      <c r="K578" s="42"/>
      <c r="L578" s="42"/>
      <c r="M578" s="42"/>
      <c r="P578" s="42"/>
    </row>
    <row r="579">
      <c r="A579" s="42"/>
      <c r="B579" s="42"/>
      <c r="C579" s="42"/>
      <c r="D579" s="42"/>
      <c r="I579" s="42"/>
      <c r="J579" s="42"/>
      <c r="K579" s="42"/>
      <c r="L579" s="42"/>
      <c r="M579" s="42"/>
      <c r="P579" s="42"/>
    </row>
    <row r="580">
      <c r="A580" s="42"/>
      <c r="B580" s="42"/>
      <c r="C580" s="42"/>
      <c r="D580" s="42"/>
      <c r="I580" s="42"/>
      <c r="J580" s="42"/>
      <c r="K580" s="42"/>
      <c r="L580" s="42"/>
      <c r="M580" s="42"/>
      <c r="P580" s="42"/>
    </row>
    <row r="581">
      <c r="A581" s="42"/>
      <c r="B581" s="42"/>
      <c r="C581" s="42"/>
      <c r="D581" s="42"/>
      <c r="I581" s="42"/>
      <c r="J581" s="42"/>
      <c r="K581" s="42"/>
      <c r="L581" s="42"/>
      <c r="M581" s="42"/>
      <c r="P581" s="42"/>
    </row>
    <row r="582">
      <c r="A582" s="42"/>
      <c r="B582" s="42"/>
      <c r="C582" s="42"/>
      <c r="D582" s="42"/>
      <c r="I582" s="42"/>
      <c r="J582" s="42"/>
      <c r="K582" s="42"/>
      <c r="L582" s="42"/>
      <c r="M582" s="42"/>
      <c r="P582" s="42"/>
    </row>
    <row r="583">
      <c r="A583" s="42"/>
      <c r="B583" s="42"/>
      <c r="C583" s="42"/>
      <c r="D583" s="42"/>
      <c r="I583" s="42"/>
      <c r="J583" s="42"/>
      <c r="K583" s="42"/>
      <c r="L583" s="42"/>
      <c r="M583" s="42"/>
      <c r="P583" s="42"/>
    </row>
    <row r="584">
      <c r="A584" s="42"/>
      <c r="B584" s="42"/>
      <c r="C584" s="42"/>
      <c r="D584" s="42"/>
      <c r="I584" s="42"/>
      <c r="J584" s="42"/>
      <c r="K584" s="42"/>
      <c r="L584" s="42"/>
      <c r="M584" s="42"/>
      <c r="P584" s="42"/>
    </row>
    <row r="585">
      <c r="A585" s="42"/>
      <c r="B585" s="42"/>
      <c r="C585" s="42"/>
      <c r="D585" s="42"/>
      <c r="I585" s="42"/>
      <c r="J585" s="42"/>
      <c r="K585" s="42"/>
      <c r="L585" s="42"/>
      <c r="M585" s="42"/>
      <c r="P585" s="42"/>
    </row>
    <row r="586">
      <c r="A586" s="42"/>
      <c r="B586" s="42"/>
      <c r="C586" s="42"/>
      <c r="D586" s="42"/>
      <c r="I586" s="42"/>
      <c r="J586" s="42"/>
      <c r="K586" s="42"/>
      <c r="L586" s="42"/>
      <c r="M586" s="42"/>
      <c r="P586" s="42"/>
    </row>
    <row r="587">
      <c r="A587" s="42"/>
      <c r="B587" s="42"/>
      <c r="C587" s="42"/>
      <c r="D587" s="42"/>
      <c r="I587" s="42"/>
      <c r="J587" s="42"/>
      <c r="K587" s="42"/>
      <c r="L587" s="42"/>
      <c r="M587" s="42"/>
      <c r="P587" s="42"/>
    </row>
    <row r="588">
      <c r="A588" s="42"/>
      <c r="B588" s="42"/>
      <c r="C588" s="42"/>
      <c r="D588" s="42"/>
      <c r="I588" s="42"/>
      <c r="J588" s="42"/>
      <c r="K588" s="42"/>
      <c r="L588" s="42"/>
      <c r="M588" s="42"/>
      <c r="P588" s="42"/>
    </row>
    <row r="589">
      <c r="A589" s="42"/>
      <c r="B589" s="42"/>
      <c r="C589" s="42"/>
      <c r="D589" s="42"/>
      <c r="I589" s="42"/>
      <c r="J589" s="42"/>
      <c r="K589" s="42"/>
      <c r="L589" s="42"/>
      <c r="M589" s="42"/>
      <c r="P589" s="42"/>
    </row>
    <row r="590">
      <c r="A590" s="42"/>
      <c r="B590" s="42"/>
      <c r="C590" s="42"/>
      <c r="D590" s="42"/>
      <c r="I590" s="42"/>
      <c r="J590" s="42"/>
      <c r="K590" s="42"/>
      <c r="L590" s="42"/>
      <c r="M590" s="42"/>
      <c r="P590" s="42"/>
    </row>
    <row r="591">
      <c r="A591" s="42"/>
      <c r="B591" s="42"/>
      <c r="C591" s="42"/>
      <c r="D591" s="42"/>
      <c r="I591" s="42"/>
      <c r="J591" s="42"/>
      <c r="K591" s="42"/>
      <c r="L591" s="42"/>
      <c r="M591" s="42"/>
      <c r="P591" s="42"/>
    </row>
    <row r="592">
      <c r="A592" s="42"/>
      <c r="B592" s="42"/>
      <c r="C592" s="42"/>
      <c r="D592" s="42"/>
      <c r="I592" s="42"/>
      <c r="J592" s="42"/>
      <c r="K592" s="42"/>
      <c r="L592" s="42"/>
      <c r="M592" s="42"/>
      <c r="P592" s="42"/>
    </row>
    <row r="593">
      <c r="A593" s="42"/>
      <c r="B593" s="42"/>
      <c r="C593" s="42"/>
      <c r="D593" s="42"/>
      <c r="I593" s="42"/>
      <c r="J593" s="42"/>
      <c r="K593" s="42"/>
      <c r="L593" s="42"/>
      <c r="M593" s="42"/>
      <c r="P593" s="42"/>
    </row>
    <row r="594">
      <c r="A594" s="42"/>
      <c r="B594" s="42"/>
      <c r="C594" s="42"/>
      <c r="D594" s="42"/>
      <c r="I594" s="42"/>
      <c r="J594" s="42"/>
      <c r="K594" s="42"/>
      <c r="L594" s="42"/>
      <c r="M594" s="42"/>
      <c r="P594" s="42"/>
    </row>
    <row r="595">
      <c r="A595" s="42"/>
      <c r="B595" s="42"/>
      <c r="C595" s="42"/>
      <c r="D595" s="42"/>
      <c r="I595" s="42"/>
      <c r="J595" s="42"/>
      <c r="K595" s="42"/>
      <c r="L595" s="42"/>
      <c r="M595" s="42"/>
      <c r="P595" s="42"/>
    </row>
    <row r="596">
      <c r="A596" s="42"/>
      <c r="B596" s="42"/>
      <c r="C596" s="42"/>
      <c r="D596" s="42"/>
      <c r="I596" s="42"/>
      <c r="J596" s="42"/>
      <c r="K596" s="42"/>
      <c r="L596" s="42"/>
      <c r="M596" s="42"/>
      <c r="P596" s="42"/>
    </row>
    <row r="597">
      <c r="A597" s="42"/>
      <c r="B597" s="42"/>
      <c r="C597" s="42"/>
      <c r="D597" s="42"/>
      <c r="I597" s="42"/>
      <c r="J597" s="42"/>
      <c r="K597" s="42"/>
      <c r="L597" s="42"/>
      <c r="M597" s="42"/>
      <c r="P597" s="42"/>
    </row>
    <row r="598">
      <c r="A598" s="42"/>
      <c r="B598" s="42"/>
      <c r="C598" s="42"/>
      <c r="D598" s="42"/>
      <c r="I598" s="42"/>
      <c r="J598" s="42"/>
      <c r="K598" s="42"/>
      <c r="L598" s="42"/>
      <c r="M598" s="42"/>
      <c r="P598" s="42"/>
    </row>
    <row r="599">
      <c r="A599" s="42"/>
      <c r="B599" s="42"/>
      <c r="C599" s="42"/>
      <c r="D599" s="42"/>
      <c r="I599" s="42"/>
      <c r="J599" s="42"/>
      <c r="K599" s="42"/>
      <c r="L599" s="42"/>
      <c r="M599" s="42"/>
      <c r="P599" s="42"/>
    </row>
    <row r="600">
      <c r="A600" s="42"/>
      <c r="B600" s="42"/>
      <c r="C600" s="42"/>
      <c r="D600" s="42"/>
      <c r="I600" s="42"/>
      <c r="J600" s="42"/>
      <c r="K600" s="42"/>
      <c r="L600" s="42"/>
      <c r="M600" s="42"/>
      <c r="P600" s="42"/>
    </row>
    <row r="601">
      <c r="A601" s="42"/>
      <c r="B601" s="42"/>
      <c r="C601" s="42"/>
      <c r="D601" s="42"/>
      <c r="I601" s="42"/>
      <c r="J601" s="42"/>
      <c r="K601" s="42"/>
      <c r="L601" s="42"/>
      <c r="M601" s="42"/>
      <c r="P601" s="42"/>
    </row>
    <row r="602">
      <c r="A602" s="42"/>
      <c r="B602" s="42"/>
      <c r="C602" s="42"/>
      <c r="D602" s="42"/>
      <c r="I602" s="42"/>
      <c r="J602" s="42"/>
      <c r="K602" s="42"/>
      <c r="L602" s="42"/>
      <c r="M602" s="42"/>
      <c r="P602" s="42"/>
    </row>
    <row r="603">
      <c r="A603" s="42"/>
      <c r="B603" s="42"/>
      <c r="C603" s="42"/>
      <c r="D603" s="42"/>
      <c r="I603" s="42"/>
      <c r="J603" s="42"/>
      <c r="K603" s="42"/>
      <c r="L603" s="42"/>
      <c r="M603" s="42"/>
      <c r="P603" s="42"/>
    </row>
    <row r="604">
      <c r="A604" s="42"/>
      <c r="B604" s="42"/>
      <c r="C604" s="42"/>
      <c r="D604" s="42"/>
      <c r="I604" s="42"/>
      <c r="J604" s="42"/>
      <c r="K604" s="42"/>
      <c r="L604" s="42"/>
      <c r="M604" s="42"/>
      <c r="P604" s="42"/>
    </row>
    <row r="605">
      <c r="A605" s="42"/>
      <c r="B605" s="42"/>
      <c r="C605" s="42"/>
      <c r="D605" s="42"/>
      <c r="I605" s="42"/>
      <c r="J605" s="42"/>
      <c r="K605" s="42"/>
      <c r="L605" s="42"/>
      <c r="M605" s="42"/>
      <c r="P605" s="42"/>
    </row>
    <row r="606">
      <c r="A606" s="42"/>
      <c r="B606" s="42"/>
      <c r="C606" s="42"/>
      <c r="D606" s="42"/>
      <c r="I606" s="42"/>
      <c r="J606" s="42"/>
      <c r="K606" s="42"/>
      <c r="L606" s="42"/>
      <c r="M606" s="42"/>
      <c r="P606" s="42"/>
    </row>
    <row r="607">
      <c r="A607" s="42"/>
      <c r="B607" s="42"/>
      <c r="C607" s="42"/>
      <c r="D607" s="42"/>
      <c r="I607" s="42"/>
      <c r="J607" s="42"/>
      <c r="K607" s="42"/>
      <c r="L607" s="42"/>
      <c r="M607" s="42"/>
      <c r="P607" s="42"/>
    </row>
    <row r="608">
      <c r="A608" s="42"/>
      <c r="B608" s="42"/>
      <c r="C608" s="42"/>
      <c r="D608" s="42"/>
      <c r="I608" s="42"/>
      <c r="J608" s="42"/>
      <c r="K608" s="42"/>
      <c r="L608" s="42"/>
      <c r="M608" s="42"/>
      <c r="P608" s="42"/>
    </row>
    <row r="609">
      <c r="A609" s="42"/>
      <c r="B609" s="42"/>
      <c r="C609" s="42"/>
      <c r="D609" s="42"/>
      <c r="I609" s="42"/>
      <c r="J609" s="42"/>
      <c r="K609" s="42"/>
      <c r="L609" s="42"/>
      <c r="M609" s="42"/>
      <c r="P609" s="42"/>
    </row>
    <row r="610">
      <c r="A610" s="42"/>
      <c r="B610" s="42"/>
      <c r="C610" s="42"/>
      <c r="D610" s="42"/>
      <c r="I610" s="42"/>
      <c r="J610" s="42"/>
      <c r="K610" s="42"/>
      <c r="L610" s="42"/>
      <c r="M610" s="42"/>
      <c r="P610" s="42"/>
    </row>
    <row r="611">
      <c r="A611" s="42"/>
      <c r="B611" s="42"/>
      <c r="C611" s="42"/>
      <c r="D611" s="42"/>
      <c r="I611" s="42"/>
      <c r="J611" s="42"/>
      <c r="K611" s="42"/>
      <c r="L611" s="42"/>
      <c r="M611" s="42"/>
      <c r="P611" s="42"/>
    </row>
    <row r="612">
      <c r="A612" s="42"/>
      <c r="B612" s="42"/>
      <c r="C612" s="42"/>
      <c r="D612" s="42"/>
      <c r="I612" s="42"/>
      <c r="J612" s="42"/>
      <c r="K612" s="42"/>
      <c r="L612" s="42"/>
      <c r="M612" s="42"/>
      <c r="P612" s="42"/>
    </row>
    <row r="613">
      <c r="A613" s="42"/>
      <c r="B613" s="42"/>
      <c r="C613" s="42"/>
      <c r="D613" s="42"/>
      <c r="I613" s="42"/>
      <c r="J613" s="42"/>
      <c r="K613" s="42"/>
      <c r="L613" s="42"/>
      <c r="M613" s="42"/>
      <c r="P613" s="42"/>
    </row>
    <row r="614">
      <c r="A614" s="42"/>
      <c r="B614" s="42"/>
      <c r="C614" s="42"/>
      <c r="D614" s="42"/>
      <c r="I614" s="42"/>
      <c r="J614" s="42"/>
      <c r="K614" s="42"/>
      <c r="L614" s="42"/>
      <c r="M614" s="42"/>
      <c r="P614" s="42"/>
    </row>
    <row r="615">
      <c r="A615" s="42"/>
      <c r="B615" s="42"/>
      <c r="C615" s="42"/>
      <c r="D615" s="42"/>
      <c r="I615" s="42"/>
      <c r="J615" s="42"/>
      <c r="K615" s="42"/>
      <c r="L615" s="42"/>
      <c r="M615" s="42"/>
      <c r="P615" s="42"/>
    </row>
    <row r="616">
      <c r="A616" s="42"/>
      <c r="B616" s="42"/>
      <c r="C616" s="42"/>
      <c r="D616" s="42"/>
      <c r="I616" s="42"/>
      <c r="J616" s="42"/>
      <c r="K616" s="42"/>
      <c r="L616" s="42"/>
      <c r="M616" s="42"/>
      <c r="P616" s="42"/>
    </row>
    <row r="617">
      <c r="A617" s="42"/>
      <c r="B617" s="42"/>
      <c r="C617" s="42"/>
      <c r="D617" s="42"/>
      <c r="I617" s="42"/>
      <c r="J617" s="42"/>
      <c r="K617" s="42"/>
      <c r="L617" s="42"/>
      <c r="M617" s="42"/>
      <c r="P617" s="42"/>
    </row>
    <row r="618">
      <c r="A618" s="42"/>
      <c r="B618" s="42"/>
      <c r="C618" s="42"/>
      <c r="D618" s="42"/>
      <c r="I618" s="42"/>
      <c r="J618" s="42"/>
      <c r="K618" s="42"/>
      <c r="L618" s="42"/>
      <c r="M618" s="42"/>
      <c r="P618" s="42"/>
    </row>
    <row r="619">
      <c r="A619" s="42"/>
      <c r="B619" s="42"/>
      <c r="C619" s="42"/>
      <c r="D619" s="42"/>
      <c r="I619" s="42"/>
      <c r="J619" s="42"/>
      <c r="K619" s="42"/>
      <c r="L619" s="42"/>
      <c r="M619" s="42"/>
      <c r="P619" s="42"/>
    </row>
    <row r="620">
      <c r="A620" s="42"/>
      <c r="B620" s="42"/>
      <c r="C620" s="42"/>
      <c r="D620" s="42"/>
      <c r="I620" s="42"/>
      <c r="J620" s="42"/>
      <c r="K620" s="42"/>
      <c r="L620" s="42"/>
      <c r="M620" s="42"/>
      <c r="P620" s="42"/>
    </row>
    <row r="621">
      <c r="A621" s="42"/>
      <c r="B621" s="42"/>
      <c r="C621" s="42"/>
      <c r="D621" s="42"/>
      <c r="I621" s="42"/>
      <c r="J621" s="42"/>
      <c r="K621" s="42"/>
      <c r="L621" s="42"/>
      <c r="M621" s="42"/>
      <c r="P621" s="42"/>
    </row>
    <row r="622">
      <c r="A622" s="42"/>
      <c r="B622" s="42"/>
      <c r="C622" s="42"/>
      <c r="D622" s="42"/>
      <c r="I622" s="42"/>
      <c r="J622" s="42"/>
      <c r="K622" s="42"/>
      <c r="L622" s="42"/>
      <c r="M622" s="42"/>
      <c r="P622" s="42"/>
    </row>
    <row r="623">
      <c r="A623" s="42"/>
      <c r="B623" s="42"/>
      <c r="C623" s="42"/>
      <c r="D623" s="42"/>
      <c r="I623" s="42"/>
      <c r="J623" s="42"/>
      <c r="K623" s="42"/>
      <c r="L623" s="42"/>
      <c r="M623" s="42"/>
      <c r="P623" s="42"/>
    </row>
    <row r="624">
      <c r="A624" s="42"/>
      <c r="B624" s="42"/>
      <c r="C624" s="42"/>
      <c r="D624" s="42"/>
      <c r="I624" s="42"/>
      <c r="J624" s="42"/>
      <c r="K624" s="42"/>
      <c r="L624" s="42"/>
      <c r="M624" s="42"/>
      <c r="P624" s="42"/>
    </row>
    <row r="625">
      <c r="A625" s="42"/>
      <c r="B625" s="42"/>
      <c r="C625" s="42"/>
      <c r="D625" s="42"/>
      <c r="I625" s="42"/>
      <c r="J625" s="42"/>
      <c r="K625" s="42"/>
      <c r="L625" s="42"/>
      <c r="M625" s="42"/>
      <c r="P625" s="42"/>
    </row>
    <row r="626">
      <c r="A626" s="42"/>
      <c r="B626" s="42"/>
      <c r="C626" s="42"/>
      <c r="D626" s="42"/>
      <c r="I626" s="42"/>
      <c r="J626" s="42"/>
      <c r="K626" s="42"/>
      <c r="L626" s="42"/>
      <c r="M626" s="42"/>
      <c r="P626" s="42"/>
    </row>
    <row r="627">
      <c r="A627" s="42"/>
      <c r="B627" s="42"/>
      <c r="C627" s="42"/>
      <c r="D627" s="42"/>
      <c r="I627" s="42"/>
      <c r="J627" s="42"/>
      <c r="K627" s="42"/>
      <c r="L627" s="42"/>
      <c r="M627" s="42"/>
      <c r="P627" s="42"/>
    </row>
    <row r="628">
      <c r="A628" s="42"/>
      <c r="B628" s="42"/>
      <c r="C628" s="42"/>
      <c r="D628" s="42"/>
      <c r="I628" s="42"/>
      <c r="J628" s="42"/>
      <c r="K628" s="42"/>
      <c r="L628" s="42"/>
      <c r="M628" s="42"/>
      <c r="P628" s="42"/>
    </row>
    <row r="629">
      <c r="A629" s="42"/>
      <c r="B629" s="42"/>
      <c r="C629" s="42"/>
      <c r="D629" s="42"/>
      <c r="I629" s="42"/>
      <c r="J629" s="42"/>
      <c r="K629" s="42"/>
      <c r="L629" s="42"/>
      <c r="M629" s="42"/>
      <c r="P629" s="42"/>
    </row>
    <row r="630">
      <c r="A630" s="42"/>
      <c r="B630" s="42"/>
      <c r="C630" s="42"/>
      <c r="D630" s="42"/>
      <c r="I630" s="42"/>
      <c r="J630" s="42"/>
      <c r="K630" s="42"/>
      <c r="L630" s="42"/>
      <c r="M630" s="42"/>
      <c r="P630" s="42"/>
    </row>
    <row r="631">
      <c r="A631" s="42"/>
      <c r="B631" s="42"/>
      <c r="C631" s="42"/>
      <c r="D631" s="42"/>
      <c r="I631" s="42"/>
      <c r="J631" s="42"/>
      <c r="K631" s="42"/>
      <c r="L631" s="42"/>
      <c r="M631" s="42"/>
      <c r="P631" s="42"/>
    </row>
    <row r="632">
      <c r="A632" s="42"/>
      <c r="B632" s="42"/>
      <c r="C632" s="42"/>
      <c r="D632" s="42"/>
      <c r="I632" s="42"/>
      <c r="J632" s="42"/>
      <c r="K632" s="42"/>
      <c r="L632" s="42"/>
      <c r="M632" s="42"/>
      <c r="P632" s="42"/>
    </row>
    <row r="633">
      <c r="A633" s="42"/>
      <c r="B633" s="42"/>
      <c r="C633" s="42"/>
      <c r="D633" s="42"/>
      <c r="I633" s="42"/>
      <c r="J633" s="42"/>
      <c r="K633" s="42"/>
      <c r="L633" s="42"/>
      <c r="M633" s="42"/>
      <c r="P633" s="42"/>
    </row>
    <row r="634">
      <c r="A634" s="42"/>
      <c r="B634" s="42"/>
      <c r="C634" s="42"/>
      <c r="D634" s="42"/>
      <c r="I634" s="42"/>
      <c r="J634" s="42"/>
      <c r="K634" s="42"/>
      <c r="L634" s="42"/>
      <c r="M634" s="42"/>
      <c r="P634" s="42"/>
    </row>
    <row r="635">
      <c r="A635" s="42"/>
      <c r="B635" s="42"/>
      <c r="C635" s="42"/>
      <c r="D635" s="42"/>
      <c r="I635" s="42"/>
      <c r="J635" s="42"/>
      <c r="K635" s="42"/>
      <c r="L635" s="42"/>
      <c r="M635" s="42"/>
      <c r="P635" s="42"/>
    </row>
    <row r="636">
      <c r="A636" s="42"/>
      <c r="B636" s="42"/>
      <c r="C636" s="42"/>
      <c r="D636" s="42"/>
      <c r="I636" s="42"/>
      <c r="J636" s="42"/>
      <c r="K636" s="42"/>
      <c r="L636" s="42"/>
      <c r="M636" s="42"/>
      <c r="P636" s="42"/>
    </row>
    <row r="637">
      <c r="A637" s="42"/>
      <c r="B637" s="42"/>
      <c r="C637" s="42"/>
      <c r="D637" s="42"/>
      <c r="I637" s="42"/>
      <c r="J637" s="42"/>
      <c r="K637" s="42"/>
      <c r="L637" s="42"/>
      <c r="M637" s="42"/>
      <c r="P637" s="42"/>
    </row>
    <row r="638">
      <c r="A638" s="42"/>
      <c r="B638" s="42"/>
      <c r="C638" s="42"/>
      <c r="D638" s="42"/>
      <c r="I638" s="42"/>
      <c r="J638" s="42"/>
      <c r="K638" s="42"/>
      <c r="L638" s="42"/>
      <c r="M638" s="42"/>
      <c r="P638" s="42"/>
    </row>
    <row r="639">
      <c r="A639" s="42"/>
      <c r="B639" s="42"/>
      <c r="C639" s="42"/>
      <c r="D639" s="42"/>
      <c r="I639" s="42"/>
      <c r="J639" s="42"/>
      <c r="K639" s="42"/>
      <c r="L639" s="42"/>
      <c r="M639" s="42"/>
      <c r="P639" s="42"/>
    </row>
    <row r="640">
      <c r="A640" s="42"/>
      <c r="B640" s="42"/>
      <c r="C640" s="42"/>
      <c r="D640" s="42"/>
      <c r="I640" s="42"/>
      <c r="J640" s="42"/>
      <c r="K640" s="42"/>
      <c r="L640" s="42"/>
      <c r="M640" s="42"/>
      <c r="P640" s="42"/>
    </row>
    <row r="641">
      <c r="A641" s="42"/>
      <c r="B641" s="42"/>
      <c r="C641" s="42"/>
      <c r="D641" s="42"/>
      <c r="I641" s="42"/>
      <c r="J641" s="42"/>
      <c r="K641" s="42"/>
      <c r="L641" s="42"/>
      <c r="M641" s="42"/>
      <c r="P641" s="42"/>
    </row>
    <row r="642">
      <c r="A642" s="42"/>
      <c r="B642" s="42"/>
      <c r="C642" s="42"/>
      <c r="D642" s="42"/>
      <c r="I642" s="42"/>
      <c r="J642" s="42"/>
      <c r="K642" s="42"/>
      <c r="L642" s="42"/>
      <c r="M642" s="42"/>
      <c r="P642" s="42"/>
    </row>
    <row r="643">
      <c r="A643" s="42"/>
      <c r="B643" s="42"/>
      <c r="C643" s="42"/>
      <c r="D643" s="42"/>
      <c r="I643" s="42"/>
      <c r="J643" s="42"/>
      <c r="K643" s="42"/>
      <c r="L643" s="42"/>
      <c r="M643" s="42"/>
      <c r="P643" s="42"/>
    </row>
    <row r="644">
      <c r="A644" s="42"/>
      <c r="B644" s="42"/>
      <c r="C644" s="42"/>
      <c r="D644" s="42"/>
      <c r="I644" s="42"/>
      <c r="J644" s="42"/>
      <c r="K644" s="42"/>
      <c r="L644" s="42"/>
      <c r="M644" s="42"/>
      <c r="P644" s="42"/>
    </row>
    <row r="645">
      <c r="A645" s="42"/>
      <c r="B645" s="42"/>
      <c r="C645" s="42"/>
      <c r="D645" s="42"/>
      <c r="I645" s="42"/>
      <c r="J645" s="42"/>
      <c r="K645" s="42"/>
      <c r="L645" s="42"/>
      <c r="M645" s="42"/>
      <c r="P645" s="42"/>
    </row>
    <row r="646">
      <c r="A646" s="42"/>
      <c r="B646" s="42"/>
      <c r="C646" s="42"/>
      <c r="D646" s="42"/>
      <c r="I646" s="42"/>
      <c r="J646" s="42"/>
      <c r="K646" s="42"/>
      <c r="L646" s="42"/>
      <c r="M646" s="42"/>
      <c r="P646" s="42"/>
    </row>
    <row r="647">
      <c r="A647" s="42"/>
      <c r="B647" s="42"/>
      <c r="C647" s="42"/>
      <c r="D647" s="42"/>
      <c r="I647" s="42"/>
      <c r="J647" s="42"/>
      <c r="K647" s="42"/>
      <c r="L647" s="42"/>
      <c r="M647" s="42"/>
      <c r="P647" s="42"/>
    </row>
    <row r="648">
      <c r="A648" s="42"/>
      <c r="B648" s="42"/>
      <c r="C648" s="42"/>
      <c r="D648" s="42"/>
      <c r="I648" s="42"/>
      <c r="J648" s="42"/>
      <c r="K648" s="42"/>
      <c r="L648" s="42"/>
      <c r="M648" s="42"/>
      <c r="P648" s="42"/>
    </row>
    <row r="649">
      <c r="A649" s="42"/>
      <c r="B649" s="42"/>
      <c r="C649" s="42"/>
      <c r="D649" s="42"/>
      <c r="I649" s="42"/>
      <c r="J649" s="42"/>
      <c r="K649" s="42"/>
      <c r="L649" s="42"/>
      <c r="M649" s="42"/>
      <c r="P649" s="42"/>
    </row>
    <row r="650">
      <c r="A650" s="42"/>
      <c r="B650" s="42"/>
      <c r="C650" s="42"/>
      <c r="D650" s="42"/>
      <c r="I650" s="42"/>
      <c r="J650" s="42"/>
      <c r="K650" s="42"/>
      <c r="L650" s="42"/>
      <c r="M650" s="42"/>
      <c r="P650" s="42"/>
    </row>
    <row r="651">
      <c r="A651" s="42"/>
      <c r="B651" s="42"/>
      <c r="C651" s="42"/>
      <c r="D651" s="42"/>
      <c r="I651" s="42"/>
      <c r="J651" s="42"/>
      <c r="K651" s="42"/>
      <c r="L651" s="42"/>
      <c r="M651" s="42"/>
      <c r="P651" s="42"/>
    </row>
    <row r="652">
      <c r="A652" s="42"/>
      <c r="B652" s="42"/>
      <c r="C652" s="42"/>
      <c r="D652" s="42"/>
      <c r="I652" s="42"/>
      <c r="J652" s="42"/>
      <c r="K652" s="42"/>
      <c r="L652" s="42"/>
      <c r="M652" s="42"/>
      <c r="P652" s="42"/>
    </row>
    <row r="653">
      <c r="A653" s="42"/>
      <c r="B653" s="42"/>
      <c r="C653" s="42"/>
      <c r="D653" s="42"/>
      <c r="I653" s="42"/>
      <c r="J653" s="42"/>
      <c r="K653" s="42"/>
      <c r="L653" s="42"/>
      <c r="M653" s="42"/>
      <c r="P653" s="42"/>
    </row>
    <row r="654">
      <c r="A654" s="42"/>
      <c r="B654" s="42"/>
      <c r="C654" s="42"/>
      <c r="D654" s="42"/>
      <c r="I654" s="42"/>
      <c r="J654" s="42"/>
      <c r="K654" s="42"/>
      <c r="L654" s="42"/>
      <c r="M654" s="42"/>
      <c r="P654" s="42"/>
    </row>
    <row r="655">
      <c r="A655" s="42"/>
      <c r="B655" s="42"/>
      <c r="C655" s="42"/>
      <c r="D655" s="42"/>
      <c r="I655" s="42"/>
      <c r="J655" s="42"/>
      <c r="K655" s="42"/>
      <c r="L655" s="42"/>
      <c r="M655" s="42"/>
      <c r="P655" s="42"/>
    </row>
    <row r="656">
      <c r="A656" s="42"/>
      <c r="B656" s="42"/>
      <c r="C656" s="42"/>
      <c r="D656" s="42"/>
      <c r="I656" s="42"/>
      <c r="J656" s="42"/>
      <c r="K656" s="42"/>
      <c r="L656" s="42"/>
      <c r="M656" s="42"/>
      <c r="P656" s="42"/>
    </row>
    <row r="657">
      <c r="A657" s="42"/>
      <c r="B657" s="42"/>
      <c r="C657" s="42"/>
      <c r="D657" s="42"/>
      <c r="I657" s="42"/>
      <c r="J657" s="42"/>
      <c r="K657" s="42"/>
      <c r="L657" s="42"/>
      <c r="M657" s="42"/>
      <c r="P657" s="42"/>
    </row>
    <row r="658">
      <c r="A658" s="42"/>
      <c r="B658" s="42"/>
      <c r="C658" s="42"/>
      <c r="D658" s="42"/>
      <c r="I658" s="42"/>
      <c r="J658" s="42"/>
      <c r="K658" s="42"/>
      <c r="L658" s="42"/>
      <c r="M658" s="42"/>
      <c r="P658" s="42"/>
    </row>
    <row r="659">
      <c r="A659" s="42"/>
      <c r="B659" s="42"/>
      <c r="C659" s="42"/>
      <c r="D659" s="42"/>
      <c r="I659" s="42"/>
      <c r="J659" s="42"/>
      <c r="K659" s="42"/>
      <c r="L659" s="42"/>
      <c r="M659" s="42"/>
      <c r="P659" s="42"/>
    </row>
    <row r="660">
      <c r="A660" s="42"/>
      <c r="B660" s="42"/>
      <c r="C660" s="42"/>
      <c r="D660" s="42"/>
      <c r="I660" s="42"/>
      <c r="J660" s="42"/>
      <c r="K660" s="42"/>
      <c r="L660" s="42"/>
      <c r="M660" s="42"/>
      <c r="P660" s="42"/>
    </row>
    <row r="661">
      <c r="A661" s="42"/>
      <c r="B661" s="42"/>
      <c r="C661" s="42"/>
      <c r="D661" s="42"/>
      <c r="I661" s="42"/>
      <c r="J661" s="42"/>
      <c r="K661" s="42"/>
      <c r="L661" s="42"/>
      <c r="M661" s="42"/>
      <c r="P661" s="42"/>
    </row>
    <row r="662">
      <c r="A662" s="42"/>
      <c r="B662" s="42"/>
      <c r="C662" s="42"/>
      <c r="D662" s="42"/>
      <c r="I662" s="42"/>
      <c r="J662" s="42"/>
      <c r="K662" s="42"/>
      <c r="L662" s="42"/>
      <c r="M662" s="42"/>
      <c r="P662" s="42"/>
    </row>
    <row r="663">
      <c r="A663" s="42"/>
      <c r="B663" s="42"/>
      <c r="C663" s="42"/>
      <c r="D663" s="42"/>
      <c r="I663" s="42"/>
      <c r="J663" s="42"/>
      <c r="K663" s="42"/>
      <c r="L663" s="42"/>
      <c r="M663" s="42"/>
      <c r="P663" s="42"/>
    </row>
    <row r="664">
      <c r="A664" s="42"/>
      <c r="B664" s="42"/>
      <c r="C664" s="42"/>
      <c r="D664" s="42"/>
      <c r="I664" s="42"/>
      <c r="J664" s="42"/>
      <c r="K664" s="42"/>
      <c r="L664" s="42"/>
      <c r="M664" s="42"/>
      <c r="P664" s="42"/>
    </row>
    <row r="665">
      <c r="A665" s="42"/>
      <c r="B665" s="42"/>
      <c r="C665" s="42"/>
      <c r="D665" s="42"/>
      <c r="I665" s="42"/>
      <c r="J665" s="42"/>
      <c r="K665" s="42"/>
      <c r="L665" s="42"/>
      <c r="M665" s="42"/>
      <c r="P665" s="42"/>
    </row>
    <row r="666">
      <c r="A666" s="42"/>
      <c r="B666" s="42"/>
      <c r="C666" s="42"/>
      <c r="D666" s="42"/>
      <c r="I666" s="42"/>
      <c r="J666" s="42"/>
      <c r="K666" s="42"/>
      <c r="L666" s="42"/>
      <c r="M666" s="42"/>
      <c r="P666" s="42"/>
    </row>
    <row r="667">
      <c r="A667" s="42"/>
      <c r="B667" s="42"/>
      <c r="C667" s="42"/>
      <c r="D667" s="42"/>
      <c r="I667" s="42"/>
      <c r="J667" s="42"/>
      <c r="K667" s="42"/>
      <c r="L667" s="42"/>
      <c r="M667" s="42"/>
      <c r="P667" s="42"/>
    </row>
    <row r="668">
      <c r="A668" s="42"/>
      <c r="B668" s="42"/>
      <c r="C668" s="42"/>
      <c r="D668" s="42"/>
      <c r="I668" s="42"/>
      <c r="J668" s="42"/>
      <c r="K668" s="42"/>
      <c r="L668" s="42"/>
      <c r="M668" s="42"/>
      <c r="P668" s="42"/>
    </row>
    <row r="669">
      <c r="A669" s="42"/>
      <c r="B669" s="42"/>
      <c r="C669" s="42"/>
      <c r="D669" s="42"/>
      <c r="I669" s="42"/>
      <c r="J669" s="42"/>
      <c r="K669" s="42"/>
      <c r="L669" s="42"/>
      <c r="M669" s="42"/>
      <c r="P669" s="42"/>
    </row>
    <row r="670">
      <c r="A670" s="42"/>
      <c r="B670" s="42"/>
      <c r="C670" s="42"/>
      <c r="D670" s="42"/>
      <c r="I670" s="42"/>
      <c r="J670" s="42"/>
      <c r="K670" s="42"/>
      <c r="L670" s="42"/>
      <c r="M670" s="42"/>
      <c r="P670" s="42"/>
    </row>
    <row r="671">
      <c r="A671" s="42"/>
      <c r="B671" s="42"/>
      <c r="C671" s="42"/>
      <c r="D671" s="42"/>
      <c r="I671" s="42"/>
      <c r="J671" s="42"/>
      <c r="K671" s="42"/>
      <c r="L671" s="42"/>
      <c r="M671" s="42"/>
      <c r="P671" s="42"/>
    </row>
    <row r="672">
      <c r="A672" s="42"/>
      <c r="B672" s="42"/>
      <c r="C672" s="42"/>
      <c r="D672" s="42"/>
      <c r="I672" s="42"/>
      <c r="J672" s="42"/>
      <c r="K672" s="42"/>
      <c r="L672" s="42"/>
      <c r="M672" s="42"/>
      <c r="P672" s="42"/>
    </row>
    <row r="673">
      <c r="A673" s="42"/>
      <c r="B673" s="42"/>
      <c r="C673" s="42"/>
      <c r="D673" s="42"/>
      <c r="I673" s="42"/>
      <c r="J673" s="42"/>
      <c r="K673" s="42"/>
      <c r="L673" s="42"/>
      <c r="M673" s="42"/>
      <c r="P673" s="42"/>
    </row>
    <row r="674">
      <c r="A674" s="42"/>
      <c r="B674" s="42"/>
      <c r="C674" s="42"/>
      <c r="D674" s="42"/>
      <c r="I674" s="42"/>
      <c r="J674" s="42"/>
      <c r="K674" s="42"/>
      <c r="L674" s="42"/>
      <c r="M674" s="42"/>
      <c r="P674" s="42"/>
    </row>
    <row r="675">
      <c r="A675" s="42"/>
      <c r="B675" s="42"/>
      <c r="C675" s="42"/>
      <c r="D675" s="42"/>
      <c r="I675" s="42"/>
      <c r="J675" s="42"/>
      <c r="K675" s="42"/>
      <c r="L675" s="42"/>
      <c r="M675" s="42"/>
      <c r="P675" s="42"/>
    </row>
    <row r="676">
      <c r="A676" s="42"/>
      <c r="B676" s="42"/>
      <c r="C676" s="42"/>
      <c r="D676" s="42"/>
      <c r="I676" s="42"/>
      <c r="J676" s="42"/>
      <c r="K676" s="42"/>
      <c r="L676" s="42"/>
      <c r="M676" s="42"/>
      <c r="P676" s="42"/>
    </row>
    <row r="677">
      <c r="A677" s="42"/>
      <c r="B677" s="42"/>
      <c r="C677" s="42"/>
      <c r="D677" s="42"/>
      <c r="I677" s="42"/>
      <c r="J677" s="42"/>
      <c r="K677" s="42"/>
      <c r="L677" s="42"/>
      <c r="M677" s="42"/>
      <c r="P677" s="42"/>
    </row>
    <row r="678">
      <c r="A678" s="42"/>
      <c r="B678" s="42"/>
      <c r="C678" s="42"/>
      <c r="D678" s="42"/>
      <c r="I678" s="42"/>
      <c r="J678" s="42"/>
      <c r="K678" s="42"/>
      <c r="L678" s="42"/>
      <c r="M678" s="42"/>
      <c r="P678" s="42"/>
    </row>
    <row r="679">
      <c r="A679" s="42"/>
      <c r="B679" s="42"/>
      <c r="C679" s="42"/>
      <c r="D679" s="42"/>
      <c r="I679" s="42"/>
      <c r="J679" s="42"/>
      <c r="K679" s="42"/>
      <c r="L679" s="42"/>
      <c r="M679" s="42"/>
      <c r="P679" s="42"/>
    </row>
    <row r="680">
      <c r="A680" s="42"/>
      <c r="B680" s="42"/>
      <c r="C680" s="42"/>
      <c r="D680" s="42"/>
      <c r="I680" s="42"/>
      <c r="J680" s="42"/>
      <c r="K680" s="42"/>
      <c r="L680" s="42"/>
      <c r="M680" s="42"/>
      <c r="P680" s="42"/>
    </row>
    <row r="681">
      <c r="A681" s="42"/>
      <c r="B681" s="42"/>
      <c r="C681" s="42"/>
      <c r="D681" s="42"/>
      <c r="I681" s="42"/>
      <c r="J681" s="42"/>
      <c r="K681" s="42"/>
      <c r="L681" s="42"/>
      <c r="M681" s="42"/>
      <c r="P681" s="42"/>
    </row>
    <row r="682">
      <c r="A682" s="42"/>
      <c r="B682" s="42"/>
      <c r="C682" s="42"/>
      <c r="D682" s="42"/>
      <c r="I682" s="42"/>
      <c r="J682" s="42"/>
      <c r="K682" s="42"/>
      <c r="L682" s="42"/>
      <c r="M682" s="42"/>
      <c r="P682" s="42"/>
    </row>
    <row r="683">
      <c r="A683" s="42"/>
      <c r="B683" s="42"/>
      <c r="C683" s="42"/>
      <c r="D683" s="42"/>
      <c r="I683" s="42"/>
      <c r="J683" s="42"/>
      <c r="K683" s="42"/>
      <c r="L683" s="42"/>
      <c r="M683" s="42"/>
      <c r="P683" s="42"/>
    </row>
    <row r="684">
      <c r="A684" s="42"/>
      <c r="B684" s="42"/>
      <c r="C684" s="42"/>
      <c r="D684" s="42"/>
      <c r="I684" s="42"/>
      <c r="J684" s="42"/>
      <c r="K684" s="42"/>
      <c r="L684" s="42"/>
      <c r="M684" s="42"/>
      <c r="P684" s="42"/>
    </row>
    <row r="685">
      <c r="A685" s="42"/>
      <c r="B685" s="42"/>
      <c r="C685" s="42"/>
      <c r="D685" s="42"/>
      <c r="I685" s="42"/>
      <c r="J685" s="42"/>
      <c r="K685" s="42"/>
      <c r="L685" s="42"/>
      <c r="M685" s="42"/>
      <c r="P685" s="42"/>
    </row>
    <row r="686">
      <c r="A686" s="42"/>
      <c r="B686" s="42"/>
      <c r="C686" s="42"/>
      <c r="D686" s="42"/>
      <c r="I686" s="42"/>
      <c r="J686" s="42"/>
      <c r="K686" s="42"/>
      <c r="L686" s="42"/>
      <c r="M686" s="42"/>
      <c r="P686" s="42"/>
    </row>
    <row r="687">
      <c r="A687" s="42"/>
      <c r="B687" s="42"/>
      <c r="C687" s="42"/>
      <c r="D687" s="42"/>
      <c r="I687" s="42"/>
      <c r="J687" s="42"/>
      <c r="K687" s="42"/>
      <c r="L687" s="42"/>
      <c r="M687" s="42"/>
      <c r="P687" s="42"/>
    </row>
    <row r="688">
      <c r="A688" s="42"/>
      <c r="B688" s="42"/>
      <c r="C688" s="42"/>
      <c r="D688" s="42"/>
      <c r="I688" s="42"/>
      <c r="J688" s="42"/>
      <c r="K688" s="42"/>
      <c r="L688" s="42"/>
      <c r="M688" s="42"/>
      <c r="P688" s="42"/>
    </row>
    <row r="689">
      <c r="A689" s="42"/>
      <c r="B689" s="42"/>
      <c r="C689" s="42"/>
      <c r="D689" s="42"/>
      <c r="I689" s="42"/>
      <c r="J689" s="42"/>
      <c r="K689" s="42"/>
      <c r="L689" s="42"/>
      <c r="M689" s="42"/>
      <c r="P689" s="42"/>
    </row>
    <row r="690">
      <c r="A690" s="42"/>
      <c r="B690" s="42"/>
      <c r="C690" s="42"/>
      <c r="D690" s="42"/>
      <c r="I690" s="42"/>
      <c r="J690" s="42"/>
      <c r="K690" s="42"/>
      <c r="L690" s="42"/>
      <c r="M690" s="42"/>
      <c r="P690" s="42"/>
    </row>
    <row r="691">
      <c r="A691" s="42"/>
      <c r="B691" s="42"/>
      <c r="C691" s="42"/>
      <c r="D691" s="42"/>
      <c r="I691" s="42"/>
      <c r="J691" s="42"/>
      <c r="K691" s="42"/>
      <c r="L691" s="42"/>
      <c r="M691" s="42"/>
      <c r="P691" s="42"/>
    </row>
    <row r="692">
      <c r="A692" s="42"/>
      <c r="B692" s="42"/>
      <c r="C692" s="42"/>
      <c r="D692" s="42"/>
      <c r="I692" s="42"/>
      <c r="J692" s="42"/>
      <c r="K692" s="42"/>
      <c r="L692" s="42"/>
      <c r="M692" s="42"/>
      <c r="P692" s="42"/>
    </row>
    <row r="693">
      <c r="A693" s="42"/>
      <c r="B693" s="42"/>
      <c r="C693" s="42"/>
      <c r="D693" s="42"/>
      <c r="I693" s="42"/>
      <c r="J693" s="42"/>
      <c r="K693" s="42"/>
      <c r="L693" s="42"/>
      <c r="M693" s="42"/>
      <c r="P693" s="42"/>
    </row>
    <row r="694">
      <c r="A694" s="42"/>
      <c r="B694" s="42"/>
      <c r="C694" s="42"/>
      <c r="D694" s="42"/>
      <c r="I694" s="42"/>
      <c r="J694" s="42"/>
      <c r="K694" s="42"/>
      <c r="L694" s="42"/>
      <c r="M694" s="42"/>
      <c r="P694" s="42"/>
    </row>
    <row r="695">
      <c r="A695" s="42"/>
      <c r="B695" s="42"/>
      <c r="C695" s="42"/>
      <c r="D695" s="42"/>
      <c r="I695" s="42"/>
      <c r="J695" s="42"/>
      <c r="K695" s="42"/>
      <c r="L695" s="42"/>
      <c r="M695" s="42"/>
      <c r="P695" s="42"/>
    </row>
    <row r="696">
      <c r="A696" s="42"/>
      <c r="B696" s="42"/>
      <c r="C696" s="42"/>
      <c r="D696" s="42"/>
      <c r="I696" s="42"/>
      <c r="J696" s="42"/>
      <c r="K696" s="42"/>
      <c r="L696" s="42"/>
      <c r="M696" s="42"/>
      <c r="P696" s="42"/>
    </row>
    <row r="697">
      <c r="A697" s="42"/>
      <c r="B697" s="42"/>
      <c r="C697" s="42"/>
      <c r="D697" s="42"/>
      <c r="I697" s="42"/>
      <c r="J697" s="42"/>
      <c r="K697" s="42"/>
      <c r="L697" s="42"/>
      <c r="M697" s="42"/>
      <c r="P697" s="42"/>
    </row>
    <row r="698">
      <c r="A698" s="42"/>
      <c r="B698" s="42"/>
      <c r="C698" s="42"/>
      <c r="D698" s="42"/>
      <c r="I698" s="42"/>
      <c r="J698" s="42"/>
      <c r="K698" s="42"/>
      <c r="L698" s="42"/>
      <c r="M698" s="42"/>
      <c r="P698" s="42"/>
    </row>
    <row r="699">
      <c r="A699" s="42"/>
      <c r="B699" s="42"/>
      <c r="C699" s="42"/>
      <c r="D699" s="42"/>
      <c r="I699" s="42"/>
      <c r="J699" s="42"/>
      <c r="K699" s="42"/>
      <c r="L699" s="42"/>
      <c r="M699" s="42"/>
      <c r="P699" s="42"/>
    </row>
    <row r="700">
      <c r="A700" s="42"/>
      <c r="B700" s="42"/>
      <c r="C700" s="42"/>
      <c r="D700" s="42"/>
      <c r="I700" s="42"/>
      <c r="J700" s="42"/>
      <c r="K700" s="42"/>
      <c r="L700" s="42"/>
      <c r="M700" s="42"/>
      <c r="P700" s="42"/>
    </row>
    <row r="701">
      <c r="A701" s="42"/>
      <c r="B701" s="42"/>
      <c r="C701" s="42"/>
      <c r="D701" s="42"/>
      <c r="I701" s="42"/>
      <c r="J701" s="42"/>
      <c r="K701" s="42"/>
      <c r="L701" s="42"/>
      <c r="M701" s="42"/>
      <c r="P701" s="42"/>
    </row>
    <row r="702">
      <c r="A702" s="42"/>
      <c r="B702" s="42"/>
      <c r="C702" s="42"/>
      <c r="D702" s="42"/>
      <c r="I702" s="42"/>
      <c r="J702" s="42"/>
      <c r="K702" s="42"/>
      <c r="L702" s="42"/>
      <c r="M702" s="42"/>
      <c r="P702" s="42"/>
    </row>
    <row r="703">
      <c r="A703" s="42"/>
      <c r="B703" s="42"/>
      <c r="C703" s="42"/>
      <c r="D703" s="42"/>
      <c r="I703" s="42"/>
      <c r="J703" s="42"/>
      <c r="K703" s="42"/>
      <c r="L703" s="42"/>
      <c r="M703" s="42"/>
      <c r="P703" s="42"/>
    </row>
    <row r="704">
      <c r="A704" s="42"/>
      <c r="B704" s="42"/>
      <c r="C704" s="42"/>
      <c r="D704" s="42"/>
      <c r="I704" s="42"/>
      <c r="J704" s="42"/>
      <c r="K704" s="42"/>
      <c r="L704" s="42"/>
      <c r="M704" s="42"/>
      <c r="P704" s="42"/>
    </row>
    <row r="705">
      <c r="A705" s="42"/>
      <c r="B705" s="42"/>
      <c r="C705" s="42"/>
      <c r="D705" s="42"/>
      <c r="I705" s="42"/>
      <c r="J705" s="42"/>
      <c r="K705" s="42"/>
      <c r="L705" s="42"/>
      <c r="M705" s="42"/>
      <c r="P705" s="42"/>
    </row>
    <row r="706">
      <c r="A706" s="42"/>
      <c r="B706" s="42"/>
      <c r="C706" s="42"/>
      <c r="D706" s="42"/>
      <c r="I706" s="42"/>
      <c r="J706" s="42"/>
      <c r="K706" s="42"/>
      <c r="L706" s="42"/>
      <c r="M706" s="42"/>
      <c r="P706" s="42"/>
    </row>
    <row r="707">
      <c r="A707" s="42"/>
      <c r="B707" s="42"/>
      <c r="C707" s="42"/>
      <c r="D707" s="42"/>
      <c r="I707" s="42"/>
      <c r="J707" s="42"/>
      <c r="K707" s="42"/>
      <c r="L707" s="42"/>
      <c r="M707" s="42"/>
      <c r="P707" s="42"/>
    </row>
    <row r="708">
      <c r="A708" s="42"/>
      <c r="B708" s="42"/>
      <c r="C708" s="42"/>
      <c r="D708" s="42"/>
      <c r="I708" s="42"/>
      <c r="J708" s="42"/>
      <c r="K708" s="42"/>
      <c r="L708" s="42"/>
      <c r="M708" s="42"/>
      <c r="P708" s="42"/>
    </row>
    <row r="709">
      <c r="A709" s="42"/>
      <c r="B709" s="42"/>
      <c r="C709" s="42"/>
      <c r="D709" s="42"/>
      <c r="I709" s="42"/>
      <c r="J709" s="42"/>
      <c r="K709" s="42"/>
      <c r="L709" s="42"/>
      <c r="M709" s="42"/>
      <c r="P709" s="42"/>
    </row>
    <row r="710">
      <c r="A710" s="42"/>
      <c r="B710" s="42"/>
      <c r="C710" s="42"/>
      <c r="D710" s="42"/>
      <c r="I710" s="42"/>
      <c r="J710" s="42"/>
      <c r="K710" s="42"/>
      <c r="L710" s="42"/>
      <c r="M710" s="42"/>
      <c r="P710" s="42"/>
    </row>
    <row r="711">
      <c r="A711" s="42"/>
      <c r="B711" s="42"/>
      <c r="C711" s="42"/>
      <c r="D711" s="42"/>
      <c r="I711" s="42"/>
      <c r="J711" s="42"/>
      <c r="K711" s="42"/>
      <c r="L711" s="42"/>
      <c r="M711" s="42"/>
      <c r="P711" s="42"/>
    </row>
    <row r="712">
      <c r="A712" s="42"/>
      <c r="B712" s="42"/>
      <c r="C712" s="42"/>
      <c r="D712" s="42"/>
      <c r="I712" s="42"/>
      <c r="J712" s="42"/>
      <c r="K712" s="42"/>
      <c r="L712" s="42"/>
      <c r="M712" s="42"/>
      <c r="P712" s="42"/>
    </row>
    <row r="713">
      <c r="A713" s="42"/>
      <c r="B713" s="42"/>
      <c r="C713" s="42"/>
      <c r="D713" s="42"/>
      <c r="I713" s="42"/>
      <c r="J713" s="42"/>
      <c r="K713" s="42"/>
      <c r="L713" s="42"/>
      <c r="M713" s="42"/>
      <c r="P713" s="42"/>
    </row>
    <row r="714">
      <c r="A714" s="42"/>
      <c r="B714" s="42"/>
      <c r="C714" s="42"/>
      <c r="D714" s="42"/>
      <c r="I714" s="42"/>
      <c r="J714" s="42"/>
      <c r="K714" s="42"/>
      <c r="L714" s="42"/>
      <c r="M714" s="42"/>
      <c r="P714" s="42"/>
    </row>
    <row r="715">
      <c r="A715" s="42"/>
      <c r="B715" s="42"/>
      <c r="C715" s="42"/>
      <c r="D715" s="42"/>
      <c r="I715" s="42"/>
      <c r="J715" s="42"/>
      <c r="K715" s="42"/>
      <c r="L715" s="42"/>
      <c r="M715" s="42"/>
      <c r="P715" s="42"/>
    </row>
    <row r="716">
      <c r="A716" s="42"/>
      <c r="B716" s="42"/>
      <c r="C716" s="42"/>
      <c r="D716" s="42"/>
      <c r="I716" s="42"/>
      <c r="J716" s="42"/>
      <c r="K716" s="42"/>
      <c r="L716" s="42"/>
      <c r="M716" s="42"/>
      <c r="P716" s="42"/>
    </row>
    <row r="717">
      <c r="A717" s="42"/>
      <c r="B717" s="42"/>
      <c r="C717" s="42"/>
      <c r="D717" s="42"/>
      <c r="I717" s="42"/>
      <c r="J717" s="42"/>
      <c r="K717" s="42"/>
      <c r="L717" s="42"/>
      <c r="M717" s="42"/>
      <c r="P717" s="42"/>
    </row>
    <row r="718">
      <c r="A718" s="42"/>
      <c r="B718" s="42"/>
      <c r="C718" s="42"/>
      <c r="D718" s="42"/>
      <c r="I718" s="42"/>
      <c r="J718" s="42"/>
      <c r="K718" s="42"/>
      <c r="L718" s="42"/>
      <c r="M718" s="42"/>
      <c r="P718" s="42"/>
    </row>
    <row r="719">
      <c r="A719" s="42"/>
      <c r="B719" s="42"/>
      <c r="C719" s="42"/>
      <c r="D719" s="42"/>
      <c r="I719" s="42"/>
      <c r="J719" s="42"/>
      <c r="K719" s="42"/>
      <c r="L719" s="42"/>
      <c r="M719" s="42"/>
      <c r="P719" s="42"/>
    </row>
    <row r="720">
      <c r="A720" s="42"/>
      <c r="B720" s="42"/>
      <c r="C720" s="42"/>
      <c r="D720" s="42"/>
      <c r="I720" s="42"/>
      <c r="J720" s="42"/>
      <c r="K720" s="42"/>
      <c r="L720" s="42"/>
      <c r="M720" s="42"/>
      <c r="P720" s="42"/>
    </row>
    <row r="721">
      <c r="A721" s="42"/>
      <c r="B721" s="42"/>
      <c r="C721" s="42"/>
      <c r="D721" s="42"/>
      <c r="I721" s="42"/>
      <c r="J721" s="42"/>
      <c r="K721" s="42"/>
      <c r="L721" s="42"/>
      <c r="M721" s="42"/>
      <c r="P721" s="42"/>
    </row>
    <row r="722">
      <c r="A722" s="42"/>
      <c r="B722" s="42"/>
      <c r="C722" s="42"/>
      <c r="D722" s="42"/>
      <c r="I722" s="42"/>
      <c r="J722" s="42"/>
      <c r="K722" s="42"/>
      <c r="L722" s="42"/>
      <c r="M722" s="42"/>
      <c r="P722" s="42"/>
    </row>
    <row r="723">
      <c r="A723" s="42"/>
      <c r="B723" s="42"/>
      <c r="C723" s="42"/>
      <c r="D723" s="42"/>
      <c r="I723" s="42"/>
      <c r="J723" s="42"/>
      <c r="K723" s="42"/>
      <c r="L723" s="42"/>
      <c r="M723" s="42"/>
      <c r="P723" s="42"/>
    </row>
    <row r="724">
      <c r="A724" s="42"/>
      <c r="B724" s="42"/>
      <c r="C724" s="42"/>
      <c r="D724" s="42"/>
      <c r="I724" s="42"/>
      <c r="J724" s="42"/>
      <c r="K724" s="42"/>
      <c r="L724" s="42"/>
      <c r="M724" s="42"/>
      <c r="P724" s="42"/>
    </row>
    <row r="725">
      <c r="A725" s="42"/>
      <c r="B725" s="42"/>
      <c r="C725" s="42"/>
      <c r="D725" s="42"/>
      <c r="I725" s="42"/>
      <c r="J725" s="42"/>
      <c r="K725" s="42"/>
      <c r="L725" s="42"/>
      <c r="M725" s="42"/>
      <c r="P725" s="42"/>
    </row>
    <row r="726">
      <c r="A726" s="42"/>
      <c r="B726" s="42"/>
      <c r="C726" s="42"/>
      <c r="D726" s="42"/>
      <c r="I726" s="42"/>
      <c r="J726" s="42"/>
      <c r="K726" s="42"/>
      <c r="L726" s="42"/>
      <c r="M726" s="42"/>
      <c r="P726" s="42"/>
    </row>
    <row r="727">
      <c r="A727" s="42"/>
      <c r="B727" s="42"/>
      <c r="C727" s="42"/>
      <c r="D727" s="42"/>
      <c r="I727" s="42"/>
      <c r="J727" s="42"/>
      <c r="K727" s="42"/>
      <c r="L727" s="42"/>
      <c r="M727" s="42"/>
      <c r="P727" s="42"/>
    </row>
    <row r="728">
      <c r="A728" s="42"/>
      <c r="B728" s="42"/>
      <c r="C728" s="42"/>
      <c r="D728" s="42"/>
      <c r="I728" s="42"/>
      <c r="J728" s="42"/>
      <c r="K728" s="42"/>
      <c r="L728" s="42"/>
      <c r="M728" s="42"/>
      <c r="P728" s="42"/>
    </row>
    <row r="729">
      <c r="A729" s="42"/>
      <c r="B729" s="42"/>
      <c r="C729" s="42"/>
      <c r="D729" s="42"/>
      <c r="I729" s="42"/>
      <c r="J729" s="42"/>
      <c r="K729" s="42"/>
      <c r="L729" s="42"/>
      <c r="M729" s="42"/>
      <c r="P729" s="42"/>
    </row>
    <row r="730">
      <c r="A730" s="42"/>
      <c r="B730" s="42"/>
      <c r="C730" s="42"/>
      <c r="D730" s="42"/>
      <c r="I730" s="42"/>
      <c r="J730" s="42"/>
      <c r="K730" s="42"/>
      <c r="L730" s="42"/>
      <c r="M730" s="42"/>
      <c r="P730" s="42"/>
    </row>
    <row r="731">
      <c r="A731" s="42"/>
      <c r="B731" s="42"/>
      <c r="C731" s="42"/>
      <c r="D731" s="42"/>
      <c r="I731" s="42"/>
      <c r="J731" s="42"/>
      <c r="K731" s="42"/>
      <c r="L731" s="42"/>
      <c r="M731" s="42"/>
      <c r="P731" s="42"/>
    </row>
    <row r="732">
      <c r="A732" s="42"/>
      <c r="B732" s="42"/>
      <c r="C732" s="42"/>
      <c r="D732" s="42"/>
      <c r="I732" s="42"/>
      <c r="J732" s="42"/>
      <c r="K732" s="42"/>
      <c r="L732" s="42"/>
      <c r="M732" s="42"/>
      <c r="P732" s="42"/>
    </row>
    <row r="733">
      <c r="A733" s="42"/>
      <c r="B733" s="42"/>
      <c r="C733" s="42"/>
      <c r="D733" s="42"/>
      <c r="I733" s="42"/>
      <c r="J733" s="42"/>
      <c r="K733" s="42"/>
      <c r="L733" s="42"/>
      <c r="M733" s="42"/>
      <c r="P733" s="42"/>
    </row>
    <row r="734">
      <c r="A734" s="42"/>
      <c r="B734" s="42"/>
      <c r="C734" s="42"/>
      <c r="D734" s="42"/>
      <c r="I734" s="42"/>
      <c r="J734" s="42"/>
      <c r="K734" s="42"/>
      <c r="L734" s="42"/>
      <c r="M734" s="42"/>
      <c r="P734" s="42"/>
    </row>
    <row r="735">
      <c r="A735" s="42"/>
      <c r="B735" s="42"/>
      <c r="C735" s="42"/>
      <c r="D735" s="42"/>
      <c r="I735" s="42"/>
      <c r="J735" s="42"/>
      <c r="K735" s="42"/>
      <c r="L735" s="42"/>
      <c r="M735" s="42"/>
      <c r="P735" s="42"/>
    </row>
    <row r="736">
      <c r="A736" s="42"/>
      <c r="B736" s="42"/>
      <c r="C736" s="42"/>
      <c r="D736" s="42"/>
      <c r="I736" s="42"/>
      <c r="J736" s="42"/>
      <c r="K736" s="42"/>
      <c r="L736" s="42"/>
      <c r="M736" s="42"/>
      <c r="P736" s="42"/>
    </row>
    <row r="737">
      <c r="A737" s="42"/>
      <c r="B737" s="42"/>
      <c r="C737" s="42"/>
      <c r="D737" s="42"/>
      <c r="I737" s="42"/>
      <c r="J737" s="42"/>
      <c r="K737" s="42"/>
      <c r="L737" s="42"/>
      <c r="M737" s="42"/>
      <c r="P737" s="42"/>
    </row>
    <row r="738">
      <c r="A738" s="42"/>
      <c r="B738" s="42"/>
      <c r="C738" s="42"/>
      <c r="D738" s="42"/>
      <c r="I738" s="42"/>
      <c r="J738" s="42"/>
      <c r="K738" s="42"/>
      <c r="L738" s="42"/>
      <c r="M738" s="42"/>
      <c r="P738" s="42"/>
    </row>
    <row r="739">
      <c r="A739" s="42"/>
      <c r="B739" s="42"/>
      <c r="C739" s="42"/>
      <c r="D739" s="42"/>
      <c r="I739" s="42"/>
      <c r="J739" s="42"/>
      <c r="K739" s="42"/>
      <c r="L739" s="42"/>
      <c r="M739" s="42"/>
      <c r="P739" s="42"/>
    </row>
    <row r="740">
      <c r="A740" s="42"/>
      <c r="B740" s="42"/>
      <c r="C740" s="42"/>
      <c r="D740" s="42"/>
      <c r="I740" s="42"/>
      <c r="J740" s="42"/>
      <c r="K740" s="42"/>
      <c r="L740" s="42"/>
      <c r="M740" s="42"/>
      <c r="P740" s="42"/>
    </row>
    <row r="741">
      <c r="A741" s="42"/>
      <c r="B741" s="42"/>
      <c r="C741" s="42"/>
      <c r="D741" s="42"/>
      <c r="I741" s="42"/>
      <c r="J741" s="42"/>
      <c r="K741" s="42"/>
      <c r="L741" s="42"/>
      <c r="M741" s="42"/>
      <c r="P741" s="42"/>
    </row>
    <row r="742">
      <c r="A742" s="42"/>
      <c r="B742" s="42"/>
      <c r="C742" s="42"/>
      <c r="D742" s="42"/>
      <c r="I742" s="42"/>
      <c r="J742" s="42"/>
      <c r="K742" s="42"/>
      <c r="L742" s="42"/>
      <c r="M742" s="42"/>
      <c r="P742" s="42"/>
    </row>
    <row r="743">
      <c r="A743" s="42"/>
      <c r="B743" s="42"/>
      <c r="C743" s="42"/>
      <c r="D743" s="42"/>
      <c r="I743" s="42"/>
      <c r="J743" s="42"/>
      <c r="K743" s="42"/>
      <c r="L743" s="42"/>
      <c r="M743" s="42"/>
      <c r="P743" s="42"/>
    </row>
    <row r="744">
      <c r="A744" s="42"/>
      <c r="B744" s="42"/>
      <c r="C744" s="42"/>
      <c r="D744" s="42"/>
      <c r="I744" s="42"/>
      <c r="J744" s="42"/>
      <c r="K744" s="42"/>
      <c r="L744" s="42"/>
      <c r="M744" s="42"/>
      <c r="P744" s="42"/>
    </row>
    <row r="745">
      <c r="A745" s="42"/>
      <c r="B745" s="42"/>
      <c r="C745" s="42"/>
      <c r="D745" s="42"/>
      <c r="I745" s="42"/>
      <c r="J745" s="42"/>
      <c r="K745" s="42"/>
      <c r="L745" s="42"/>
      <c r="M745" s="42"/>
      <c r="P745" s="42"/>
    </row>
    <row r="746">
      <c r="A746" s="42"/>
      <c r="B746" s="42"/>
      <c r="C746" s="42"/>
      <c r="D746" s="42"/>
      <c r="I746" s="42"/>
      <c r="J746" s="42"/>
      <c r="K746" s="42"/>
      <c r="L746" s="42"/>
      <c r="M746" s="42"/>
      <c r="P746" s="42"/>
    </row>
    <row r="747">
      <c r="A747" s="42"/>
      <c r="B747" s="42"/>
      <c r="C747" s="42"/>
      <c r="D747" s="42"/>
      <c r="I747" s="42"/>
      <c r="J747" s="42"/>
      <c r="K747" s="42"/>
      <c r="L747" s="42"/>
      <c r="M747" s="42"/>
      <c r="P747" s="42"/>
    </row>
    <row r="748">
      <c r="A748" s="42"/>
      <c r="B748" s="42"/>
      <c r="C748" s="42"/>
      <c r="D748" s="42"/>
      <c r="I748" s="42"/>
      <c r="J748" s="42"/>
      <c r="K748" s="42"/>
      <c r="L748" s="42"/>
      <c r="M748" s="42"/>
      <c r="P748" s="42"/>
    </row>
    <row r="749">
      <c r="A749" s="42"/>
      <c r="B749" s="42"/>
      <c r="C749" s="42"/>
      <c r="D749" s="42"/>
      <c r="I749" s="42"/>
      <c r="J749" s="42"/>
      <c r="K749" s="42"/>
      <c r="L749" s="42"/>
      <c r="M749" s="42"/>
      <c r="P749" s="42"/>
    </row>
    <row r="750">
      <c r="A750" s="42"/>
      <c r="B750" s="42"/>
      <c r="C750" s="42"/>
      <c r="D750" s="42"/>
      <c r="I750" s="42"/>
      <c r="J750" s="42"/>
      <c r="K750" s="42"/>
      <c r="L750" s="42"/>
      <c r="M750" s="42"/>
      <c r="P750" s="42"/>
    </row>
    <row r="751">
      <c r="A751" s="42"/>
      <c r="B751" s="42"/>
      <c r="C751" s="42"/>
      <c r="D751" s="42"/>
      <c r="I751" s="42"/>
      <c r="J751" s="42"/>
      <c r="K751" s="42"/>
      <c r="L751" s="42"/>
      <c r="M751" s="42"/>
      <c r="P751" s="42"/>
    </row>
    <row r="752">
      <c r="A752" s="42"/>
      <c r="B752" s="42"/>
      <c r="C752" s="42"/>
      <c r="D752" s="42"/>
      <c r="I752" s="42"/>
      <c r="J752" s="42"/>
      <c r="K752" s="42"/>
      <c r="L752" s="42"/>
      <c r="M752" s="42"/>
      <c r="P752" s="42"/>
    </row>
    <row r="753">
      <c r="A753" s="42"/>
      <c r="B753" s="42"/>
      <c r="C753" s="42"/>
      <c r="D753" s="42"/>
      <c r="I753" s="42"/>
      <c r="J753" s="42"/>
      <c r="K753" s="42"/>
      <c r="L753" s="42"/>
      <c r="M753" s="42"/>
      <c r="P753" s="42"/>
    </row>
    <row r="754">
      <c r="A754" s="42"/>
      <c r="B754" s="42"/>
      <c r="C754" s="42"/>
      <c r="D754" s="42"/>
      <c r="I754" s="42"/>
      <c r="J754" s="42"/>
      <c r="K754" s="42"/>
      <c r="L754" s="42"/>
      <c r="M754" s="42"/>
      <c r="P754" s="42"/>
    </row>
    <row r="755">
      <c r="A755" s="42"/>
      <c r="B755" s="42"/>
      <c r="C755" s="42"/>
      <c r="D755" s="42"/>
      <c r="I755" s="42"/>
      <c r="J755" s="42"/>
      <c r="K755" s="42"/>
      <c r="L755" s="42"/>
      <c r="M755" s="42"/>
      <c r="P755" s="42"/>
    </row>
    <row r="756">
      <c r="A756" s="42"/>
      <c r="B756" s="42"/>
      <c r="C756" s="42"/>
      <c r="D756" s="42"/>
      <c r="I756" s="42"/>
      <c r="J756" s="42"/>
      <c r="K756" s="42"/>
      <c r="L756" s="42"/>
      <c r="M756" s="42"/>
      <c r="P756" s="42"/>
    </row>
    <row r="757">
      <c r="A757" s="42"/>
      <c r="B757" s="42"/>
      <c r="C757" s="42"/>
      <c r="D757" s="42"/>
      <c r="I757" s="42"/>
      <c r="J757" s="42"/>
      <c r="K757" s="42"/>
      <c r="L757" s="42"/>
      <c r="M757" s="42"/>
      <c r="P757" s="42"/>
    </row>
    <row r="758">
      <c r="A758" s="42"/>
      <c r="B758" s="42"/>
      <c r="C758" s="42"/>
      <c r="D758" s="42"/>
      <c r="I758" s="42"/>
      <c r="J758" s="42"/>
      <c r="K758" s="42"/>
      <c r="L758" s="42"/>
      <c r="M758" s="42"/>
      <c r="P758" s="42"/>
    </row>
    <row r="759">
      <c r="A759" s="42"/>
      <c r="B759" s="42"/>
      <c r="C759" s="42"/>
      <c r="D759" s="42"/>
      <c r="I759" s="42"/>
      <c r="J759" s="42"/>
      <c r="K759" s="42"/>
      <c r="L759" s="42"/>
      <c r="M759" s="42"/>
      <c r="P759" s="42"/>
    </row>
    <row r="760">
      <c r="A760" s="42"/>
      <c r="B760" s="42"/>
      <c r="C760" s="42"/>
      <c r="D760" s="42"/>
      <c r="I760" s="42"/>
      <c r="J760" s="42"/>
      <c r="K760" s="42"/>
      <c r="L760" s="42"/>
      <c r="M760" s="42"/>
      <c r="P760" s="42"/>
    </row>
    <row r="761">
      <c r="A761" s="42"/>
      <c r="B761" s="42"/>
      <c r="C761" s="42"/>
      <c r="D761" s="42"/>
      <c r="I761" s="42"/>
      <c r="J761" s="42"/>
      <c r="K761" s="42"/>
      <c r="L761" s="42"/>
      <c r="M761" s="42"/>
      <c r="P761" s="42"/>
    </row>
    <row r="762">
      <c r="A762" s="42"/>
      <c r="B762" s="42"/>
      <c r="C762" s="42"/>
      <c r="D762" s="42"/>
      <c r="I762" s="42"/>
      <c r="J762" s="42"/>
      <c r="K762" s="42"/>
      <c r="L762" s="42"/>
      <c r="M762" s="42"/>
      <c r="P762" s="42"/>
    </row>
    <row r="763">
      <c r="A763" s="42"/>
      <c r="B763" s="42"/>
      <c r="C763" s="42"/>
      <c r="D763" s="42"/>
      <c r="I763" s="42"/>
      <c r="J763" s="42"/>
      <c r="K763" s="42"/>
      <c r="L763" s="42"/>
      <c r="M763" s="42"/>
      <c r="P763" s="42"/>
    </row>
    <row r="764">
      <c r="A764" s="42"/>
      <c r="B764" s="42"/>
      <c r="C764" s="42"/>
      <c r="D764" s="42"/>
      <c r="I764" s="42"/>
      <c r="J764" s="42"/>
      <c r="K764" s="42"/>
      <c r="L764" s="42"/>
      <c r="M764" s="42"/>
      <c r="P764" s="42"/>
    </row>
    <row r="765">
      <c r="A765" s="42"/>
      <c r="B765" s="42"/>
      <c r="C765" s="42"/>
      <c r="D765" s="42"/>
      <c r="I765" s="42"/>
      <c r="J765" s="42"/>
      <c r="K765" s="42"/>
      <c r="L765" s="42"/>
      <c r="M765" s="42"/>
      <c r="P765" s="42"/>
    </row>
    <row r="766">
      <c r="A766" s="42"/>
      <c r="B766" s="42"/>
      <c r="C766" s="42"/>
      <c r="D766" s="42"/>
      <c r="I766" s="42"/>
      <c r="J766" s="42"/>
      <c r="K766" s="42"/>
      <c r="L766" s="42"/>
      <c r="M766" s="42"/>
      <c r="P766" s="42"/>
    </row>
    <row r="767">
      <c r="A767" s="42"/>
      <c r="B767" s="42"/>
      <c r="C767" s="42"/>
      <c r="D767" s="42"/>
      <c r="I767" s="42"/>
      <c r="J767" s="42"/>
      <c r="K767" s="42"/>
      <c r="L767" s="42"/>
      <c r="M767" s="42"/>
      <c r="P767" s="42"/>
    </row>
    <row r="768">
      <c r="A768" s="42"/>
      <c r="B768" s="42"/>
      <c r="C768" s="42"/>
      <c r="D768" s="42"/>
      <c r="I768" s="42"/>
      <c r="J768" s="42"/>
      <c r="K768" s="42"/>
      <c r="L768" s="42"/>
      <c r="M768" s="42"/>
      <c r="P768" s="42"/>
    </row>
    <row r="769">
      <c r="A769" s="42"/>
      <c r="B769" s="42"/>
      <c r="C769" s="42"/>
      <c r="D769" s="42"/>
      <c r="I769" s="42"/>
      <c r="J769" s="42"/>
      <c r="K769" s="42"/>
      <c r="L769" s="42"/>
      <c r="M769" s="42"/>
      <c r="P769" s="42"/>
    </row>
    <row r="770">
      <c r="A770" s="42"/>
      <c r="B770" s="42"/>
      <c r="C770" s="42"/>
      <c r="D770" s="42"/>
      <c r="I770" s="42"/>
      <c r="J770" s="42"/>
      <c r="K770" s="42"/>
      <c r="L770" s="42"/>
      <c r="M770" s="42"/>
      <c r="P770" s="42"/>
    </row>
    <row r="771">
      <c r="A771" s="42"/>
      <c r="B771" s="42"/>
      <c r="C771" s="42"/>
      <c r="D771" s="42"/>
      <c r="I771" s="42"/>
      <c r="J771" s="42"/>
      <c r="K771" s="42"/>
      <c r="L771" s="42"/>
      <c r="M771" s="42"/>
      <c r="P771" s="42"/>
    </row>
    <row r="772">
      <c r="A772" s="42"/>
      <c r="B772" s="42"/>
      <c r="C772" s="42"/>
      <c r="D772" s="42"/>
      <c r="I772" s="42"/>
      <c r="J772" s="42"/>
      <c r="K772" s="42"/>
      <c r="L772" s="42"/>
      <c r="M772" s="42"/>
      <c r="P772" s="42"/>
    </row>
    <row r="773">
      <c r="A773" s="42"/>
      <c r="B773" s="42"/>
      <c r="C773" s="42"/>
      <c r="D773" s="42"/>
      <c r="I773" s="42"/>
      <c r="J773" s="42"/>
      <c r="K773" s="42"/>
      <c r="L773" s="42"/>
      <c r="M773" s="42"/>
      <c r="P773" s="42"/>
    </row>
    <row r="774">
      <c r="A774" s="42"/>
      <c r="B774" s="42"/>
      <c r="C774" s="42"/>
      <c r="D774" s="42"/>
      <c r="I774" s="42"/>
      <c r="J774" s="42"/>
      <c r="K774" s="42"/>
      <c r="L774" s="42"/>
      <c r="M774" s="42"/>
      <c r="P774" s="42"/>
    </row>
    <row r="775">
      <c r="A775" s="42"/>
      <c r="B775" s="42"/>
      <c r="C775" s="42"/>
      <c r="D775" s="42"/>
      <c r="I775" s="42"/>
      <c r="J775" s="42"/>
      <c r="K775" s="42"/>
      <c r="L775" s="42"/>
      <c r="M775" s="42"/>
      <c r="P775" s="42"/>
    </row>
    <row r="776">
      <c r="A776" s="42"/>
      <c r="B776" s="42"/>
      <c r="C776" s="42"/>
      <c r="D776" s="42"/>
      <c r="I776" s="42"/>
      <c r="J776" s="42"/>
      <c r="K776" s="42"/>
      <c r="L776" s="42"/>
      <c r="M776" s="42"/>
      <c r="P776" s="42"/>
    </row>
    <row r="777">
      <c r="A777" s="42"/>
      <c r="B777" s="42"/>
      <c r="C777" s="42"/>
      <c r="D777" s="42"/>
      <c r="I777" s="42"/>
      <c r="J777" s="42"/>
      <c r="K777" s="42"/>
      <c r="L777" s="42"/>
      <c r="M777" s="42"/>
      <c r="P777" s="42"/>
    </row>
    <row r="778">
      <c r="A778" s="42"/>
      <c r="B778" s="42"/>
      <c r="C778" s="42"/>
      <c r="D778" s="42"/>
      <c r="I778" s="42"/>
      <c r="J778" s="42"/>
      <c r="K778" s="42"/>
      <c r="L778" s="42"/>
      <c r="M778" s="42"/>
      <c r="P778" s="42"/>
    </row>
    <row r="779">
      <c r="A779" s="42"/>
      <c r="B779" s="42"/>
      <c r="C779" s="42"/>
      <c r="D779" s="42"/>
      <c r="I779" s="42"/>
      <c r="J779" s="42"/>
      <c r="K779" s="42"/>
      <c r="L779" s="42"/>
      <c r="M779" s="42"/>
      <c r="P779" s="42"/>
    </row>
    <row r="780">
      <c r="A780" s="42"/>
      <c r="B780" s="42"/>
      <c r="C780" s="42"/>
      <c r="D780" s="42"/>
      <c r="I780" s="42"/>
      <c r="J780" s="42"/>
      <c r="K780" s="42"/>
      <c r="L780" s="42"/>
      <c r="M780" s="42"/>
      <c r="P780" s="42"/>
    </row>
    <row r="781">
      <c r="A781" s="42"/>
      <c r="B781" s="42"/>
      <c r="C781" s="42"/>
      <c r="D781" s="42"/>
      <c r="I781" s="42"/>
      <c r="J781" s="42"/>
      <c r="K781" s="42"/>
      <c r="L781" s="42"/>
      <c r="M781" s="42"/>
      <c r="P781" s="42"/>
    </row>
    <row r="782">
      <c r="A782" s="42"/>
      <c r="B782" s="42"/>
      <c r="C782" s="42"/>
      <c r="D782" s="42"/>
      <c r="I782" s="42"/>
      <c r="J782" s="42"/>
      <c r="K782" s="42"/>
      <c r="L782" s="42"/>
      <c r="M782" s="42"/>
      <c r="P782" s="42"/>
    </row>
    <row r="783">
      <c r="A783" s="42"/>
      <c r="B783" s="42"/>
      <c r="C783" s="42"/>
      <c r="D783" s="42"/>
      <c r="I783" s="42"/>
      <c r="J783" s="42"/>
      <c r="K783" s="42"/>
      <c r="L783" s="42"/>
      <c r="M783" s="42"/>
      <c r="P783" s="42"/>
    </row>
    <row r="784">
      <c r="A784" s="42"/>
      <c r="B784" s="42"/>
      <c r="C784" s="42"/>
      <c r="D784" s="42"/>
      <c r="I784" s="42"/>
      <c r="J784" s="42"/>
      <c r="K784" s="42"/>
      <c r="L784" s="42"/>
      <c r="M784" s="42"/>
      <c r="P784" s="42"/>
    </row>
    <row r="785">
      <c r="A785" s="42"/>
      <c r="B785" s="42"/>
      <c r="C785" s="42"/>
      <c r="D785" s="42"/>
      <c r="I785" s="42"/>
      <c r="J785" s="42"/>
      <c r="K785" s="42"/>
      <c r="L785" s="42"/>
      <c r="M785" s="42"/>
      <c r="P785" s="42"/>
    </row>
    <row r="786">
      <c r="A786" s="42"/>
      <c r="B786" s="42"/>
      <c r="C786" s="42"/>
      <c r="D786" s="42"/>
      <c r="I786" s="42"/>
      <c r="J786" s="42"/>
      <c r="K786" s="42"/>
      <c r="L786" s="42"/>
      <c r="M786" s="42"/>
      <c r="P786" s="42"/>
    </row>
    <row r="787">
      <c r="A787" s="42"/>
      <c r="B787" s="42"/>
      <c r="C787" s="42"/>
      <c r="D787" s="42"/>
      <c r="I787" s="42"/>
      <c r="J787" s="42"/>
      <c r="K787" s="42"/>
      <c r="L787" s="42"/>
      <c r="M787" s="42"/>
      <c r="P787" s="42"/>
    </row>
    <row r="788">
      <c r="A788" s="42"/>
      <c r="B788" s="42"/>
      <c r="C788" s="42"/>
      <c r="D788" s="42"/>
      <c r="I788" s="42"/>
      <c r="J788" s="42"/>
      <c r="K788" s="42"/>
      <c r="L788" s="42"/>
      <c r="M788" s="42"/>
      <c r="P788" s="42"/>
    </row>
    <row r="789">
      <c r="A789" s="42"/>
      <c r="B789" s="42"/>
      <c r="C789" s="42"/>
      <c r="D789" s="42"/>
      <c r="I789" s="42"/>
      <c r="J789" s="42"/>
      <c r="K789" s="42"/>
      <c r="L789" s="42"/>
      <c r="M789" s="42"/>
      <c r="P789" s="42"/>
    </row>
    <row r="790">
      <c r="A790" s="42"/>
      <c r="B790" s="42"/>
      <c r="C790" s="42"/>
      <c r="D790" s="42"/>
      <c r="I790" s="42"/>
      <c r="J790" s="42"/>
      <c r="K790" s="42"/>
      <c r="L790" s="42"/>
      <c r="M790" s="42"/>
      <c r="P790" s="42"/>
    </row>
    <row r="791">
      <c r="A791" s="42"/>
      <c r="B791" s="42"/>
      <c r="C791" s="42"/>
      <c r="D791" s="42"/>
      <c r="I791" s="42"/>
      <c r="J791" s="42"/>
      <c r="K791" s="42"/>
      <c r="L791" s="42"/>
      <c r="M791" s="42"/>
      <c r="P791" s="42"/>
    </row>
    <row r="792">
      <c r="A792" s="42"/>
      <c r="B792" s="42"/>
      <c r="C792" s="42"/>
      <c r="D792" s="42"/>
      <c r="I792" s="42"/>
      <c r="J792" s="42"/>
      <c r="K792" s="42"/>
      <c r="L792" s="42"/>
      <c r="M792" s="42"/>
      <c r="P792" s="42"/>
    </row>
    <row r="793">
      <c r="A793" s="42"/>
      <c r="B793" s="42"/>
      <c r="C793" s="42"/>
      <c r="D793" s="42"/>
      <c r="I793" s="42"/>
      <c r="J793" s="42"/>
      <c r="K793" s="42"/>
      <c r="L793" s="42"/>
      <c r="M793" s="42"/>
      <c r="P793" s="42"/>
    </row>
    <row r="794">
      <c r="A794" s="42"/>
      <c r="B794" s="42"/>
      <c r="C794" s="42"/>
      <c r="D794" s="42"/>
      <c r="I794" s="42"/>
      <c r="J794" s="42"/>
      <c r="K794" s="42"/>
      <c r="L794" s="42"/>
      <c r="M794" s="42"/>
      <c r="P794" s="42"/>
    </row>
    <row r="795">
      <c r="A795" s="42"/>
      <c r="B795" s="42"/>
      <c r="C795" s="42"/>
      <c r="D795" s="42"/>
      <c r="I795" s="42"/>
      <c r="J795" s="42"/>
      <c r="K795" s="42"/>
      <c r="L795" s="42"/>
      <c r="M795" s="42"/>
      <c r="P795" s="42"/>
    </row>
    <row r="796">
      <c r="A796" s="42"/>
      <c r="B796" s="42"/>
      <c r="C796" s="42"/>
      <c r="D796" s="42"/>
      <c r="I796" s="42"/>
      <c r="J796" s="42"/>
      <c r="K796" s="42"/>
      <c r="L796" s="42"/>
      <c r="M796" s="42"/>
      <c r="P796" s="42"/>
    </row>
    <row r="797">
      <c r="A797" s="42"/>
      <c r="B797" s="42"/>
      <c r="C797" s="42"/>
      <c r="D797" s="42"/>
      <c r="I797" s="42"/>
      <c r="J797" s="42"/>
      <c r="K797" s="42"/>
      <c r="L797" s="42"/>
      <c r="M797" s="42"/>
      <c r="P797" s="42"/>
    </row>
    <row r="798">
      <c r="A798" s="42"/>
      <c r="B798" s="42"/>
      <c r="C798" s="42"/>
      <c r="D798" s="42"/>
      <c r="I798" s="42"/>
      <c r="J798" s="42"/>
      <c r="K798" s="42"/>
      <c r="L798" s="42"/>
      <c r="M798" s="42"/>
      <c r="P798" s="42"/>
    </row>
    <row r="799">
      <c r="A799" s="42"/>
      <c r="B799" s="42"/>
      <c r="C799" s="42"/>
      <c r="D799" s="42"/>
      <c r="I799" s="42"/>
      <c r="J799" s="42"/>
      <c r="K799" s="42"/>
      <c r="L799" s="42"/>
      <c r="M799" s="42"/>
      <c r="P799" s="42"/>
    </row>
    <row r="800">
      <c r="A800" s="42"/>
      <c r="B800" s="42"/>
      <c r="C800" s="42"/>
      <c r="D800" s="42"/>
      <c r="I800" s="42"/>
      <c r="J800" s="42"/>
      <c r="K800" s="42"/>
      <c r="L800" s="42"/>
      <c r="M800" s="42"/>
      <c r="P800" s="42"/>
    </row>
    <row r="801">
      <c r="A801" s="42"/>
      <c r="B801" s="42"/>
      <c r="C801" s="42"/>
      <c r="D801" s="42"/>
      <c r="I801" s="42"/>
      <c r="J801" s="42"/>
      <c r="K801" s="42"/>
      <c r="L801" s="42"/>
      <c r="M801" s="42"/>
      <c r="P801" s="42"/>
    </row>
    <row r="802">
      <c r="A802" s="42"/>
      <c r="B802" s="42"/>
      <c r="C802" s="42"/>
      <c r="D802" s="42"/>
      <c r="I802" s="42"/>
      <c r="J802" s="42"/>
      <c r="K802" s="42"/>
      <c r="L802" s="42"/>
      <c r="M802" s="42"/>
      <c r="P802" s="42"/>
    </row>
    <row r="803">
      <c r="A803" s="42"/>
      <c r="B803" s="42"/>
      <c r="C803" s="42"/>
      <c r="D803" s="42"/>
      <c r="I803" s="42"/>
      <c r="J803" s="42"/>
      <c r="K803" s="42"/>
      <c r="L803" s="42"/>
      <c r="M803" s="42"/>
      <c r="P803" s="42"/>
    </row>
    <row r="804">
      <c r="A804" s="42"/>
      <c r="B804" s="42"/>
      <c r="C804" s="42"/>
      <c r="D804" s="42"/>
      <c r="I804" s="42"/>
      <c r="J804" s="42"/>
      <c r="K804" s="42"/>
      <c r="L804" s="42"/>
      <c r="M804" s="42"/>
      <c r="P804" s="42"/>
    </row>
    <row r="805">
      <c r="A805" s="42"/>
      <c r="B805" s="42"/>
      <c r="C805" s="42"/>
      <c r="D805" s="42"/>
      <c r="I805" s="42"/>
      <c r="J805" s="42"/>
      <c r="K805" s="42"/>
      <c r="L805" s="42"/>
      <c r="M805" s="42"/>
      <c r="P805" s="42"/>
    </row>
    <row r="806">
      <c r="A806" s="42"/>
      <c r="B806" s="42"/>
      <c r="C806" s="42"/>
      <c r="D806" s="42"/>
      <c r="I806" s="42"/>
      <c r="J806" s="42"/>
      <c r="K806" s="42"/>
      <c r="L806" s="42"/>
      <c r="M806" s="42"/>
      <c r="P806" s="42"/>
    </row>
    <row r="807">
      <c r="A807" s="42"/>
      <c r="B807" s="42"/>
      <c r="C807" s="42"/>
      <c r="D807" s="42"/>
      <c r="I807" s="42"/>
      <c r="J807" s="42"/>
      <c r="K807" s="42"/>
      <c r="L807" s="42"/>
      <c r="M807" s="42"/>
      <c r="P807" s="42"/>
    </row>
    <row r="808">
      <c r="A808" s="42"/>
      <c r="B808" s="42"/>
      <c r="C808" s="42"/>
      <c r="D808" s="42"/>
      <c r="I808" s="42"/>
      <c r="J808" s="42"/>
      <c r="K808" s="42"/>
      <c r="L808" s="42"/>
      <c r="M808" s="42"/>
      <c r="P808" s="42"/>
    </row>
    <row r="809">
      <c r="A809" s="42"/>
      <c r="B809" s="42"/>
      <c r="C809" s="42"/>
      <c r="D809" s="42"/>
      <c r="I809" s="42"/>
      <c r="J809" s="42"/>
      <c r="K809" s="42"/>
      <c r="L809" s="42"/>
      <c r="M809" s="42"/>
      <c r="P809" s="42"/>
    </row>
    <row r="810">
      <c r="A810" s="42"/>
      <c r="B810" s="42"/>
      <c r="C810" s="42"/>
      <c r="D810" s="42"/>
      <c r="I810" s="42"/>
      <c r="J810" s="42"/>
      <c r="K810" s="42"/>
      <c r="L810" s="42"/>
      <c r="M810" s="42"/>
      <c r="P810" s="42"/>
    </row>
    <row r="811">
      <c r="A811" s="42"/>
      <c r="B811" s="42"/>
      <c r="C811" s="42"/>
      <c r="D811" s="42"/>
      <c r="I811" s="42"/>
      <c r="J811" s="42"/>
      <c r="K811" s="42"/>
      <c r="L811" s="42"/>
      <c r="M811" s="42"/>
      <c r="P811" s="42"/>
    </row>
    <row r="812">
      <c r="A812" s="42"/>
      <c r="B812" s="42"/>
      <c r="C812" s="42"/>
      <c r="D812" s="42"/>
      <c r="I812" s="42"/>
      <c r="J812" s="42"/>
      <c r="K812" s="42"/>
      <c r="L812" s="42"/>
      <c r="M812" s="42"/>
      <c r="P812" s="42"/>
    </row>
    <row r="813">
      <c r="A813" s="42"/>
      <c r="B813" s="42"/>
      <c r="C813" s="42"/>
      <c r="D813" s="42"/>
      <c r="I813" s="42"/>
      <c r="J813" s="42"/>
      <c r="K813" s="42"/>
      <c r="L813" s="42"/>
      <c r="M813" s="42"/>
      <c r="P813" s="42"/>
    </row>
    <row r="814">
      <c r="A814" s="42"/>
      <c r="B814" s="42"/>
      <c r="C814" s="42"/>
      <c r="D814" s="42"/>
      <c r="I814" s="42"/>
      <c r="J814" s="42"/>
      <c r="K814" s="42"/>
      <c r="L814" s="42"/>
      <c r="M814" s="42"/>
      <c r="P814" s="42"/>
    </row>
    <row r="815">
      <c r="A815" s="42"/>
      <c r="B815" s="42"/>
      <c r="C815" s="42"/>
      <c r="D815" s="42"/>
      <c r="I815" s="42"/>
      <c r="J815" s="42"/>
      <c r="K815" s="42"/>
      <c r="L815" s="42"/>
      <c r="M815" s="42"/>
      <c r="P815" s="42"/>
    </row>
    <row r="816">
      <c r="A816" s="42"/>
      <c r="B816" s="42"/>
      <c r="C816" s="42"/>
      <c r="D816" s="42"/>
      <c r="I816" s="42"/>
      <c r="J816" s="42"/>
      <c r="K816" s="42"/>
      <c r="L816" s="42"/>
      <c r="M816" s="42"/>
      <c r="P816" s="42"/>
    </row>
    <row r="817">
      <c r="A817" s="42"/>
      <c r="B817" s="42"/>
      <c r="C817" s="42"/>
      <c r="D817" s="42"/>
      <c r="I817" s="42"/>
      <c r="J817" s="42"/>
      <c r="K817" s="42"/>
      <c r="L817" s="42"/>
      <c r="M817" s="42"/>
      <c r="P817" s="42"/>
    </row>
    <row r="818">
      <c r="A818" s="42"/>
      <c r="B818" s="42"/>
      <c r="C818" s="42"/>
      <c r="D818" s="42"/>
      <c r="I818" s="42"/>
      <c r="J818" s="42"/>
      <c r="K818" s="42"/>
      <c r="L818" s="42"/>
      <c r="M818" s="42"/>
      <c r="P818" s="42"/>
    </row>
    <row r="819">
      <c r="A819" s="42"/>
      <c r="B819" s="42"/>
      <c r="C819" s="42"/>
      <c r="D819" s="42"/>
      <c r="I819" s="42"/>
      <c r="J819" s="42"/>
      <c r="K819" s="42"/>
      <c r="L819" s="42"/>
      <c r="M819" s="42"/>
      <c r="P819" s="42"/>
    </row>
    <row r="820">
      <c r="A820" s="42"/>
      <c r="B820" s="42"/>
      <c r="C820" s="42"/>
      <c r="D820" s="42"/>
      <c r="I820" s="42"/>
      <c r="J820" s="42"/>
      <c r="K820" s="42"/>
      <c r="L820" s="42"/>
      <c r="M820" s="42"/>
      <c r="P820" s="42"/>
    </row>
    <row r="821">
      <c r="A821" s="42"/>
      <c r="B821" s="42"/>
      <c r="C821" s="42"/>
      <c r="D821" s="42"/>
      <c r="I821" s="42"/>
      <c r="J821" s="42"/>
      <c r="K821" s="42"/>
      <c r="L821" s="42"/>
      <c r="M821" s="42"/>
      <c r="P821" s="42"/>
    </row>
    <row r="822">
      <c r="A822" s="42"/>
      <c r="B822" s="42"/>
      <c r="C822" s="42"/>
      <c r="D822" s="42"/>
      <c r="I822" s="42"/>
      <c r="J822" s="42"/>
      <c r="K822" s="42"/>
      <c r="L822" s="42"/>
      <c r="M822" s="42"/>
      <c r="P822" s="42"/>
    </row>
    <row r="823">
      <c r="A823" s="42"/>
      <c r="B823" s="42"/>
      <c r="C823" s="42"/>
      <c r="D823" s="42"/>
      <c r="I823" s="42"/>
      <c r="J823" s="42"/>
      <c r="K823" s="42"/>
      <c r="L823" s="42"/>
      <c r="M823" s="42"/>
      <c r="P823" s="42"/>
    </row>
    <row r="824">
      <c r="A824" s="42"/>
      <c r="B824" s="42"/>
      <c r="C824" s="42"/>
      <c r="D824" s="42"/>
      <c r="I824" s="42"/>
      <c r="J824" s="42"/>
      <c r="K824" s="42"/>
      <c r="L824" s="42"/>
      <c r="M824" s="42"/>
      <c r="P824" s="42"/>
    </row>
    <row r="825">
      <c r="A825" s="42"/>
      <c r="B825" s="42"/>
      <c r="C825" s="42"/>
      <c r="D825" s="42"/>
      <c r="I825" s="42"/>
      <c r="J825" s="42"/>
      <c r="K825" s="42"/>
      <c r="L825" s="42"/>
      <c r="M825" s="42"/>
      <c r="P825" s="42"/>
    </row>
    <row r="826">
      <c r="A826" s="42"/>
      <c r="B826" s="42"/>
      <c r="C826" s="42"/>
      <c r="D826" s="42"/>
      <c r="I826" s="42"/>
      <c r="J826" s="42"/>
      <c r="K826" s="42"/>
      <c r="L826" s="42"/>
      <c r="M826" s="42"/>
      <c r="P826" s="42"/>
    </row>
    <row r="827">
      <c r="A827" s="42"/>
      <c r="B827" s="42"/>
      <c r="C827" s="42"/>
      <c r="D827" s="42"/>
      <c r="I827" s="42"/>
      <c r="J827" s="42"/>
      <c r="K827" s="42"/>
      <c r="L827" s="42"/>
      <c r="M827" s="42"/>
      <c r="P827" s="42"/>
    </row>
    <row r="828">
      <c r="A828" s="42"/>
      <c r="B828" s="42"/>
      <c r="C828" s="42"/>
      <c r="D828" s="42"/>
      <c r="I828" s="42"/>
      <c r="J828" s="42"/>
      <c r="K828" s="42"/>
      <c r="L828" s="42"/>
      <c r="M828" s="42"/>
      <c r="P828" s="42"/>
    </row>
    <row r="829">
      <c r="A829" s="42"/>
      <c r="B829" s="42"/>
      <c r="C829" s="42"/>
      <c r="D829" s="42"/>
      <c r="I829" s="42"/>
      <c r="J829" s="42"/>
      <c r="K829" s="42"/>
      <c r="L829" s="42"/>
      <c r="M829" s="42"/>
      <c r="P829" s="42"/>
    </row>
    <row r="830">
      <c r="A830" s="42"/>
      <c r="B830" s="42"/>
      <c r="C830" s="42"/>
      <c r="D830" s="42"/>
      <c r="I830" s="42"/>
      <c r="J830" s="42"/>
      <c r="K830" s="42"/>
      <c r="L830" s="42"/>
      <c r="M830" s="42"/>
      <c r="P830" s="42"/>
    </row>
    <row r="831">
      <c r="A831" s="42"/>
      <c r="B831" s="42"/>
      <c r="C831" s="42"/>
      <c r="D831" s="42"/>
      <c r="I831" s="42"/>
      <c r="J831" s="42"/>
      <c r="K831" s="42"/>
      <c r="L831" s="42"/>
      <c r="M831" s="42"/>
      <c r="P831" s="42"/>
    </row>
    <row r="832">
      <c r="A832" s="42"/>
      <c r="B832" s="42"/>
      <c r="C832" s="42"/>
      <c r="D832" s="42"/>
      <c r="I832" s="42"/>
      <c r="J832" s="42"/>
      <c r="K832" s="42"/>
      <c r="L832" s="42"/>
      <c r="M832" s="42"/>
      <c r="P832" s="42"/>
    </row>
    <row r="833">
      <c r="A833" s="42"/>
      <c r="B833" s="42"/>
      <c r="C833" s="42"/>
      <c r="D833" s="42"/>
      <c r="I833" s="42"/>
      <c r="J833" s="42"/>
      <c r="K833" s="42"/>
      <c r="L833" s="42"/>
      <c r="M833" s="42"/>
      <c r="P833" s="42"/>
    </row>
    <row r="834">
      <c r="A834" s="42"/>
      <c r="B834" s="42"/>
      <c r="C834" s="42"/>
      <c r="D834" s="42"/>
      <c r="I834" s="42"/>
      <c r="J834" s="42"/>
      <c r="K834" s="42"/>
      <c r="L834" s="42"/>
      <c r="M834" s="42"/>
      <c r="P834" s="42"/>
    </row>
    <row r="835">
      <c r="A835" s="42"/>
      <c r="B835" s="42"/>
      <c r="C835" s="42"/>
      <c r="D835" s="42"/>
      <c r="I835" s="42"/>
      <c r="J835" s="42"/>
      <c r="K835" s="42"/>
      <c r="L835" s="42"/>
      <c r="M835" s="42"/>
      <c r="P835" s="42"/>
    </row>
    <row r="836">
      <c r="A836" s="42"/>
      <c r="B836" s="42"/>
      <c r="C836" s="42"/>
      <c r="D836" s="42"/>
      <c r="I836" s="42"/>
      <c r="J836" s="42"/>
      <c r="K836" s="42"/>
      <c r="L836" s="42"/>
      <c r="M836" s="42"/>
      <c r="P836" s="42"/>
    </row>
    <row r="837">
      <c r="A837" s="42"/>
      <c r="B837" s="42"/>
      <c r="C837" s="42"/>
      <c r="D837" s="42"/>
      <c r="I837" s="42"/>
      <c r="J837" s="42"/>
      <c r="K837" s="42"/>
      <c r="L837" s="42"/>
      <c r="M837" s="42"/>
      <c r="P837" s="42"/>
    </row>
    <row r="838">
      <c r="A838" s="42"/>
      <c r="B838" s="42"/>
      <c r="C838" s="42"/>
      <c r="D838" s="42"/>
      <c r="I838" s="42"/>
      <c r="J838" s="42"/>
      <c r="K838" s="42"/>
      <c r="L838" s="42"/>
      <c r="M838" s="42"/>
      <c r="P838" s="42"/>
    </row>
    <row r="839">
      <c r="A839" s="42"/>
      <c r="B839" s="42"/>
      <c r="C839" s="42"/>
      <c r="D839" s="42"/>
      <c r="I839" s="42"/>
      <c r="J839" s="42"/>
      <c r="K839" s="42"/>
      <c r="L839" s="42"/>
      <c r="M839" s="42"/>
      <c r="P839" s="42"/>
    </row>
    <row r="840">
      <c r="A840" s="42"/>
      <c r="B840" s="42"/>
      <c r="C840" s="42"/>
      <c r="D840" s="42"/>
      <c r="I840" s="42"/>
      <c r="J840" s="42"/>
      <c r="K840" s="42"/>
      <c r="L840" s="42"/>
      <c r="M840" s="42"/>
      <c r="P840" s="42"/>
    </row>
    <row r="841">
      <c r="A841" s="42"/>
      <c r="B841" s="42"/>
      <c r="C841" s="42"/>
      <c r="D841" s="42"/>
      <c r="I841" s="42"/>
      <c r="J841" s="42"/>
      <c r="K841" s="42"/>
      <c r="L841" s="42"/>
      <c r="M841" s="42"/>
      <c r="P841" s="42"/>
    </row>
    <row r="842">
      <c r="A842" s="42"/>
      <c r="B842" s="42"/>
      <c r="C842" s="42"/>
      <c r="D842" s="42"/>
      <c r="I842" s="42"/>
      <c r="J842" s="42"/>
      <c r="K842" s="42"/>
      <c r="L842" s="42"/>
      <c r="M842" s="42"/>
      <c r="P842" s="42"/>
    </row>
    <row r="843">
      <c r="A843" s="42"/>
      <c r="B843" s="42"/>
      <c r="C843" s="42"/>
      <c r="D843" s="42"/>
      <c r="I843" s="42"/>
      <c r="J843" s="42"/>
      <c r="K843" s="42"/>
      <c r="L843" s="42"/>
      <c r="M843" s="42"/>
      <c r="P843" s="42"/>
    </row>
    <row r="844">
      <c r="A844" s="42"/>
      <c r="B844" s="42"/>
      <c r="C844" s="42"/>
      <c r="D844" s="42"/>
      <c r="I844" s="42"/>
      <c r="J844" s="42"/>
      <c r="K844" s="42"/>
      <c r="L844" s="42"/>
      <c r="M844" s="42"/>
      <c r="P844" s="42"/>
    </row>
    <row r="845">
      <c r="A845" s="42"/>
      <c r="B845" s="42"/>
      <c r="C845" s="42"/>
      <c r="D845" s="42"/>
      <c r="I845" s="42"/>
      <c r="J845" s="42"/>
      <c r="K845" s="42"/>
      <c r="L845" s="42"/>
      <c r="M845" s="42"/>
      <c r="P845" s="42"/>
    </row>
    <row r="846">
      <c r="A846" s="42"/>
      <c r="B846" s="42"/>
      <c r="C846" s="42"/>
      <c r="D846" s="42"/>
      <c r="I846" s="42"/>
      <c r="J846" s="42"/>
      <c r="K846" s="42"/>
      <c r="L846" s="42"/>
      <c r="M846" s="42"/>
      <c r="P846" s="42"/>
    </row>
    <row r="847">
      <c r="A847" s="42"/>
      <c r="B847" s="42"/>
      <c r="C847" s="42"/>
      <c r="D847" s="42"/>
      <c r="I847" s="42"/>
      <c r="J847" s="42"/>
      <c r="K847" s="42"/>
      <c r="L847" s="42"/>
      <c r="M847" s="42"/>
      <c r="P847" s="42"/>
    </row>
    <row r="848">
      <c r="A848" s="42"/>
      <c r="B848" s="42"/>
      <c r="C848" s="42"/>
      <c r="D848" s="42"/>
      <c r="I848" s="42"/>
      <c r="J848" s="42"/>
      <c r="K848" s="42"/>
      <c r="L848" s="42"/>
      <c r="M848" s="42"/>
      <c r="P848" s="42"/>
    </row>
    <row r="849">
      <c r="A849" s="42"/>
      <c r="B849" s="42"/>
      <c r="C849" s="42"/>
      <c r="D849" s="42"/>
      <c r="I849" s="42"/>
      <c r="J849" s="42"/>
      <c r="K849" s="42"/>
      <c r="L849" s="42"/>
      <c r="M849" s="42"/>
      <c r="P849" s="42"/>
    </row>
    <row r="850">
      <c r="A850" s="42"/>
      <c r="B850" s="42"/>
      <c r="C850" s="42"/>
      <c r="D850" s="42"/>
      <c r="I850" s="42"/>
      <c r="J850" s="42"/>
      <c r="K850" s="42"/>
      <c r="L850" s="42"/>
      <c r="M850" s="42"/>
      <c r="P850" s="42"/>
    </row>
    <row r="851">
      <c r="A851" s="42"/>
      <c r="B851" s="42"/>
      <c r="C851" s="42"/>
      <c r="D851" s="42"/>
      <c r="I851" s="42"/>
      <c r="J851" s="42"/>
      <c r="K851" s="42"/>
      <c r="L851" s="42"/>
      <c r="M851" s="42"/>
      <c r="P851" s="42"/>
    </row>
    <row r="852">
      <c r="A852" s="42"/>
      <c r="B852" s="42"/>
      <c r="C852" s="42"/>
      <c r="D852" s="42"/>
      <c r="I852" s="42"/>
      <c r="J852" s="42"/>
      <c r="K852" s="42"/>
      <c r="L852" s="42"/>
      <c r="M852" s="42"/>
      <c r="P852" s="42"/>
    </row>
    <row r="853">
      <c r="A853" s="42"/>
      <c r="B853" s="42"/>
      <c r="C853" s="42"/>
      <c r="D853" s="42"/>
      <c r="I853" s="42"/>
      <c r="J853" s="42"/>
      <c r="K853" s="42"/>
      <c r="L853" s="42"/>
      <c r="M853" s="42"/>
      <c r="P853" s="42"/>
    </row>
    <row r="854">
      <c r="A854" s="42"/>
      <c r="B854" s="42"/>
      <c r="C854" s="42"/>
      <c r="D854" s="42"/>
      <c r="I854" s="42"/>
      <c r="J854" s="42"/>
      <c r="K854" s="42"/>
      <c r="L854" s="42"/>
      <c r="M854" s="42"/>
      <c r="P854" s="42"/>
    </row>
    <row r="855">
      <c r="A855" s="42"/>
      <c r="B855" s="42"/>
      <c r="C855" s="42"/>
      <c r="D855" s="42"/>
      <c r="I855" s="42"/>
      <c r="J855" s="42"/>
      <c r="K855" s="42"/>
      <c r="L855" s="42"/>
      <c r="M855" s="42"/>
      <c r="P855" s="42"/>
    </row>
    <row r="856">
      <c r="A856" s="42"/>
      <c r="B856" s="42"/>
      <c r="C856" s="42"/>
      <c r="D856" s="42"/>
      <c r="I856" s="42"/>
      <c r="J856" s="42"/>
      <c r="K856" s="42"/>
      <c r="L856" s="42"/>
      <c r="M856" s="42"/>
      <c r="P856" s="42"/>
    </row>
    <row r="857">
      <c r="A857" s="42"/>
      <c r="B857" s="42"/>
      <c r="C857" s="42"/>
      <c r="D857" s="42"/>
      <c r="I857" s="42"/>
      <c r="J857" s="42"/>
      <c r="K857" s="42"/>
      <c r="L857" s="42"/>
      <c r="M857" s="42"/>
      <c r="P857" s="42"/>
    </row>
    <row r="858">
      <c r="A858" s="42"/>
      <c r="B858" s="42"/>
      <c r="C858" s="42"/>
      <c r="D858" s="42"/>
      <c r="I858" s="42"/>
      <c r="J858" s="42"/>
      <c r="K858" s="42"/>
      <c r="L858" s="42"/>
      <c r="M858" s="42"/>
      <c r="P858" s="42"/>
    </row>
    <row r="859">
      <c r="A859" s="42"/>
      <c r="B859" s="42"/>
      <c r="C859" s="42"/>
      <c r="D859" s="42"/>
      <c r="I859" s="42"/>
      <c r="J859" s="42"/>
      <c r="K859" s="42"/>
      <c r="L859" s="42"/>
      <c r="M859" s="42"/>
      <c r="P859" s="42"/>
    </row>
    <row r="860">
      <c r="A860" s="42"/>
      <c r="B860" s="42"/>
      <c r="C860" s="42"/>
      <c r="D860" s="42"/>
      <c r="I860" s="42"/>
      <c r="J860" s="42"/>
      <c r="K860" s="42"/>
      <c r="L860" s="42"/>
      <c r="M860" s="42"/>
      <c r="P860" s="42"/>
    </row>
    <row r="861">
      <c r="A861" s="42"/>
      <c r="B861" s="42"/>
      <c r="C861" s="42"/>
      <c r="D861" s="42"/>
      <c r="I861" s="42"/>
      <c r="J861" s="42"/>
      <c r="K861" s="42"/>
      <c r="L861" s="42"/>
      <c r="M861" s="42"/>
      <c r="P861" s="42"/>
    </row>
    <row r="862">
      <c r="A862" s="42"/>
      <c r="B862" s="42"/>
      <c r="C862" s="42"/>
      <c r="D862" s="42"/>
      <c r="I862" s="42"/>
      <c r="J862" s="42"/>
      <c r="K862" s="42"/>
      <c r="L862" s="42"/>
      <c r="M862" s="42"/>
      <c r="P862" s="42"/>
    </row>
    <row r="863">
      <c r="A863" s="42"/>
      <c r="B863" s="42"/>
      <c r="C863" s="42"/>
      <c r="D863" s="42"/>
      <c r="I863" s="42"/>
      <c r="J863" s="42"/>
      <c r="K863" s="42"/>
      <c r="L863" s="42"/>
      <c r="M863" s="42"/>
      <c r="P863" s="42"/>
    </row>
    <row r="864">
      <c r="A864" s="42"/>
      <c r="B864" s="42"/>
      <c r="C864" s="42"/>
      <c r="D864" s="42"/>
      <c r="I864" s="42"/>
      <c r="J864" s="42"/>
      <c r="K864" s="42"/>
      <c r="L864" s="42"/>
      <c r="M864" s="42"/>
      <c r="P864" s="42"/>
    </row>
    <row r="865">
      <c r="A865" s="42"/>
      <c r="B865" s="42"/>
      <c r="C865" s="42"/>
      <c r="D865" s="42"/>
      <c r="I865" s="42"/>
      <c r="J865" s="42"/>
      <c r="K865" s="42"/>
      <c r="L865" s="42"/>
      <c r="M865" s="42"/>
      <c r="P865" s="42"/>
    </row>
    <row r="866">
      <c r="A866" s="42"/>
      <c r="B866" s="42"/>
      <c r="C866" s="42"/>
      <c r="D866" s="42"/>
      <c r="I866" s="42"/>
      <c r="J866" s="42"/>
      <c r="K866" s="42"/>
      <c r="L866" s="42"/>
      <c r="M866" s="42"/>
      <c r="P866" s="42"/>
    </row>
    <row r="867">
      <c r="A867" s="42"/>
      <c r="B867" s="42"/>
      <c r="C867" s="42"/>
      <c r="D867" s="42"/>
      <c r="I867" s="42"/>
      <c r="J867" s="42"/>
      <c r="K867" s="42"/>
      <c r="L867" s="42"/>
      <c r="M867" s="42"/>
      <c r="P867" s="42"/>
    </row>
    <row r="868">
      <c r="A868" s="42"/>
      <c r="B868" s="42"/>
      <c r="C868" s="42"/>
      <c r="D868" s="42"/>
      <c r="I868" s="42"/>
      <c r="J868" s="42"/>
      <c r="K868" s="42"/>
      <c r="L868" s="42"/>
      <c r="M868" s="42"/>
      <c r="P868" s="42"/>
    </row>
    <row r="869">
      <c r="A869" s="42"/>
      <c r="B869" s="42"/>
      <c r="C869" s="42"/>
      <c r="D869" s="42"/>
      <c r="I869" s="42"/>
      <c r="J869" s="42"/>
      <c r="K869" s="42"/>
      <c r="L869" s="42"/>
      <c r="M869" s="42"/>
      <c r="P869" s="42"/>
    </row>
    <row r="870">
      <c r="A870" s="42"/>
      <c r="B870" s="42"/>
      <c r="C870" s="42"/>
      <c r="D870" s="42"/>
      <c r="I870" s="42"/>
      <c r="J870" s="42"/>
      <c r="K870" s="42"/>
      <c r="L870" s="42"/>
      <c r="M870" s="42"/>
      <c r="P870" s="42"/>
    </row>
    <row r="871">
      <c r="A871" s="42"/>
      <c r="B871" s="42"/>
      <c r="C871" s="42"/>
      <c r="D871" s="42"/>
      <c r="I871" s="42"/>
      <c r="J871" s="42"/>
      <c r="K871" s="42"/>
      <c r="L871" s="42"/>
      <c r="M871" s="42"/>
      <c r="P871" s="42"/>
    </row>
    <row r="872">
      <c r="A872" s="42"/>
      <c r="B872" s="42"/>
      <c r="C872" s="42"/>
      <c r="D872" s="42"/>
      <c r="I872" s="42"/>
      <c r="J872" s="42"/>
      <c r="K872" s="42"/>
      <c r="L872" s="42"/>
      <c r="M872" s="42"/>
      <c r="P872" s="42"/>
    </row>
    <row r="873">
      <c r="A873" s="42"/>
      <c r="B873" s="42"/>
      <c r="C873" s="42"/>
      <c r="D873" s="42"/>
      <c r="I873" s="42"/>
      <c r="J873" s="42"/>
      <c r="K873" s="42"/>
      <c r="L873" s="42"/>
      <c r="M873" s="42"/>
      <c r="P873" s="42"/>
    </row>
    <row r="874">
      <c r="A874" s="42"/>
      <c r="B874" s="42"/>
      <c r="C874" s="42"/>
      <c r="D874" s="42"/>
      <c r="I874" s="42"/>
      <c r="J874" s="42"/>
      <c r="K874" s="42"/>
      <c r="L874" s="42"/>
      <c r="M874" s="42"/>
      <c r="P874" s="42"/>
    </row>
    <row r="875">
      <c r="A875" s="42"/>
      <c r="B875" s="42"/>
      <c r="C875" s="42"/>
      <c r="D875" s="42"/>
      <c r="I875" s="42"/>
      <c r="J875" s="42"/>
      <c r="K875" s="42"/>
      <c r="L875" s="42"/>
      <c r="M875" s="42"/>
      <c r="P875" s="42"/>
    </row>
    <row r="876">
      <c r="A876" s="42"/>
      <c r="B876" s="42"/>
      <c r="C876" s="42"/>
      <c r="D876" s="42"/>
      <c r="I876" s="42"/>
      <c r="J876" s="42"/>
      <c r="K876" s="42"/>
      <c r="L876" s="42"/>
      <c r="M876" s="42"/>
      <c r="P876" s="42"/>
    </row>
    <row r="877">
      <c r="A877" s="42"/>
      <c r="B877" s="42"/>
      <c r="C877" s="42"/>
      <c r="D877" s="42"/>
      <c r="I877" s="42"/>
      <c r="J877" s="42"/>
      <c r="K877" s="42"/>
      <c r="L877" s="42"/>
      <c r="M877" s="42"/>
      <c r="P877" s="42"/>
    </row>
    <row r="878">
      <c r="A878" s="42"/>
      <c r="B878" s="42"/>
      <c r="C878" s="42"/>
      <c r="D878" s="42"/>
      <c r="I878" s="42"/>
      <c r="J878" s="42"/>
      <c r="K878" s="42"/>
      <c r="L878" s="42"/>
      <c r="M878" s="42"/>
      <c r="P878" s="42"/>
    </row>
    <row r="879">
      <c r="A879" s="42"/>
      <c r="B879" s="42"/>
      <c r="C879" s="42"/>
      <c r="D879" s="42"/>
      <c r="I879" s="42"/>
      <c r="J879" s="42"/>
      <c r="K879" s="42"/>
      <c r="L879" s="42"/>
      <c r="M879" s="42"/>
      <c r="P879" s="42"/>
    </row>
    <row r="880">
      <c r="A880" s="42"/>
      <c r="B880" s="42"/>
      <c r="C880" s="42"/>
      <c r="D880" s="42"/>
      <c r="I880" s="42"/>
      <c r="J880" s="42"/>
      <c r="K880" s="42"/>
      <c r="L880" s="42"/>
      <c r="M880" s="42"/>
      <c r="P880" s="42"/>
    </row>
    <row r="881">
      <c r="A881" s="42"/>
      <c r="B881" s="42"/>
      <c r="C881" s="42"/>
      <c r="D881" s="42"/>
      <c r="I881" s="42"/>
      <c r="J881" s="42"/>
      <c r="K881" s="42"/>
      <c r="L881" s="42"/>
      <c r="M881" s="42"/>
      <c r="P881" s="42"/>
    </row>
    <row r="882">
      <c r="A882" s="42"/>
      <c r="B882" s="42"/>
      <c r="C882" s="42"/>
      <c r="D882" s="42"/>
      <c r="I882" s="42"/>
      <c r="J882" s="42"/>
      <c r="K882" s="42"/>
      <c r="L882" s="42"/>
      <c r="M882" s="42"/>
      <c r="P882" s="42"/>
    </row>
    <row r="883">
      <c r="A883" s="42"/>
      <c r="B883" s="42"/>
      <c r="C883" s="42"/>
      <c r="D883" s="42"/>
      <c r="I883" s="42"/>
      <c r="J883" s="42"/>
      <c r="K883" s="42"/>
      <c r="L883" s="42"/>
      <c r="M883" s="42"/>
      <c r="P883" s="42"/>
    </row>
    <row r="884">
      <c r="A884" s="42"/>
      <c r="B884" s="42"/>
      <c r="C884" s="42"/>
      <c r="D884" s="42"/>
      <c r="I884" s="42"/>
      <c r="J884" s="42"/>
      <c r="K884" s="42"/>
      <c r="L884" s="42"/>
      <c r="M884" s="42"/>
      <c r="P884" s="42"/>
    </row>
    <row r="885">
      <c r="A885" s="42"/>
      <c r="B885" s="42"/>
      <c r="C885" s="42"/>
      <c r="D885" s="42"/>
      <c r="I885" s="42"/>
      <c r="J885" s="42"/>
      <c r="K885" s="42"/>
      <c r="L885" s="42"/>
      <c r="M885" s="42"/>
      <c r="P885" s="42"/>
    </row>
    <row r="886">
      <c r="A886" s="42"/>
      <c r="B886" s="42"/>
      <c r="C886" s="42"/>
      <c r="D886" s="42"/>
      <c r="I886" s="42"/>
      <c r="J886" s="42"/>
      <c r="K886" s="42"/>
      <c r="L886" s="42"/>
      <c r="M886" s="42"/>
      <c r="P886" s="42"/>
    </row>
    <row r="887">
      <c r="A887" s="42"/>
      <c r="B887" s="42"/>
      <c r="C887" s="42"/>
      <c r="D887" s="42"/>
      <c r="I887" s="42"/>
      <c r="J887" s="42"/>
      <c r="K887" s="42"/>
      <c r="L887" s="42"/>
      <c r="M887" s="42"/>
      <c r="P887" s="42"/>
    </row>
    <row r="888">
      <c r="A888" s="42"/>
      <c r="B888" s="42"/>
      <c r="C888" s="42"/>
      <c r="D888" s="42"/>
      <c r="I888" s="42"/>
      <c r="J888" s="42"/>
      <c r="K888" s="42"/>
      <c r="L888" s="42"/>
      <c r="M888" s="42"/>
      <c r="P888" s="42"/>
    </row>
    <row r="889">
      <c r="A889" s="42"/>
      <c r="B889" s="42"/>
      <c r="C889" s="42"/>
      <c r="D889" s="42"/>
      <c r="I889" s="42"/>
      <c r="J889" s="42"/>
      <c r="K889" s="42"/>
      <c r="L889" s="42"/>
      <c r="M889" s="42"/>
      <c r="P889" s="42"/>
    </row>
    <row r="890">
      <c r="A890" s="42"/>
      <c r="B890" s="42"/>
      <c r="C890" s="42"/>
      <c r="D890" s="42"/>
      <c r="I890" s="42"/>
      <c r="J890" s="42"/>
      <c r="K890" s="42"/>
      <c r="L890" s="42"/>
      <c r="M890" s="42"/>
      <c r="P890" s="42"/>
    </row>
    <row r="891">
      <c r="A891" s="42"/>
      <c r="B891" s="42"/>
      <c r="C891" s="42"/>
      <c r="D891" s="42"/>
      <c r="I891" s="42"/>
      <c r="J891" s="42"/>
      <c r="K891" s="42"/>
      <c r="L891" s="42"/>
      <c r="M891" s="42"/>
      <c r="P891" s="42"/>
    </row>
    <row r="892">
      <c r="A892" s="42"/>
      <c r="B892" s="42"/>
      <c r="C892" s="42"/>
      <c r="D892" s="42"/>
      <c r="I892" s="42"/>
      <c r="J892" s="42"/>
      <c r="K892" s="42"/>
      <c r="L892" s="42"/>
      <c r="M892" s="42"/>
      <c r="P892" s="42"/>
    </row>
    <row r="893">
      <c r="A893" s="42"/>
      <c r="B893" s="42"/>
      <c r="C893" s="42"/>
      <c r="D893" s="42"/>
      <c r="I893" s="42"/>
      <c r="J893" s="42"/>
      <c r="K893" s="42"/>
      <c r="L893" s="42"/>
      <c r="M893" s="42"/>
      <c r="P893" s="42"/>
    </row>
    <row r="894">
      <c r="A894" s="42"/>
      <c r="B894" s="42"/>
      <c r="C894" s="42"/>
      <c r="D894" s="42"/>
      <c r="I894" s="42"/>
      <c r="J894" s="42"/>
      <c r="K894" s="42"/>
      <c r="L894" s="42"/>
      <c r="M894" s="42"/>
      <c r="P894" s="42"/>
    </row>
    <row r="895">
      <c r="A895" s="42"/>
      <c r="B895" s="42"/>
      <c r="C895" s="42"/>
      <c r="D895" s="42"/>
      <c r="I895" s="42"/>
      <c r="J895" s="42"/>
      <c r="K895" s="42"/>
      <c r="L895" s="42"/>
      <c r="M895" s="42"/>
      <c r="P895" s="42"/>
    </row>
    <row r="896">
      <c r="A896" s="42"/>
      <c r="B896" s="42"/>
      <c r="C896" s="42"/>
      <c r="D896" s="42"/>
      <c r="I896" s="42"/>
      <c r="J896" s="42"/>
      <c r="K896" s="42"/>
      <c r="L896" s="42"/>
      <c r="M896" s="42"/>
      <c r="P896" s="42"/>
    </row>
    <row r="897">
      <c r="A897" s="42"/>
      <c r="B897" s="42"/>
      <c r="C897" s="42"/>
      <c r="D897" s="42"/>
      <c r="I897" s="42"/>
      <c r="J897" s="42"/>
      <c r="K897" s="42"/>
      <c r="L897" s="42"/>
      <c r="M897" s="42"/>
      <c r="P897" s="42"/>
    </row>
    <row r="898">
      <c r="A898" s="42"/>
      <c r="B898" s="42"/>
      <c r="C898" s="42"/>
      <c r="D898" s="42"/>
      <c r="I898" s="42"/>
      <c r="J898" s="42"/>
      <c r="K898" s="42"/>
      <c r="L898" s="42"/>
      <c r="M898" s="42"/>
      <c r="P898" s="42"/>
    </row>
    <row r="899">
      <c r="A899" s="42"/>
      <c r="B899" s="42"/>
      <c r="C899" s="42"/>
      <c r="D899" s="42"/>
      <c r="I899" s="42"/>
      <c r="J899" s="42"/>
      <c r="K899" s="42"/>
      <c r="L899" s="42"/>
      <c r="M899" s="42"/>
      <c r="P899" s="42"/>
    </row>
    <row r="900">
      <c r="A900" s="42"/>
      <c r="B900" s="42"/>
      <c r="C900" s="42"/>
      <c r="D900" s="42"/>
      <c r="I900" s="42"/>
      <c r="J900" s="42"/>
      <c r="K900" s="42"/>
      <c r="L900" s="42"/>
      <c r="M900" s="42"/>
      <c r="P900" s="42"/>
    </row>
    <row r="901">
      <c r="A901" s="42"/>
      <c r="B901" s="42"/>
      <c r="C901" s="42"/>
      <c r="D901" s="42"/>
      <c r="I901" s="42"/>
      <c r="J901" s="42"/>
      <c r="K901" s="42"/>
      <c r="L901" s="42"/>
      <c r="M901" s="42"/>
      <c r="P901" s="42"/>
    </row>
    <row r="902">
      <c r="A902" s="42"/>
      <c r="B902" s="42"/>
      <c r="C902" s="42"/>
      <c r="D902" s="42"/>
      <c r="I902" s="42"/>
      <c r="J902" s="42"/>
      <c r="K902" s="42"/>
      <c r="L902" s="42"/>
      <c r="M902" s="42"/>
      <c r="P902" s="42"/>
    </row>
    <row r="903">
      <c r="A903" s="42"/>
      <c r="B903" s="42"/>
      <c r="C903" s="42"/>
      <c r="D903" s="42"/>
      <c r="I903" s="42"/>
      <c r="J903" s="42"/>
      <c r="K903" s="42"/>
      <c r="L903" s="42"/>
      <c r="M903" s="42"/>
      <c r="P903" s="42"/>
    </row>
    <row r="904">
      <c r="A904" s="42"/>
      <c r="B904" s="42"/>
      <c r="C904" s="42"/>
      <c r="D904" s="42"/>
      <c r="I904" s="42"/>
      <c r="J904" s="42"/>
      <c r="K904" s="42"/>
      <c r="L904" s="42"/>
      <c r="M904" s="42"/>
      <c r="P904" s="42"/>
    </row>
    <row r="905">
      <c r="A905" s="42"/>
      <c r="B905" s="42"/>
      <c r="C905" s="42"/>
      <c r="D905" s="42"/>
      <c r="I905" s="42"/>
      <c r="J905" s="42"/>
      <c r="K905" s="42"/>
      <c r="L905" s="42"/>
      <c r="M905" s="42"/>
      <c r="P905" s="42"/>
    </row>
    <row r="906">
      <c r="A906" s="42"/>
      <c r="B906" s="42"/>
      <c r="C906" s="42"/>
      <c r="D906" s="42"/>
      <c r="I906" s="42"/>
      <c r="J906" s="42"/>
      <c r="K906" s="42"/>
      <c r="L906" s="42"/>
      <c r="M906" s="42"/>
      <c r="P906" s="42"/>
    </row>
    <row r="907">
      <c r="A907" s="42"/>
      <c r="B907" s="42"/>
      <c r="C907" s="42"/>
      <c r="D907" s="42"/>
      <c r="I907" s="42"/>
      <c r="J907" s="42"/>
      <c r="K907" s="42"/>
      <c r="L907" s="42"/>
      <c r="M907" s="42"/>
      <c r="P907" s="42"/>
    </row>
    <row r="908">
      <c r="A908" s="42"/>
      <c r="B908" s="42"/>
      <c r="C908" s="42"/>
      <c r="D908" s="42"/>
      <c r="I908" s="42"/>
      <c r="J908" s="42"/>
      <c r="K908" s="42"/>
      <c r="L908" s="42"/>
      <c r="M908" s="42"/>
      <c r="P908" s="42"/>
    </row>
    <row r="909">
      <c r="A909" s="42"/>
      <c r="B909" s="42"/>
      <c r="C909" s="42"/>
      <c r="D909" s="42"/>
      <c r="I909" s="42"/>
      <c r="J909" s="42"/>
      <c r="K909" s="42"/>
      <c r="L909" s="42"/>
      <c r="M909" s="42"/>
      <c r="P909" s="42"/>
    </row>
    <row r="910">
      <c r="A910" s="42"/>
      <c r="B910" s="42"/>
      <c r="C910" s="42"/>
      <c r="D910" s="42"/>
      <c r="I910" s="42"/>
      <c r="J910" s="42"/>
      <c r="K910" s="42"/>
      <c r="L910" s="42"/>
      <c r="M910" s="42"/>
      <c r="P910" s="42"/>
    </row>
    <row r="911">
      <c r="A911" s="42"/>
      <c r="B911" s="42"/>
      <c r="C911" s="42"/>
      <c r="D911" s="42"/>
      <c r="I911" s="42"/>
      <c r="J911" s="42"/>
      <c r="K911" s="42"/>
      <c r="L911" s="42"/>
      <c r="M911" s="42"/>
      <c r="P911" s="42"/>
    </row>
    <row r="912">
      <c r="A912" s="42"/>
      <c r="B912" s="42"/>
      <c r="C912" s="42"/>
      <c r="D912" s="42"/>
      <c r="I912" s="42"/>
      <c r="J912" s="42"/>
      <c r="K912" s="42"/>
      <c r="L912" s="42"/>
      <c r="M912" s="42"/>
      <c r="P912" s="42"/>
    </row>
    <row r="913">
      <c r="A913" s="42"/>
      <c r="B913" s="42"/>
      <c r="C913" s="42"/>
      <c r="D913" s="42"/>
      <c r="I913" s="42"/>
      <c r="J913" s="42"/>
      <c r="K913" s="42"/>
      <c r="L913" s="42"/>
      <c r="M913" s="42"/>
      <c r="P913" s="42"/>
    </row>
    <row r="914">
      <c r="A914" s="42"/>
      <c r="B914" s="42"/>
      <c r="C914" s="42"/>
      <c r="D914" s="42"/>
      <c r="I914" s="42"/>
      <c r="J914" s="42"/>
      <c r="K914" s="42"/>
      <c r="L914" s="42"/>
      <c r="M914" s="42"/>
      <c r="P914" s="42"/>
    </row>
    <row r="915">
      <c r="A915" s="42"/>
      <c r="B915" s="42"/>
      <c r="C915" s="42"/>
      <c r="D915" s="42"/>
      <c r="I915" s="42"/>
      <c r="J915" s="42"/>
      <c r="K915" s="42"/>
      <c r="L915" s="42"/>
      <c r="M915" s="42"/>
      <c r="P915" s="42"/>
    </row>
    <row r="916">
      <c r="A916" s="42"/>
      <c r="B916" s="42"/>
      <c r="C916" s="42"/>
      <c r="D916" s="42"/>
      <c r="I916" s="42"/>
      <c r="J916" s="42"/>
      <c r="K916" s="42"/>
      <c r="L916" s="42"/>
      <c r="M916" s="42"/>
      <c r="P916" s="42"/>
    </row>
    <row r="917">
      <c r="A917" s="42"/>
      <c r="B917" s="42"/>
      <c r="C917" s="42"/>
      <c r="D917" s="42"/>
      <c r="I917" s="42"/>
      <c r="J917" s="42"/>
      <c r="K917" s="42"/>
      <c r="L917" s="42"/>
      <c r="M917" s="42"/>
      <c r="P917" s="42"/>
    </row>
    <row r="918">
      <c r="A918" s="42"/>
      <c r="B918" s="42"/>
      <c r="C918" s="42"/>
      <c r="D918" s="42"/>
      <c r="I918" s="42"/>
      <c r="J918" s="42"/>
      <c r="K918" s="42"/>
      <c r="L918" s="42"/>
      <c r="M918" s="42"/>
      <c r="P918" s="42"/>
    </row>
    <row r="919">
      <c r="A919" s="42"/>
      <c r="B919" s="42"/>
      <c r="C919" s="42"/>
      <c r="D919" s="42"/>
      <c r="I919" s="42"/>
      <c r="J919" s="42"/>
      <c r="K919" s="42"/>
      <c r="L919" s="42"/>
      <c r="M919" s="42"/>
      <c r="P919" s="42"/>
    </row>
    <row r="920">
      <c r="A920" s="42"/>
      <c r="B920" s="42"/>
      <c r="C920" s="42"/>
      <c r="D920" s="42"/>
      <c r="I920" s="42"/>
      <c r="J920" s="42"/>
      <c r="K920" s="42"/>
      <c r="L920" s="42"/>
      <c r="M920" s="42"/>
      <c r="P920" s="42"/>
    </row>
    <row r="921">
      <c r="A921" s="42"/>
      <c r="B921" s="42"/>
      <c r="C921" s="42"/>
      <c r="D921" s="42"/>
      <c r="I921" s="42"/>
      <c r="J921" s="42"/>
      <c r="K921" s="42"/>
      <c r="L921" s="42"/>
      <c r="M921" s="42"/>
      <c r="P921" s="42"/>
    </row>
    <row r="922">
      <c r="A922" s="42"/>
      <c r="B922" s="42"/>
      <c r="C922" s="42"/>
      <c r="D922" s="42"/>
      <c r="I922" s="42"/>
      <c r="J922" s="42"/>
      <c r="K922" s="42"/>
      <c r="L922" s="42"/>
      <c r="M922" s="42"/>
      <c r="P922" s="42"/>
    </row>
    <row r="923">
      <c r="A923" s="42"/>
      <c r="B923" s="42"/>
      <c r="C923" s="42"/>
      <c r="D923" s="42"/>
      <c r="I923" s="42"/>
      <c r="J923" s="42"/>
      <c r="K923" s="42"/>
      <c r="L923" s="42"/>
      <c r="M923" s="42"/>
      <c r="P923" s="42"/>
    </row>
    <row r="924">
      <c r="A924" s="42"/>
      <c r="B924" s="42"/>
      <c r="C924" s="42"/>
      <c r="D924" s="42"/>
      <c r="I924" s="42"/>
      <c r="J924" s="42"/>
      <c r="K924" s="42"/>
      <c r="L924" s="42"/>
      <c r="M924" s="42"/>
      <c r="P924" s="42"/>
    </row>
    <row r="925">
      <c r="A925" s="42"/>
      <c r="B925" s="42"/>
      <c r="C925" s="42"/>
      <c r="D925" s="42"/>
      <c r="I925" s="42"/>
      <c r="J925" s="42"/>
      <c r="K925" s="42"/>
      <c r="L925" s="42"/>
      <c r="M925" s="42"/>
      <c r="P925" s="42"/>
    </row>
    <row r="926">
      <c r="A926" s="42"/>
      <c r="B926" s="42"/>
      <c r="C926" s="42"/>
      <c r="D926" s="42"/>
      <c r="I926" s="42"/>
      <c r="J926" s="42"/>
      <c r="K926" s="42"/>
      <c r="L926" s="42"/>
      <c r="M926" s="42"/>
      <c r="P926" s="42"/>
    </row>
    <row r="927">
      <c r="A927" s="42"/>
      <c r="B927" s="42"/>
      <c r="C927" s="42"/>
      <c r="D927" s="42"/>
      <c r="I927" s="42"/>
      <c r="J927" s="42"/>
      <c r="K927" s="42"/>
      <c r="L927" s="42"/>
      <c r="M927" s="42"/>
      <c r="P927" s="42"/>
    </row>
    <row r="928">
      <c r="A928" s="42"/>
      <c r="B928" s="42"/>
      <c r="C928" s="42"/>
      <c r="D928" s="42"/>
      <c r="I928" s="42"/>
      <c r="J928" s="42"/>
      <c r="K928" s="42"/>
      <c r="L928" s="42"/>
      <c r="M928" s="42"/>
      <c r="P928" s="42"/>
    </row>
    <row r="929">
      <c r="A929" s="42"/>
      <c r="B929" s="42"/>
      <c r="C929" s="42"/>
      <c r="D929" s="42"/>
      <c r="I929" s="42"/>
      <c r="J929" s="42"/>
      <c r="K929" s="42"/>
      <c r="L929" s="42"/>
      <c r="M929" s="42"/>
      <c r="P929" s="42"/>
    </row>
    <row r="930">
      <c r="A930" s="42"/>
      <c r="B930" s="42"/>
      <c r="C930" s="42"/>
      <c r="D930" s="42"/>
      <c r="I930" s="42"/>
      <c r="J930" s="42"/>
      <c r="K930" s="42"/>
      <c r="L930" s="42"/>
      <c r="M930" s="42"/>
      <c r="P930" s="42"/>
    </row>
    <row r="931">
      <c r="A931" s="42"/>
      <c r="B931" s="42"/>
      <c r="C931" s="42"/>
      <c r="D931" s="42"/>
      <c r="I931" s="42"/>
      <c r="J931" s="42"/>
      <c r="K931" s="42"/>
      <c r="L931" s="42"/>
      <c r="M931" s="42"/>
      <c r="P931" s="42"/>
    </row>
    <row r="932">
      <c r="A932" s="42"/>
      <c r="B932" s="42"/>
      <c r="C932" s="42"/>
      <c r="D932" s="42"/>
      <c r="I932" s="42"/>
      <c r="J932" s="42"/>
      <c r="K932" s="42"/>
      <c r="L932" s="42"/>
      <c r="M932" s="42"/>
      <c r="P932" s="42"/>
    </row>
    <row r="933">
      <c r="A933" s="42"/>
      <c r="B933" s="42"/>
      <c r="C933" s="42"/>
      <c r="D933" s="42"/>
      <c r="I933" s="42"/>
      <c r="J933" s="42"/>
      <c r="K933" s="42"/>
      <c r="L933" s="42"/>
      <c r="M933" s="42"/>
      <c r="P933" s="42"/>
    </row>
    <row r="934">
      <c r="A934" s="42"/>
      <c r="B934" s="42"/>
      <c r="C934" s="42"/>
      <c r="D934" s="42"/>
      <c r="I934" s="42"/>
      <c r="J934" s="42"/>
      <c r="K934" s="42"/>
      <c r="L934" s="42"/>
      <c r="M934" s="42"/>
      <c r="P934" s="42"/>
    </row>
    <row r="935">
      <c r="A935" s="42"/>
      <c r="B935" s="42"/>
      <c r="C935" s="42"/>
      <c r="D935" s="42"/>
      <c r="I935" s="42"/>
      <c r="J935" s="42"/>
      <c r="K935" s="42"/>
      <c r="L935" s="42"/>
      <c r="M935" s="42"/>
      <c r="P935" s="42"/>
    </row>
    <row r="936">
      <c r="A936" s="42"/>
      <c r="B936" s="42"/>
      <c r="C936" s="42"/>
      <c r="D936" s="42"/>
      <c r="I936" s="42"/>
      <c r="J936" s="42"/>
      <c r="K936" s="42"/>
      <c r="L936" s="42"/>
      <c r="M936" s="42"/>
      <c r="P936" s="42"/>
    </row>
    <row r="937">
      <c r="A937" s="42"/>
      <c r="B937" s="42"/>
      <c r="C937" s="42"/>
      <c r="D937" s="42"/>
      <c r="I937" s="42"/>
      <c r="J937" s="42"/>
      <c r="K937" s="42"/>
      <c r="L937" s="42"/>
      <c r="M937" s="42"/>
      <c r="P937" s="42"/>
    </row>
    <row r="938">
      <c r="A938" s="42"/>
      <c r="B938" s="42"/>
      <c r="C938" s="42"/>
      <c r="D938" s="42"/>
      <c r="I938" s="42"/>
      <c r="J938" s="42"/>
      <c r="K938" s="42"/>
      <c r="L938" s="42"/>
      <c r="M938" s="42"/>
      <c r="P938" s="42"/>
    </row>
    <row r="939">
      <c r="A939" s="42"/>
      <c r="B939" s="42"/>
      <c r="C939" s="42"/>
      <c r="D939" s="42"/>
      <c r="I939" s="42"/>
      <c r="J939" s="42"/>
      <c r="K939" s="42"/>
      <c r="L939" s="42"/>
      <c r="M939" s="42"/>
      <c r="P939" s="42"/>
    </row>
    <row r="940">
      <c r="A940" s="42"/>
      <c r="B940" s="42"/>
      <c r="C940" s="42"/>
      <c r="D940" s="42"/>
      <c r="I940" s="42"/>
      <c r="J940" s="42"/>
      <c r="K940" s="42"/>
      <c r="L940" s="42"/>
      <c r="M940" s="42"/>
      <c r="P940" s="42"/>
    </row>
    <row r="941">
      <c r="A941" s="42"/>
      <c r="B941" s="42"/>
      <c r="C941" s="42"/>
      <c r="D941" s="42"/>
      <c r="I941" s="42"/>
      <c r="J941" s="42"/>
      <c r="K941" s="42"/>
      <c r="L941" s="42"/>
      <c r="M941" s="42"/>
      <c r="P941" s="42"/>
    </row>
    <row r="942">
      <c r="A942" s="42"/>
      <c r="B942" s="42"/>
      <c r="C942" s="42"/>
      <c r="D942" s="42"/>
      <c r="I942" s="42"/>
      <c r="J942" s="42"/>
      <c r="K942" s="42"/>
      <c r="L942" s="42"/>
      <c r="M942" s="42"/>
      <c r="P942" s="42"/>
    </row>
    <row r="943">
      <c r="A943" s="42"/>
      <c r="B943" s="42"/>
      <c r="C943" s="42"/>
      <c r="D943" s="42"/>
      <c r="I943" s="42"/>
      <c r="J943" s="42"/>
      <c r="K943" s="42"/>
      <c r="L943" s="42"/>
      <c r="M943" s="42"/>
      <c r="P943" s="42"/>
    </row>
    <row r="944">
      <c r="A944" s="42"/>
      <c r="B944" s="42"/>
      <c r="C944" s="42"/>
      <c r="D944" s="42"/>
      <c r="I944" s="42"/>
      <c r="J944" s="42"/>
      <c r="K944" s="42"/>
      <c r="L944" s="42"/>
      <c r="M944" s="42"/>
      <c r="P944" s="42"/>
    </row>
    <row r="945">
      <c r="A945" s="42"/>
      <c r="B945" s="42"/>
      <c r="C945" s="42"/>
      <c r="D945" s="42"/>
      <c r="I945" s="42"/>
      <c r="J945" s="42"/>
      <c r="K945" s="42"/>
      <c r="L945" s="42"/>
      <c r="M945" s="42"/>
      <c r="P945" s="42"/>
    </row>
    <row r="946">
      <c r="A946" s="42"/>
      <c r="B946" s="42"/>
      <c r="C946" s="42"/>
      <c r="D946" s="42"/>
      <c r="I946" s="42"/>
      <c r="J946" s="42"/>
      <c r="K946" s="42"/>
      <c r="L946" s="42"/>
      <c r="M946" s="42"/>
      <c r="P946" s="42"/>
    </row>
    <row r="947">
      <c r="A947" s="42"/>
      <c r="B947" s="42"/>
      <c r="C947" s="42"/>
      <c r="D947" s="42"/>
      <c r="I947" s="42"/>
      <c r="J947" s="42"/>
      <c r="K947" s="42"/>
      <c r="L947" s="42"/>
      <c r="M947" s="42"/>
      <c r="P947" s="42"/>
    </row>
    <row r="948">
      <c r="A948" s="42"/>
      <c r="B948" s="42"/>
      <c r="C948" s="42"/>
      <c r="D948" s="42"/>
      <c r="I948" s="42"/>
      <c r="J948" s="42"/>
      <c r="K948" s="42"/>
      <c r="L948" s="42"/>
      <c r="M948" s="42"/>
      <c r="P948" s="42"/>
    </row>
    <row r="949">
      <c r="A949" s="42"/>
      <c r="B949" s="42"/>
      <c r="C949" s="42"/>
      <c r="D949" s="42"/>
      <c r="I949" s="42"/>
      <c r="J949" s="42"/>
      <c r="K949" s="42"/>
      <c r="L949" s="42"/>
      <c r="M949" s="42"/>
      <c r="P949" s="42"/>
    </row>
    <row r="950">
      <c r="A950" s="42"/>
      <c r="B950" s="42"/>
      <c r="C950" s="42"/>
      <c r="D950" s="42"/>
      <c r="I950" s="42"/>
      <c r="J950" s="42"/>
      <c r="K950" s="42"/>
      <c r="L950" s="42"/>
      <c r="M950" s="42"/>
      <c r="P950" s="42"/>
    </row>
    <row r="951">
      <c r="A951" s="42"/>
      <c r="B951" s="42"/>
      <c r="C951" s="42"/>
      <c r="D951" s="42"/>
      <c r="I951" s="42"/>
      <c r="J951" s="42"/>
      <c r="K951" s="42"/>
      <c r="L951" s="42"/>
      <c r="M951" s="42"/>
      <c r="P951" s="42"/>
    </row>
    <row r="952">
      <c r="A952" s="42"/>
      <c r="B952" s="42"/>
      <c r="C952" s="42"/>
      <c r="D952" s="42"/>
      <c r="I952" s="42"/>
      <c r="J952" s="42"/>
      <c r="K952" s="42"/>
      <c r="L952" s="42"/>
      <c r="M952" s="42"/>
      <c r="P952" s="42"/>
    </row>
    <row r="953">
      <c r="A953" s="42"/>
      <c r="B953" s="42"/>
      <c r="C953" s="42"/>
      <c r="D953" s="42"/>
      <c r="I953" s="42"/>
      <c r="J953" s="42"/>
      <c r="K953" s="42"/>
      <c r="L953" s="42"/>
      <c r="M953" s="42"/>
      <c r="P953" s="42"/>
    </row>
    <row r="954">
      <c r="A954" s="42"/>
      <c r="B954" s="42"/>
      <c r="C954" s="42"/>
      <c r="D954" s="42"/>
      <c r="I954" s="42"/>
      <c r="J954" s="42"/>
      <c r="K954" s="42"/>
      <c r="L954" s="42"/>
      <c r="M954" s="42"/>
      <c r="P954" s="42"/>
    </row>
    <row r="955">
      <c r="A955" s="42"/>
      <c r="B955" s="42"/>
      <c r="C955" s="42"/>
      <c r="D955" s="42"/>
      <c r="I955" s="42"/>
      <c r="J955" s="42"/>
      <c r="K955" s="42"/>
      <c r="L955" s="42"/>
      <c r="M955" s="42"/>
      <c r="P955" s="42"/>
    </row>
    <row r="956">
      <c r="A956" s="42"/>
      <c r="B956" s="42"/>
      <c r="C956" s="42"/>
      <c r="D956" s="42"/>
      <c r="I956" s="42"/>
      <c r="J956" s="42"/>
      <c r="K956" s="42"/>
      <c r="L956" s="42"/>
      <c r="M956" s="42"/>
      <c r="P956" s="42"/>
    </row>
    <row r="957">
      <c r="A957" s="42"/>
      <c r="B957" s="42"/>
      <c r="C957" s="42"/>
      <c r="D957" s="42"/>
      <c r="I957" s="42"/>
      <c r="J957" s="42"/>
      <c r="K957" s="42"/>
      <c r="L957" s="42"/>
      <c r="M957" s="42"/>
      <c r="P957" s="42"/>
    </row>
    <row r="958">
      <c r="A958" s="42"/>
      <c r="B958" s="42"/>
      <c r="C958" s="42"/>
      <c r="D958" s="42"/>
      <c r="I958" s="42"/>
      <c r="J958" s="42"/>
      <c r="K958" s="42"/>
      <c r="L958" s="42"/>
      <c r="M958" s="42"/>
      <c r="P958" s="42"/>
    </row>
    <row r="959">
      <c r="A959" s="42"/>
      <c r="B959" s="42"/>
      <c r="C959" s="42"/>
      <c r="D959" s="42"/>
      <c r="I959" s="42"/>
      <c r="J959" s="42"/>
      <c r="K959" s="42"/>
      <c r="L959" s="42"/>
      <c r="M959" s="42"/>
      <c r="P959" s="42"/>
    </row>
    <row r="960">
      <c r="A960" s="42"/>
      <c r="B960" s="42"/>
      <c r="C960" s="42"/>
      <c r="D960" s="42"/>
      <c r="I960" s="42"/>
      <c r="J960" s="42"/>
      <c r="K960" s="42"/>
      <c r="L960" s="42"/>
      <c r="M960" s="42"/>
      <c r="P960" s="42"/>
    </row>
    <row r="961">
      <c r="A961" s="42"/>
      <c r="B961" s="42"/>
      <c r="C961" s="42"/>
      <c r="D961" s="42"/>
      <c r="I961" s="42"/>
      <c r="J961" s="42"/>
      <c r="K961" s="42"/>
      <c r="L961" s="42"/>
      <c r="M961" s="42"/>
      <c r="P961" s="42"/>
    </row>
    <row r="962">
      <c r="A962" s="42"/>
      <c r="B962" s="42"/>
      <c r="C962" s="42"/>
      <c r="D962" s="42"/>
      <c r="I962" s="42"/>
      <c r="J962" s="42"/>
      <c r="K962" s="42"/>
      <c r="L962" s="42"/>
      <c r="M962" s="42"/>
      <c r="P962" s="42"/>
    </row>
    <row r="963">
      <c r="A963" s="42"/>
      <c r="B963" s="42"/>
      <c r="C963" s="42"/>
      <c r="D963" s="42"/>
      <c r="I963" s="42"/>
      <c r="J963" s="42"/>
      <c r="K963" s="42"/>
      <c r="L963" s="42"/>
      <c r="M963" s="42"/>
      <c r="P963" s="42"/>
    </row>
    <row r="964">
      <c r="A964" s="42"/>
      <c r="B964" s="42"/>
      <c r="C964" s="42"/>
      <c r="D964" s="42"/>
      <c r="I964" s="42"/>
      <c r="J964" s="42"/>
      <c r="K964" s="42"/>
      <c r="L964" s="42"/>
      <c r="M964" s="42"/>
      <c r="P964" s="42"/>
    </row>
    <row r="965">
      <c r="A965" s="42"/>
      <c r="B965" s="42"/>
      <c r="C965" s="42"/>
      <c r="D965" s="42"/>
      <c r="I965" s="42"/>
      <c r="J965" s="42"/>
      <c r="K965" s="42"/>
      <c r="L965" s="42"/>
      <c r="M965" s="42"/>
      <c r="P965" s="42"/>
    </row>
    <row r="966">
      <c r="A966" s="42"/>
      <c r="B966" s="42"/>
      <c r="C966" s="42"/>
      <c r="D966" s="42"/>
      <c r="I966" s="42"/>
      <c r="J966" s="42"/>
      <c r="K966" s="42"/>
      <c r="L966" s="42"/>
      <c r="M966" s="42"/>
      <c r="P966" s="42"/>
    </row>
    <row r="967">
      <c r="A967" s="42"/>
      <c r="B967" s="42"/>
      <c r="C967" s="42"/>
      <c r="D967" s="42"/>
      <c r="I967" s="42"/>
      <c r="J967" s="42"/>
      <c r="K967" s="42"/>
      <c r="L967" s="42"/>
      <c r="M967" s="42"/>
      <c r="P967" s="42"/>
    </row>
    <row r="968">
      <c r="A968" s="42"/>
      <c r="B968" s="42"/>
      <c r="C968" s="42"/>
      <c r="D968" s="42"/>
      <c r="I968" s="42"/>
      <c r="J968" s="42"/>
      <c r="K968" s="42"/>
      <c r="L968" s="42"/>
      <c r="M968" s="42"/>
      <c r="P968" s="42"/>
    </row>
    <row r="969">
      <c r="A969" s="42"/>
      <c r="B969" s="42"/>
      <c r="C969" s="42"/>
      <c r="D969" s="42"/>
      <c r="I969" s="42"/>
      <c r="J969" s="42"/>
      <c r="K969" s="42"/>
      <c r="L969" s="42"/>
      <c r="M969" s="42"/>
      <c r="P969" s="42"/>
    </row>
    <row r="970">
      <c r="A970" s="42"/>
      <c r="B970" s="42"/>
      <c r="C970" s="42"/>
      <c r="D970" s="42"/>
      <c r="I970" s="42"/>
      <c r="J970" s="42"/>
      <c r="K970" s="42"/>
      <c r="L970" s="42"/>
      <c r="M970" s="42"/>
      <c r="P970" s="42"/>
    </row>
    <row r="971">
      <c r="A971" s="42"/>
      <c r="B971" s="42"/>
      <c r="C971" s="42"/>
      <c r="D971" s="42"/>
      <c r="I971" s="42"/>
      <c r="J971" s="42"/>
      <c r="K971" s="42"/>
      <c r="L971" s="42"/>
      <c r="M971" s="42"/>
      <c r="P971" s="42"/>
    </row>
    <row r="972">
      <c r="A972" s="42"/>
      <c r="B972" s="42"/>
      <c r="C972" s="42"/>
      <c r="D972" s="42"/>
      <c r="I972" s="42"/>
      <c r="J972" s="42"/>
      <c r="K972" s="42"/>
      <c r="L972" s="42"/>
      <c r="M972" s="42"/>
      <c r="P972" s="42"/>
    </row>
    <row r="973">
      <c r="A973" s="42"/>
      <c r="B973" s="42"/>
      <c r="C973" s="42"/>
      <c r="D973" s="42"/>
      <c r="I973" s="42"/>
      <c r="J973" s="42"/>
      <c r="K973" s="42"/>
      <c r="L973" s="42"/>
      <c r="M973" s="42"/>
      <c r="P973" s="42"/>
    </row>
    <row r="974">
      <c r="A974" s="42"/>
      <c r="B974" s="42"/>
      <c r="C974" s="42"/>
      <c r="D974" s="42"/>
      <c r="I974" s="42"/>
      <c r="J974" s="42"/>
      <c r="K974" s="42"/>
      <c r="L974" s="42"/>
      <c r="M974" s="42"/>
      <c r="P974" s="42"/>
    </row>
    <row r="975">
      <c r="A975" s="42"/>
      <c r="B975" s="42"/>
      <c r="C975" s="42"/>
      <c r="D975" s="42"/>
      <c r="I975" s="42"/>
      <c r="J975" s="42"/>
      <c r="K975" s="42"/>
      <c r="L975" s="42"/>
      <c r="M975" s="42"/>
      <c r="P975" s="42"/>
    </row>
    <row r="976">
      <c r="A976" s="42"/>
      <c r="B976" s="42"/>
      <c r="C976" s="42"/>
      <c r="D976" s="42"/>
      <c r="I976" s="42"/>
      <c r="J976" s="42"/>
      <c r="K976" s="42"/>
      <c r="L976" s="42"/>
      <c r="M976" s="42"/>
      <c r="P976" s="42"/>
    </row>
    <row r="977">
      <c r="A977" s="42"/>
      <c r="B977" s="42"/>
      <c r="C977" s="42"/>
      <c r="D977" s="42"/>
      <c r="I977" s="42"/>
      <c r="J977" s="42"/>
      <c r="K977" s="42"/>
      <c r="L977" s="42"/>
      <c r="M977" s="42"/>
      <c r="P977" s="42"/>
    </row>
    <row r="978">
      <c r="A978" s="42"/>
      <c r="B978" s="42"/>
      <c r="C978" s="42"/>
      <c r="D978" s="42"/>
      <c r="I978" s="42"/>
      <c r="J978" s="42"/>
      <c r="K978" s="42"/>
      <c r="L978" s="42"/>
      <c r="M978" s="42"/>
      <c r="P978" s="42"/>
    </row>
    <row r="979">
      <c r="A979" s="42"/>
      <c r="B979" s="42"/>
      <c r="C979" s="42"/>
      <c r="D979" s="42"/>
      <c r="I979" s="42"/>
      <c r="J979" s="42"/>
      <c r="K979" s="42"/>
      <c r="L979" s="42"/>
      <c r="M979" s="42"/>
      <c r="P979" s="42"/>
    </row>
    <row r="980">
      <c r="A980" s="42"/>
      <c r="B980" s="42"/>
      <c r="C980" s="42"/>
      <c r="D980" s="42"/>
      <c r="I980" s="42"/>
      <c r="J980" s="42"/>
      <c r="K980" s="42"/>
      <c r="L980" s="42"/>
      <c r="M980" s="42"/>
      <c r="P980" s="42"/>
    </row>
    <row r="981">
      <c r="A981" s="42"/>
      <c r="B981" s="42"/>
      <c r="C981" s="42"/>
      <c r="D981" s="42"/>
      <c r="I981" s="42"/>
      <c r="J981" s="42"/>
      <c r="K981" s="42"/>
      <c r="L981" s="42"/>
      <c r="M981" s="42"/>
      <c r="P981" s="42"/>
    </row>
    <row r="982">
      <c r="A982" s="42"/>
      <c r="B982" s="42"/>
      <c r="C982" s="42"/>
      <c r="D982" s="42"/>
      <c r="I982" s="42"/>
      <c r="J982" s="42"/>
      <c r="K982" s="42"/>
      <c r="L982" s="42"/>
      <c r="M982" s="42"/>
      <c r="P982" s="42"/>
    </row>
    <row r="983">
      <c r="A983" s="42"/>
      <c r="B983" s="42"/>
      <c r="C983" s="42"/>
      <c r="D983" s="42"/>
      <c r="I983" s="42"/>
      <c r="J983" s="42"/>
      <c r="K983" s="42"/>
      <c r="L983" s="42"/>
      <c r="M983" s="42"/>
      <c r="P983" s="42"/>
    </row>
    <row r="984">
      <c r="A984" s="42"/>
      <c r="B984" s="42"/>
      <c r="C984" s="42"/>
      <c r="D984" s="42"/>
      <c r="I984" s="42"/>
      <c r="J984" s="42"/>
      <c r="K984" s="42"/>
      <c r="L984" s="42"/>
      <c r="M984" s="42"/>
      <c r="P984" s="42"/>
    </row>
    <row r="985">
      <c r="A985" s="42"/>
      <c r="B985" s="42"/>
      <c r="C985" s="42"/>
      <c r="D985" s="42"/>
      <c r="I985" s="42"/>
      <c r="J985" s="42"/>
      <c r="K985" s="42"/>
      <c r="L985" s="42"/>
      <c r="M985" s="42"/>
      <c r="P985" s="42"/>
    </row>
    <row r="986">
      <c r="A986" s="42"/>
      <c r="B986" s="42"/>
      <c r="C986" s="42"/>
      <c r="D986" s="42"/>
      <c r="I986" s="42"/>
      <c r="J986" s="42"/>
      <c r="K986" s="42"/>
      <c r="L986" s="42"/>
      <c r="M986" s="42"/>
      <c r="P986" s="42"/>
    </row>
    <row r="987">
      <c r="A987" s="42"/>
      <c r="B987" s="42"/>
      <c r="C987" s="42"/>
      <c r="D987" s="42"/>
      <c r="I987" s="42"/>
      <c r="J987" s="42"/>
      <c r="K987" s="42"/>
      <c r="L987" s="42"/>
      <c r="M987" s="42"/>
      <c r="P987" s="42"/>
    </row>
    <row r="988">
      <c r="A988" s="42"/>
      <c r="B988" s="42"/>
      <c r="C988" s="42"/>
      <c r="D988" s="42"/>
      <c r="I988" s="42"/>
      <c r="J988" s="42"/>
      <c r="K988" s="42"/>
      <c r="L988" s="42"/>
      <c r="M988" s="42"/>
      <c r="P988" s="42"/>
    </row>
    <row r="989">
      <c r="A989" s="42"/>
      <c r="B989" s="42"/>
      <c r="C989" s="42"/>
      <c r="D989" s="42"/>
      <c r="I989" s="42"/>
      <c r="J989" s="42"/>
      <c r="K989" s="42"/>
      <c r="L989" s="42"/>
      <c r="M989" s="42"/>
      <c r="P989" s="42"/>
    </row>
    <row r="990">
      <c r="A990" s="42"/>
      <c r="B990" s="42"/>
      <c r="C990" s="42"/>
      <c r="D990" s="42"/>
      <c r="I990" s="42"/>
      <c r="J990" s="42"/>
      <c r="K990" s="42"/>
      <c r="L990" s="42"/>
      <c r="M990" s="42"/>
      <c r="P990" s="42"/>
    </row>
    <row r="991">
      <c r="A991" s="42"/>
      <c r="B991" s="42"/>
      <c r="C991" s="42"/>
      <c r="D991" s="42"/>
      <c r="I991" s="42"/>
      <c r="J991" s="42"/>
      <c r="K991" s="42"/>
      <c r="L991" s="42"/>
      <c r="M991" s="42"/>
      <c r="P991" s="42"/>
    </row>
    <row r="992">
      <c r="A992" s="42"/>
      <c r="B992" s="42"/>
      <c r="C992" s="42"/>
      <c r="D992" s="42"/>
      <c r="I992" s="42"/>
      <c r="J992" s="42"/>
      <c r="K992" s="42"/>
      <c r="L992" s="42"/>
      <c r="M992" s="42"/>
      <c r="P992" s="42"/>
    </row>
    <row r="993">
      <c r="A993" s="42"/>
      <c r="B993" s="42"/>
      <c r="C993" s="42"/>
      <c r="D993" s="42"/>
      <c r="I993" s="42"/>
      <c r="J993" s="42"/>
      <c r="K993" s="42"/>
      <c r="L993" s="42"/>
      <c r="M993" s="42"/>
      <c r="P993" s="42"/>
    </row>
    <row r="994">
      <c r="A994" s="42"/>
      <c r="B994" s="42"/>
      <c r="C994" s="42"/>
      <c r="D994" s="42"/>
      <c r="I994" s="42"/>
      <c r="J994" s="42"/>
      <c r="K994" s="42"/>
      <c r="L994" s="42"/>
      <c r="M994" s="42"/>
      <c r="P994" s="42"/>
    </row>
    <row r="995">
      <c r="A995" s="42"/>
      <c r="B995" s="42"/>
      <c r="C995" s="42"/>
      <c r="D995" s="42"/>
      <c r="I995" s="42"/>
      <c r="J995" s="42"/>
      <c r="K995" s="42"/>
      <c r="L995" s="42"/>
      <c r="M995" s="42"/>
      <c r="P995" s="42"/>
    </row>
    <row r="996">
      <c r="A996" s="42"/>
      <c r="B996" s="42"/>
      <c r="C996" s="42"/>
      <c r="D996" s="42"/>
      <c r="I996" s="42"/>
      <c r="J996" s="42"/>
      <c r="K996" s="42"/>
      <c r="L996" s="42"/>
      <c r="M996" s="42"/>
      <c r="P996" s="42"/>
    </row>
    <row r="997">
      <c r="A997" s="42"/>
      <c r="B997" s="42"/>
      <c r="C997" s="42"/>
      <c r="D997" s="42"/>
      <c r="I997" s="42"/>
      <c r="J997" s="42"/>
      <c r="K997" s="42"/>
      <c r="L997" s="42"/>
      <c r="M997" s="42"/>
      <c r="P997" s="42"/>
    </row>
    <row r="998">
      <c r="A998" s="42"/>
      <c r="B998" s="42"/>
      <c r="C998" s="42"/>
      <c r="D998" s="42"/>
      <c r="I998" s="42"/>
      <c r="J998" s="42"/>
      <c r="K998" s="42"/>
      <c r="L998" s="42"/>
      <c r="M998" s="42"/>
      <c r="P998" s="42"/>
    </row>
    <row r="999">
      <c r="A999" s="42"/>
      <c r="B999" s="42"/>
      <c r="C999" s="42"/>
      <c r="D999" s="42"/>
      <c r="I999" s="42"/>
      <c r="J999" s="42"/>
      <c r="K999" s="42"/>
      <c r="L999" s="42"/>
      <c r="M999" s="42"/>
      <c r="P999" s="42"/>
    </row>
  </sheetData>
  <dataValidations>
    <dataValidation type="list" allowBlank="1" showErrorMessage="1" sqref="G2:G103">
      <formula1>"0%,10%,20%,30%,40%,50%,60%,70%,80%,90%,100%"</formula1>
    </dataValidation>
    <dataValidation type="list" allowBlank="1" showErrorMessage="1" sqref="E2:F95 E97:F107">
      <formula1>"Active,Close,Hold,Support"</formula1>
    </dataValidation>
    <dataValidation type="list" allowBlank="1" showErrorMessage="1" sqref="Q2:S91">
      <formula1>"0,10 %,20 %,30 %,40 %,50 %,60 %,70 %,80 %,90 %,100 %"</formula1>
    </dataValidation>
    <dataValidation type="list" allowBlank="1" showErrorMessage="1" sqref="T2:T98">
      <formula1>"Yes,No"</formula1>
    </dataValidation>
  </dataValidations>
  <printOptions gridLines="1" horizontalCentered="1"/>
  <pageMargins bottom="0.75" footer="0.0" header="0.0" left="0.7" right="0.7" top="0.75"/>
  <pageSetup fitToHeight="0" cellComments="atEnd" orientation="portrait" pageOrder="overThenDown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2" max="2" width="45.38"/>
  </cols>
  <sheetData>
    <row r="1">
      <c r="A1" s="43" t="s">
        <v>2</v>
      </c>
      <c r="B1" s="43" t="s">
        <v>124</v>
      </c>
      <c r="C1" s="44"/>
      <c r="D1" s="44"/>
      <c r="E1" s="43" t="s">
        <v>2</v>
      </c>
    </row>
    <row r="2">
      <c r="A2" s="44" t="s">
        <v>67</v>
      </c>
      <c r="B2" s="44" t="s">
        <v>51</v>
      </c>
      <c r="C2" s="44"/>
      <c r="D2" s="44"/>
      <c r="E2" s="44" t="s">
        <v>67</v>
      </c>
    </row>
    <row r="3">
      <c r="A3" s="44" t="s">
        <v>64</v>
      </c>
      <c r="B3" s="44" t="s">
        <v>50</v>
      </c>
      <c r="C3" s="44"/>
      <c r="D3" s="44"/>
      <c r="E3" s="44" t="s">
        <v>64</v>
      </c>
    </row>
    <row r="4">
      <c r="A4" s="44" t="s">
        <v>72</v>
      </c>
      <c r="B4" s="44" t="s">
        <v>46</v>
      </c>
      <c r="C4" s="44"/>
      <c r="D4" s="44"/>
      <c r="E4" s="44" t="s">
        <v>72</v>
      </c>
    </row>
    <row r="5">
      <c r="A5" s="44"/>
      <c r="B5" s="44" t="s">
        <v>47</v>
      </c>
      <c r="C5" s="44"/>
      <c r="D5" s="44"/>
      <c r="E5" s="44" t="s">
        <v>88</v>
      </c>
    </row>
    <row r="6">
      <c r="A6" s="44"/>
      <c r="B6" s="44" t="s">
        <v>48</v>
      </c>
      <c r="C6" s="44"/>
      <c r="D6" s="44"/>
      <c r="E6" s="44" t="s">
        <v>85</v>
      </c>
    </row>
    <row r="7">
      <c r="A7" s="44"/>
      <c r="B7" s="44" t="s">
        <v>49</v>
      </c>
      <c r="C7" s="44"/>
      <c r="D7" s="44"/>
      <c r="E7" s="44" t="s">
        <v>77</v>
      </c>
    </row>
    <row r="8">
      <c r="A8" s="44" t="s">
        <v>88</v>
      </c>
      <c r="B8" s="44" t="s">
        <v>43</v>
      </c>
      <c r="C8" s="44"/>
      <c r="D8" s="44"/>
      <c r="E8" s="44" t="s">
        <v>125</v>
      </c>
    </row>
    <row r="9">
      <c r="A9" s="44"/>
      <c r="B9" s="44" t="s">
        <v>44</v>
      </c>
      <c r="C9" s="44"/>
      <c r="D9" s="44"/>
      <c r="E9" s="44" t="s">
        <v>90</v>
      </c>
    </row>
    <row r="10">
      <c r="A10" s="44"/>
      <c r="B10" s="44" t="s">
        <v>45</v>
      </c>
      <c r="C10" s="44"/>
      <c r="D10" s="44"/>
      <c r="E10" s="44" t="s">
        <v>69</v>
      </c>
    </row>
    <row r="11">
      <c r="A11" s="44" t="s">
        <v>85</v>
      </c>
      <c r="B11" s="44" t="s">
        <v>42</v>
      </c>
      <c r="C11" s="44"/>
      <c r="D11" s="44"/>
      <c r="E11" s="44" t="s">
        <v>83</v>
      </c>
    </row>
    <row r="12">
      <c r="A12" s="44" t="s">
        <v>77</v>
      </c>
      <c r="B12" s="44" t="s">
        <v>41</v>
      </c>
      <c r="C12" s="44"/>
      <c r="D12" s="44"/>
      <c r="E12" s="44" t="s">
        <v>94</v>
      </c>
    </row>
    <row r="13">
      <c r="A13" s="44" t="s">
        <v>125</v>
      </c>
      <c r="B13" s="44" t="s">
        <v>40</v>
      </c>
      <c r="C13" s="44"/>
      <c r="D13" s="44"/>
      <c r="E13" s="44" t="s">
        <v>99</v>
      </c>
    </row>
    <row r="14">
      <c r="A14" s="44" t="s">
        <v>90</v>
      </c>
      <c r="B14" s="44" t="s">
        <v>36</v>
      </c>
      <c r="C14" s="44"/>
      <c r="D14" s="44"/>
      <c r="E14" s="44" t="s">
        <v>74</v>
      </c>
    </row>
    <row r="15">
      <c r="A15" s="44"/>
      <c r="B15" s="44" t="s">
        <v>37</v>
      </c>
      <c r="C15" s="44"/>
      <c r="D15" s="44"/>
      <c r="E15" s="44" t="s">
        <v>98</v>
      </c>
    </row>
    <row r="16">
      <c r="A16" s="44"/>
      <c r="B16" s="44" t="s">
        <v>38</v>
      </c>
      <c r="C16" s="44"/>
      <c r="D16" s="44"/>
      <c r="E16" s="44" t="s">
        <v>81</v>
      </c>
    </row>
    <row r="17">
      <c r="A17" s="44"/>
      <c r="B17" s="44" t="s">
        <v>39</v>
      </c>
      <c r="C17" s="44"/>
      <c r="D17" s="44"/>
      <c r="E17" s="44" t="s">
        <v>79</v>
      </c>
    </row>
    <row r="18">
      <c r="A18" s="44" t="s">
        <v>69</v>
      </c>
      <c r="B18" s="44" t="s">
        <v>28</v>
      </c>
      <c r="C18" s="44"/>
      <c r="D18" s="44"/>
      <c r="E18" s="44"/>
    </row>
    <row r="19">
      <c r="A19" s="44"/>
      <c r="B19" s="44" t="s">
        <v>29</v>
      </c>
      <c r="C19" s="44"/>
      <c r="D19" s="44"/>
      <c r="E19" s="44"/>
    </row>
    <row r="20">
      <c r="A20" s="44"/>
      <c r="B20" s="44" t="s">
        <v>30</v>
      </c>
      <c r="C20" s="44"/>
      <c r="D20" s="44"/>
      <c r="E20" s="44"/>
    </row>
    <row r="21">
      <c r="A21" s="44"/>
      <c r="B21" s="44" t="s">
        <v>31</v>
      </c>
      <c r="C21" s="44"/>
      <c r="D21" s="44"/>
      <c r="E21" s="44"/>
    </row>
    <row r="22">
      <c r="A22" s="44"/>
      <c r="B22" s="44" t="s">
        <v>32</v>
      </c>
      <c r="C22" s="44"/>
      <c r="D22" s="44"/>
      <c r="E22" s="44"/>
    </row>
    <row r="23">
      <c r="A23" s="44"/>
      <c r="B23" s="44" t="s">
        <v>33</v>
      </c>
      <c r="C23" s="44"/>
      <c r="D23" s="44"/>
      <c r="E23" s="44"/>
    </row>
    <row r="24">
      <c r="A24" s="44"/>
      <c r="B24" s="44" t="s">
        <v>34</v>
      </c>
      <c r="C24" s="44"/>
      <c r="D24" s="44"/>
      <c r="E24" s="44"/>
    </row>
    <row r="25">
      <c r="A25" s="44"/>
      <c r="B25" s="44" t="s">
        <v>35</v>
      </c>
      <c r="C25" s="44"/>
      <c r="D25" s="44"/>
      <c r="E25" s="44"/>
    </row>
    <row r="26">
      <c r="A26" s="44" t="s">
        <v>123</v>
      </c>
      <c r="B26" s="44" t="s">
        <v>126</v>
      </c>
      <c r="C26" s="44"/>
      <c r="D26" s="44"/>
      <c r="E26" s="44"/>
    </row>
    <row r="27">
      <c r="A27" s="44" t="s">
        <v>83</v>
      </c>
      <c r="B27" s="44" t="s">
        <v>26</v>
      </c>
      <c r="C27" s="44"/>
      <c r="D27" s="44"/>
      <c r="E27" s="44"/>
    </row>
    <row r="28">
      <c r="A28" s="44"/>
      <c r="B28" s="44" t="s">
        <v>27</v>
      </c>
      <c r="C28" s="44"/>
      <c r="D28" s="44"/>
      <c r="E28" s="44"/>
    </row>
    <row r="29">
      <c r="A29" s="44" t="s">
        <v>94</v>
      </c>
      <c r="B29" s="44" t="s">
        <v>22</v>
      </c>
      <c r="C29" s="44"/>
      <c r="D29" s="44"/>
      <c r="E29" s="44"/>
    </row>
    <row r="30">
      <c r="A30" s="44"/>
      <c r="B30" s="44" t="s">
        <v>23</v>
      </c>
      <c r="C30" s="44"/>
      <c r="D30" s="44"/>
      <c r="E30" s="44"/>
    </row>
    <row r="31">
      <c r="A31" s="44"/>
      <c r="B31" s="44" t="s">
        <v>24</v>
      </c>
      <c r="C31" s="44"/>
      <c r="D31" s="44"/>
      <c r="E31" s="44"/>
    </row>
    <row r="32">
      <c r="A32" s="44"/>
      <c r="B32" s="44" t="s">
        <v>25</v>
      </c>
      <c r="C32" s="44"/>
      <c r="D32" s="44"/>
      <c r="E32" s="44"/>
    </row>
    <row r="33">
      <c r="A33" s="44" t="s">
        <v>99</v>
      </c>
      <c r="B33" s="44" t="s">
        <v>21</v>
      </c>
      <c r="C33" s="44"/>
      <c r="D33" s="44"/>
      <c r="E33" s="44"/>
    </row>
    <row r="34">
      <c r="A34" s="44" t="s">
        <v>74</v>
      </c>
      <c r="B34" s="44" t="s">
        <v>10</v>
      </c>
      <c r="C34" s="44"/>
      <c r="D34" s="44"/>
      <c r="E34" s="44"/>
    </row>
    <row r="35">
      <c r="A35" s="44"/>
      <c r="B35" s="44" t="s">
        <v>11</v>
      </c>
      <c r="C35" s="44"/>
      <c r="D35" s="44"/>
      <c r="E35" s="44"/>
    </row>
    <row r="36">
      <c r="A36" s="44"/>
      <c r="B36" s="44" t="s">
        <v>12</v>
      </c>
      <c r="C36" s="44"/>
      <c r="D36" s="44"/>
      <c r="E36" s="44"/>
    </row>
    <row r="37">
      <c r="A37" s="44"/>
      <c r="B37" s="44" t="s">
        <v>13</v>
      </c>
      <c r="C37" s="44"/>
      <c r="D37" s="44"/>
      <c r="E37" s="44"/>
    </row>
    <row r="38">
      <c r="A38" s="44"/>
      <c r="B38" s="44" t="s">
        <v>14</v>
      </c>
      <c r="C38" s="44"/>
      <c r="D38" s="44"/>
      <c r="E38" s="44"/>
    </row>
    <row r="39">
      <c r="A39" s="44"/>
      <c r="B39" s="44" t="s">
        <v>15</v>
      </c>
      <c r="C39" s="44"/>
      <c r="D39" s="44"/>
      <c r="E39" s="44"/>
    </row>
    <row r="40">
      <c r="A40" s="44"/>
      <c r="B40" s="44" t="s">
        <v>16</v>
      </c>
      <c r="C40" s="44"/>
      <c r="D40" s="44"/>
      <c r="E40" s="44"/>
    </row>
    <row r="41">
      <c r="A41" s="44"/>
      <c r="B41" s="44" t="s">
        <v>17</v>
      </c>
      <c r="C41" s="44"/>
      <c r="D41" s="44"/>
      <c r="E41" s="44"/>
    </row>
    <row r="42">
      <c r="A42" s="44"/>
      <c r="B42" s="44" t="s">
        <v>18</v>
      </c>
      <c r="C42" s="44"/>
      <c r="D42" s="44"/>
      <c r="E42" s="44"/>
    </row>
    <row r="43">
      <c r="A43" s="44"/>
      <c r="B43" s="44" t="s">
        <v>19</v>
      </c>
      <c r="C43" s="44"/>
      <c r="D43" s="44"/>
      <c r="E43" s="44"/>
    </row>
    <row r="44">
      <c r="A44" s="44"/>
      <c r="B44" s="44" t="s">
        <v>20</v>
      </c>
      <c r="C44" s="44"/>
      <c r="D44" s="44"/>
      <c r="E44" s="44"/>
    </row>
    <row r="45">
      <c r="A45" s="44" t="s">
        <v>98</v>
      </c>
      <c r="B45" s="44" t="s">
        <v>7</v>
      </c>
      <c r="C45" s="44"/>
      <c r="D45" s="44"/>
      <c r="E45" s="44"/>
    </row>
    <row r="46">
      <c r="A46" s="44"/>
      <c r="B46" s="44" t="s">
        <v>8</v>
      </c>
      <c r="C46" s="44"/>
      <c r="D46" s="44"/>
      <c r="E46" s="44"/>
    </row>
    <row r="47">
      <c r="A47" s="44"/>
      <c r="B47" s="44" t="s">
        <v>9</v>
      </c>
      <c r="C47" s="44"/>
      <c r="D47" s="44"/>
      <c r="E47" s="44"/>
    </row>
    <row r="48">
      <c r="A48" s="44" t="s">
        <v>81</v>
      </c>
      <c r="B48" s="44" t="s">
        <v>4</v>
      </c>
      <c r="C48" s="44"/>
      <c r="D48" s="44"/>
      <c r="E48" s="44"/>
    </row>
    <row r="49">
      <c r="A49" s="44"/>
      <c r="B49" s="44" t="s">
        <v>5</v>
      </c>
      <c r="C49" s="44"/>
      <c r="D49" s="44"/>
      <c r="E49" s="44"/>
    </row>
    <row r="50">
      <c r="A50" s="44"/>
      <c r="B50" s="44" t="s">
        <v>6</v>
      </c>
      <c r="C50" s="44"/>
      <c r="D50" s="44"/>
      <c r="E50" s="44"/>
    </row>
    <row r="51">
      <c r="A51" s="44" t="s">
        <v>79</v>
      </c>
      <c r="B51" s="44" t="s">
        <v>3</v>
      </c>
      <c r="C51" s="44"/>
      <c r="D51" s="44"/>
      <c r="E51" s="4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2" width="17.25"/>
    <col customWidth="1" min="3" max="3" width="20.75"/>
    <col customWidth="1" min="6" max="6" width="18.88"/>
  </cols>
  <sheetData>
    <row r="1">
      <c r="B1" s="45"/>
    </row>
    <row r="2">
      <c r="A2" s="7" t="s">
        <v>127</v>
      </c>
      <c r="B2" s="10" t="s">
        <v>128</v>
      </c>
      <c r="C2" s="7" t="str">
        <f>IFERROR(__xludf.DUMMYFUNCTION("importrange(""https://docs.google.com/spreadsheets/d/11O2z75LZmys-9Ot4FDphHpNnSPSC8enG7LorWizx81s/edit#gid=184601556"",""Software Data (April 2023-Nov 23)!c27:d38"")"),"Name of Software")</f>
        <v>Name of Software</v>
      </c>
      <c r="D2" s="46" t="str">
        <f>IFERROR(__xludf.DUMMYFUNCTION("""COMPUTED_VALUE"""),"Amount (INR in Lacs)")</f>
        <v>Amount (INR in Lacs)</v>
      </c>
      <c r="E2" s="10" t="s">
        <v>129</v>
      </c>
      <c r="F2" s="7" t="s">
        <v>130</v>
      </c>
      <c r="G2" s="10" t="s">
        <v>131</v>
      </c>
      <c r="H2" s="7" t="s">
        <v>132</v>
      </c>
      <c r="I2" s="10" t="s">
        <v>133</v>
      </c>
      <c r="J2" s="7" t="s">
        <v>134</v>
      </c>
      <c r="K2" s="10" t="s">
        <v>135</v>
      </c>
      <c r="L2" s="7" t="s">
        <v>136</v>
      </c>
      <c r="M2" s="10" t="s">
        <v>137</v>
      </c>
      <c r="N2" s="7" t="s">
        <v>138</v>
      </c>
      <c r="O2" s="10" t="s">
        <v>139</v>
      </c>
      <c r="P2" s="7" t="s">
        <v>140</v>
      </c>
      <c r="Q2" s="10" t="s">
        <v>141</v>
      </c>
      <c r="R2" s="7" t="s">
        <v>142</v>
      </c>
      <c r="S2" s="10" t="s">
        <v>143</v>
      </c>
      <c r="T2" s="7" t="s">
        <v>144</v>
      </c>
      <c r="U2" s="10" t="s">
        <v>145</v>
      </c>
      <c r="V2" s="7" t="s">
        <v>146</v>
      </c>
      <c r="W2" s="10" t="s">
        <v>147</v>
      </c>
      <c r="X2" s="7" t="s">
        <v>148</v>
      </c>
      <c r="Y2" s="10" t="s">
        <v>149</v>
      </c>
    </row>
    <row r="3">
      <c r="A3" s="47">
        <v>1.0</v>
      </c>
      <c r="B3" s="48" t="s">
        <v>150</v>
      </c>
      <c r="C3" s="49" t="str">
        <f>IFERROR(__xludf.DUMMYFUNCTION("""COMPUTED_VALUE"""),"#5138 WPF Studio v22.1 for WPF Single Developer License Renewal")</f>
        <v>#5138 WPF Studio v22.1 for WPF Single Developer License Renewal</v>
      </c>
      <c r="D3" s="50">
        <f>IFERROR(__xludf.DUMMYFUNCTION("""COMPUTED_VALUE"""),2.02204)</f>
        <v>2.02204</v>
      </c>
      <c r="E3" s="51" t="s">
        <v>151</v>
      </c>
      <c r="F3" s="51" t="s">
        <v>29</v>
      </c>
      <c r="G3" s="30">
        <v>0.3</v>
      </c>
      <c r="H3" s="51" t="s">
        <v>30</v>
      </c>
      <c r="I3" s="30">
        <v>0.2</v>
      </c>
      <c r="J3" s="51" t="s">
        <v>34</v>
      </c>
      <c r="K3" s="30">
        <v>0.3</v>
      </c>
      <c r="L3" s="51" t="s">
        <v>33</v>
      </c>
      <c r="M3" s="30">
        <v>0.2</v>
      </c>
      <c r="N3" s="51"/>
      <c r="O3" s="30"/>
      <c r="P3" s="51"/>
      <c r="Q3" s="30"/>
      <c r="R3" s="51"/>
      <c r="S3" s="16"/>
      <c r="T3" s="51"/>
      <c r="U3" s="16"/>
      <c r="V3" s="51"/>
      <c r="W3" s="16"/>
      <c r="X3" s="51"/>
      <c r="Y3" s="16"/>
    </row>
    <row r="4">
      <c r="A4" s="24">
        <f t="shared" ref="A4:A13" si="1">A3+1</f>
        <v>2</v>
      </c>
      <c r="B4" s="48" t="s">
        <v>152</v>
      </c>
      <c r="C4" s="49" t="str">
        <f>IFERROR(__xludf.DUMMYFUNCTION("""COMPUTED_VALUE"""),"2020 Premier Perpetual License plus Gold Maintenance-Installshield")</f>
        <v>2020 Premier Perpetual License plus Gold Maintenance-Installshield</v>
      </c>
      <c r="D4" s="50">
        <f>IFERROR(__xludf.DUMMYFUNCTION("""COMPUTED_VALUE"""),2.28058)</f>
        <v>2.28058</v>
      </c>
      <c r="E4" s="51" t="s">
        <v>98</v>
      </c>
      <c r="F4" s="51" t="s">
        <v>14</v>
      </c>
      <c r="G4" s="33">
        <v>1.0</v>
      </c>
      <c r="H4" s="51"/>
      <c r="I4" s="26"/>
      <c r="J4" s="51"/>
      <c r="K4" s="26"/>
      <c r="L4" s="51"/>
      <c r="M4" s="26"/>
      <c r="N4" s="51"/>
      <c r="O4" s="26"/>
      <c r="P4" s="51"/>
      <c r="Q4" s="26"/>
      <c r="R4" s="51"/>
      <c r="S4" s="26"/>
      <c r="T4" s="51"/>
      <c r="U4" s="26"/>
      <c r="V4" s="51"/>
      <c r="W4" s="26"/>
      <c r="X4" s="51"/>
      <c r="Y4" s="26"/>
    </row>
    <row r="5">
      <c r="A5" s="24">
        <f t="shared" si="1"/>
        <v>3</v>
      </c>
      <c r="B5" s="48" t="s">
        <v>153</v>
      </c>
      <c r="C5" s="49" t="str">
        <f>IFERROR(__xludf.DUMMYFUNCTION("""COMPUTED_VALUE"""),"Allegro X Designer")</f>
        <v>Allegro X Designer</v>
      </c>
      <c r="D5" s="50">
        <f>IFERROR(__xludf.DUMMYFUNCTION("""COMPUTED_VALUE"""),6.15395)</f>
        <v>6.15395</v>
      </c>
      <c r="E5" s="51" t="s">
        <v>94</v>
      </c>
      <c r="F5" s="51" t="s">
        <v>24</v>
      </c>
      <c r="G5" s="33">
        <v>1.0</v>
      </c>
      <c r="H5" s="51"/>
      <c r="I5" s="26"/>
      <c r="J5" s="51"/>
      <c r="K5" s="26"/>
      <c r="L5" s="51"/>
      <c r="M5" s="26"/>
      <c r="N5" s="51"/>
      <c r="O5" s="26"/>
      <c r="P5" s="51"/>
      <c r="Q5" s="26"/>
      <c r="R5" s="51"/>
      <c r="S5" s="26"/>
      <c r="T5" s="51"/>
      <c r="U5" s="26"/>
      <c r="V5" s="51"/>
      <c r="W5" s="26"/>
      <c r="X5" s="51"/>
      <c r="Y5" s="26"/>
    </row>
    <row r="6">
      <c r="A6" s="24">
        <f t="shared" si="1"/>
        <v>4</v>
      </c>
      <c r="B6" s="48" t="s">
        <v>154</v>
      </c>
      <c r="C6" s="49" t="str">
        <f>IFERROR(__xludf.DUMMYFUNCTION("""COMPUTED_VALUE"""),"AWS Service Charges")</f>
        <v>AWS Service Charges</v>
      </c>
      <c r="D6" s="50">
        <f>IFERROR(__xludf.DUMMYFUNCTION("""COMPUTED_VALUE"""),0.95468)</f>
        <v>0.95468</v>
      </c>
      <c r="E6" s="51" t="s">
        <v>98</v>
      </c>
      <c r="F6" s="51" t="s">
        <v>7</v>
      </c>
      <c r="G6" s="33">
        <v>0.5</v>
      </c>
      <c r="H6" s="51" t="s">
        <v>8</v>
      </c>
      <c r="I6" s="33">
        <v>0.5</v>
      </c>
      <c r="J6" s="51"/>
      <c r="K6" s="26"/>
      <c r="L6" s="51"/>
      <c r="M6" s="26"/>
      <c r="N6" s="51"/>
      <c r="O6" s="26"/>
      <c r="P6" s="51"/>
      <c r="Q6" s="26"/>
      <c r="R6" s="51"/>
      <c r="S6" s="26"/>
      <c r="T6" s="51"/>
      <c r="U6" s="26"/>
      <c r="V6" s="51"/>
      <c r="W6" s="26"/>
      <c r="X6" s="51"/>
      <c r="Y6" s="26"/>
    </row>
    <row r="7">
      <c r="A7" s="24">
        <f t="shared" si="1"/>
        <v>5</v>
      </c>
      <c r="B7" s="48" t="s">
        <v>155</v>
      </c>
      <c r="C7" s="49" t="str">
        <f>IFERROR(__xludf.DUMMYFUNCTION("""COMPUTED_VALUE"""),"Either eDP 1.5 (with backward compatibility to eDP 1.4b) or DP2.0 Verification IP (including HDCP)")</f>
        <v>Either eDP 1.5 (with backward compatibility to eDP 1.4b) or DP2.0 Verification IP (including HDCP)</v>
      </c>
      <c r="D7" s="50">
        <f>IFERROR(__xludf.DUMMYFUNCTION("""COMPUTED_VALUE"""),7.8)</f>
        <v>7.8</v>
      </c>
      <c r="E7" s="51" t="s">
        <v>156</v>
      </c>
      <c r="F7" s="51" t="s">
        <v>14</v>
      </c>
      <c r="G7" s="33">
        <v>1.0</v>
      </c>
      <c r="H7" s="51"/>
      <c r="I7" s="26"/>
      <c r="J7" s="51"/>
      <c r="K7" s="26"/>
      <c r="L7" s="51"/>
      <c r="M7" s="26"/>
      <c r="N7" s="51"/>
      <c r="O7" s="26"/>
      <c r="P7" s="51"/>
      <c r="Q7" s="26"/>
      <c r="R7" s="51"/>
      <c r="S7" s="26"/>
      <c r="T7" s="51"/>
      <c r="U7" s="26"/>
      <c r="V7" s="51"/>
      <c r="W7" s="26"/>
      <c r="X7" s="51"/>
      <c r="Y7" s="26"/>
    </row>
    <row r="8">
      <c r="A8" s="24">
        <f t="shared" si="1"/>
        <v>6</v>
      </c>
      <c r="B8" s="48" t="s">
        <v>157</v>
      </c>
      <c r="C8" s="49" t="str">
        <f>IFERROR(__xludf.DUMMYFUNCTION("""COMPUTED_VALUE"""),"K.S.CAMC(SW+HW Maintenance Renewal -Silver Package)")</f>
        <v>K.S.CAMC(SW+HW Maintenance Renewal -Silver Package)</v>
      </c>
      <c r="D8" s="50">
        <f>IFERROR(__xludf.DUMMYFUNCTION("""COMPUTED_VALUE"""),0.8)</f>
        <v>0.8</v>
      </c>
      <c r="E8" s="51" t="s">
        <v>158</v>
      </c>
      <c r="F8" s="51" t="s">
        <v>159</v>
      </c>
      <c r="G8" s="33">
        <v>0.5</v>
      </c>
      <c r="H8" s="51" t="s">
        <v>38</v>
      </c>
      <c r="I8" s="33">
        <v>0.5</v>
      </c>
      <c r="J8" s="51"/>
      <c r="K8" s="26"/>
      <c r="L8" s="51"/>
      <c r="M8" s="26"/>
      <c r="N8" s="51"/>
      <c r="O8" s="26"/>
      <c r="P8" s="51"/>
      <c r="Q8" s="26"/>
      <c r="R8" s="51"/>
      <c r="S8" s="26"/>
      <c r="T8" s="51"/>
      <c r="U8" s="26"/>
      <c r="V8" s="51"/>
      <c r="W8" s="26"/>
      <c r="X8" s="51"/>
      <c r="Y8" s="26"/>
    </row>
    <row r="9">
      <c r="A9" s="24">
        <f t="shared" si="1"/>
        <v>7</v>
      </c>
      <c r="B9" s="48" t="s">
        <v>160</v>
      </c>
      <c r="C9" s="49" t="str">
        <f>IFERROR(__xludf.DUMMYFUNCTION("""COMPUTED_VALUE"""),"Questa Prime Ap SW Subscription")</f>
        <v>Questa Prime Ap SW Subscription</v>
      </c>
      <c r="D9" s="50">
        <f>IFERROR(__xludf.DUMMYFUNCTION("""COMPUTED_VALUE"""),11.5928)</f>
        <v>11.5928</v>
      </c>
      <c r="E9" s="51" t="s">
        <v>156</v>
      </c>
      <c r="F9" s="51" t="s">
        <v>14</v>
      </c>
      <c r="G9" s="33">
        <v>0.3</v>
      </c>
      <c r="H9" s="51" t="s">
        <v>22</v>
      </c>
      <c r="I9" s="33">
        <v>0.3</v>
      </c>
      <c r="J9" s="51" t="s">
        <v>161</v>
      </c>
      <c r="K9" s="33">
        <v>0.1</v>
      </c>
      <c r="L9" s="51" t="s">
        <v>162</v>
      </c>
      <c r="M9" s="33">
        <v>0.1</v>
      </c>
      <c r="N9" s="51" t="s">
        <v>20</v>
      </c>
      <c r="O9" s="33">
        <v>0.1</v>
      </c>
      <c r="P9" s="51" t="s">
        <v>163</v>
      </c>
      <c r="Q9" s="33">
        <v>0.1</v>
      </c>
      <c r="R9" s="51"/>
      <c r="S9" s="26"/>
      <c r="T9" s="51"/>
      <c r="U9" s="26"/>
      <c r="V9" s="51"/>
      <c r="W9" s="26"/>
      <c r="X9" s="51"/>
      <c r="Y9" s="26"/>
    </row>
    <row r="10">
      <c r="A10" s="24">
        <f t="shared" si="1"/>
        <v>8</v>
      </c>
      <c r="B10" s="48" t="s">
        <v>164</v>
      </c>
      <c r="C10" s="49" t="str">
        <f>IFERROR(__xludf.DUMMYFUNCTION("""COMPUTED_VALUE"""),"Vita: Membership Fee")</f>
        <v>Vita: Membership Fee</v>
      </c>
      <c r="D10" s="50">
        <f>IFERROR(__xludf.DUMMYFUNCTION("""COMPUTED_VALUE"""),3.0675)</f>
        <v>3.0675</v>
      </c>
      <c r="E10" s="51" t="s">
        <v>94</v>
      </c>
      <c r="F10" s="51" t="s">
        <v>163</v>
      </c>
      <c r="G10" s="33">
        <v>0.1</v>
      </c>
      <c r="H10" s="51" t="s">
        <v>24</v>
      </c>
      <c r="I10" s="33">
        <v>0.9</v>
      </c>
      <c r="J10" s="51"/>
      <c r="K10" s="26"/>
      <c r="L10" s="51"/>
      <c r="M10" s="26"/>
      <c r="N10" s="51"/>
      <c r="O10" s="26"/>
      <c r="P10" s="51"/>
      <c r="Q10" s="26"/>
      <c r="R10" s="51"/>
      <c r="S10" s="26"/>
      <c r="T10" s="51"/>
      <c r="U10" s="26"/>
      <c r="V10" s="51"/>
      <c r="W10" s="26"/>
      <c r="X10" s="51"/>
      <c r="Y10" s="26"/>
    </row>
    <row r="11">
      <c r="A11" s="24">
        <f t="shared" si="1"/>
        <v>9</v>
      </c>
      <c r="B11" s="48" t="s">
        <v>160</v>
      </c>
      <c r="C11" s="49" t="str">
        <f>IFERROR(__xludf.DUMMYFUNCTION("""COMPUTED_VALUE"""),"Xpedition Designer 201 Ap SW TimeBased")</f>
        <v>Xpedition Designer 201 Ap SW TimeBased</v>
      </c>
      <c r="D11" s="50">
        <f>IFERROR(__xludf.DUMMYFUNCTION("""COMPUTED_VALUE"""),0.93308)</f>
        <v>0.93308</v>
      </c>
      <c r="E11" s="51" t="s">
        <v>94</v>
      </c>
      <c r="F11" s="51" t="s">
        <v>29</v>
      </c>
      <c r="G11" s="33">
        <v>1.0</v>
      </c>
      <c r="H11" s="51"/>
      <c r="I11" s="26"/>
      <c r="J11" s="51"/>
      <c r="K11" s="26"/>
      <c r="L11" s="51"/>
      <c r="M11" s="26"/>
      <c r="N11" s="51"/>
      <c r="O11" s="26"/>
      <c r="P11" s="51"/>
      <c r="Q11" s="26"/>
      <c r="R11" s="51"/>
      <c r="S11" s="26"/>
      <c r="T11" s="51"/>
      <c r="U11" s="26"/>
      <c r="V11" s="51"/>
      <c r="W11" s="26"/>
      <c r="X11" s="51"/>
      <c r="Y11" s="26"/>
    </row>
    <row r="12">
      <c r="A12" s="24">
        <f t="shared" si="1"/>
        <v>10</v>
      </c>
      <c r="B12" s="48" t="s">
        <v>160</v>
      </c>
      <c r="C12" s="49" t="str">
        <f>IFERROR(__xludf.DUMMYFUNCTION("""COMPUTED_VALUE"""),"Xpedition Layout 151 Ap SW TimeBased")</f>
        <v>Xpedition Layout 151 Ap SW TimeBased</v>
      </c>
      <c r="D12" s="50">
        <f>IFERROR(__xludf.DUMMYFUNCTION("""COMPUTED_VALUE"""),4.30703)</f>
        <v>4.30703</v>
      </c>
      <c r="E12" s="51" t="s">
        <v>94</v>
      </c>
      <c r="F12" s="51" t="s">
        <v>29</v>
      </c>
      <c r="G12" s="33">
        <v>1.0</v>
      </c>
      <c r="H12" s="51"/>
      <c r="I12" s="26"/>
      <c r="J12" s="51"/>
      <c r="K12" s="26"/>
      <c r="L12" s="51"/>
      <c r="M12" s="26"/>
      <c r="N12" s="51"/>
      <c r="O12" s="26"/>
      <c r="P12" s="51"/>
      <c r="Q12" s="26"/>
      <c r="R12" s="51"/>
      <c r="S12" s="26"/>
      <c r="T12" s="51"/>
      <c r="U12" s="26"/>
      <c r="V12" s="51"/>
      <c r="W12" s="26"/>
      <c r="X12" s="51"/>
      <c r="Y12" s="26"/>
    </row>
    <row r="13">
      <c r="A13" s="24">
        <f t="shared" si="1"/>
        <v>11</v>
      </c>
      <c r="B13" s="48" t="s">
        <v>160</v>
      </c>
      <c r="C13" s="49" t="str">
        <f>IFERROR(__xludf.DUMMYFUNCTION("""COMPUTED_VALUE"""),"Xpedition Library Manager Ap SW TimeBased")</f>
        <v>Xpedition Library Manager Ap SW TimeBased</v>
      </c>
      <c r="D13" s="50">
        <f>IFERROR(__xludf.DUMMYFUNCTION("""COMPUTED_VALUE"""),0.59322)</f>
        <v>0.59322</v>
      </c>
      <c r="E13" s="51" t="s">
        <v>94</v>
      </c>
      <c r="F13" s="51" t="s">
        <v>29</v>
      </c>
      <c r="G13" s="33">
        <v>1.0</v>
      </c>
      <c r="H13" s="51"/>
      <c r="I13" s="26"/>
      <c r="J13" s="51"/>
      <c r="K13" s="26"/>
      <c r="L13" s="51"/>
      <c r="M13" s="26"/>
      <c r="N13" s="51"/>
      <c r="O13" s="26"/>
      <c r="P13" s="51"/>
      <c r="Q13" s="26"/>
      <c r="R13" s="51"/>
      <c r="S13" s="26"/>
      <c r="T13" s="51"/>
      <c r="U13" s="26"/>
      <c r="V13" s="51"/>
      <c r="W13" s="26"/>
      <c r="X13" s="51"/>
      <c r="Y13" s="26"/>
    </row>
    <row r="14">
      <c r="A14" s="47">
        <v>12.0</v>
      </c>
      <c r="B14" s="48" t="s">
        <v>160</v>
      </c>
      <c r="C14" s="47" t="s">
        <v>165</v>
      </c>
      <c r="D14" s="51">
        <v>5.79</v>
      </c>
      <c r="E14" s="51" t="s">
        <v>156</v>
      </c>
      <c r="F14" s="51" t="s">
        <v>14</v>
      </c>
      <c r="G14" s="33">
        <v>0.2</v>
      </c>
      <c r="H14" s="51" t="s">
        <v>22</v>
      </c>
      <c r="I14" s="33">
        <v>0.2</v>
      </c>
      <c r="J14" s="51" t="s">
        <v>49</v>
      </c>
      <c r="K14" s="33">
        <v>0.2</v>
      </c>
      <c r="L14" s="51" t="s">
        <v>126</v>
      </c>
      <c r="M14" s="33">
        <v>0.4</v>
      </c>
      <c r="N14" s="51"/>
      <c r="O14" s="33"/>
      <c r="P14" s="51"/>
      <c r="Q14" s="33"/>
      <c r="R14" s="33"/>
      <c r="S14" s="51"/>
      <c r="T14" s="33"/>
      <c r="U14" s="51"/>
      <c r="V14" s="33"/>
      <c r="W14" s="51"/>
      <c r="X14" s="33"/>
      <c r="Y14" s="33"/>
    </row>
    <row r="15">
      <c r="A15" s="47">
        <v>13.0</v>
      </c>
      <c r="B15" s="48" t="s">
        <v>160</v>
      </c>
      <c r="C15" s="47" t="s">
        <v>166</v>
      </c>
      <c r="D15" s="51">
        <v>0.65</v>
      </c>
      <c r="E15" s="51" t="s">
        <v>156</v>
      </c>
      <c r="F15" s="51" t="s">
        <v>22</v>
      </c>
      <c r="G15" s="33">
        <v>1.0</v>
      </c>
      <c r="H15" s="51"/>
      <c r="I15" s="51"/>
      <c r="J15" s="33"/>
      <c r="K15" s="51"/>
      <c r="L15" s="33"/>
      <c r="M15" s="51"/>
      <c r="N15" s="33"/>
      <c r="O15" s="51"/>
      <c r="P15" s="33"/>
      <c r="Q15" s="51"/>
      <c r="R15" s="33"/>
      <c r="S15" s="51"/>
      <c r="T15" s="33"/>
      <c r="U15" s="51"/>
      <c r="V15" s="33"/>
      <c r="W15" s="51"/>
      <c r="X15" s="33"/>
      <c r="Y15" s="33"/>
    </row>
    <row r="16">
      <c r="B16" s="45"/>
      <c r="D16" s="52"/>
      <c r="E16" s="52"/>
      <c r="F16" s="52"/>
      <c r="G16" s="53"/>
      <c r="H16" s="52"/>
      <c r="I16" s="53"/>
      <c r="J16" s="52"/>
      <c r="K16" s="53"/>
      <c r="L16" s="52"/>
      <c r="M16" s="53"/>
      <c r="N16" s="52"/>
      <c r="O16" s="53"/>
      <c r="P16" s="52"/>
      <c r="Q16" s="53"/>
      <c r="R16" s="52"/>
      <c r="S16" s="53"/>
      <c r="T16" s="52"/>
      <c r="U16" s="53"/>
      <c r="V16" s="52"/>
      <c r="W16" s="53"/>
      <c r="X16" s="52"/>
      <c r="Y16" s="53"/>
    </row>
    <row r="17">
      <c r="B17" s="45"/>
      <c r="D17" s="52"/>
      <c r="E17" s="52"/>
      <c r="F17" s="52"/>
      <c r="G17" s="53"/>
      <c r="H17" s="52"/>
      <c r="I17" s="53"/>
      <c r="J17" s="52"/>
      <c r="K17" s="53"/>
      <c r="L17" s="52"/>
      <c r="M17" s="53"/>
      <c r="N17" s="52"/>
      <c r="O17" s="53"/>
      <c r="P17" s="52"/>
      <c r="Q17" s="53"/>
      <c r="R17" s="52"/>
      <c r="S17" s="53"/>
      <c r="T17" s="52"/>
      <c r="U17" s="53"/>
      <c r="V17" s="52"/>
      <c r="W17" s="53"/>
      <c r="X17" s="52"/>
      <c r="Y17" s="53"/>
    </row>
    <row r="18">
      <c r="B18" s="45"/>
      <c r="D18" s="52"/>
      <c r="E18" s="52"/>
      <c r="F18" s="52"/>
      <c r="G18" s="53"/>
      <c r="H18" s="52"/>
      <c r="I18" s="53"/>
      <c r="J18" s="52"/>
      <c r="K18" s="53"/>
      <c r="L18" s="52"/>
      <c r="M18" s="53"/>
      <c r="N18" s="52"/>
      <c r="O18" s="53"/>
      <c r="P18" s="52"/>
      <c r="Q18" s="53"/>
      <c r="R18" s="52"/>
      <c r="S18" s="53"/>
      <c r="T18" s="52"/>
      <c r="U18" s="53"/>
      <c r="V18" s="52"/>
      <c r="W18" s="53"/>
      <c r="X18" s="52"/>
      <c r="Y18" s="53"/>
    </row>
    <row r="19">
      <c r="B19" s="45"/>
      <c r="D19" s="52"/>
      <c r="E19" s="52"/>
      <c r="F19" s="52"/>
      <c r="G19" s="53"/>
      <c r="H19" s="52"/>
      <c r="I19" s="53"/>
      <c r="J19" s="52"/>
      <c r="K19" s="53"/>
      <c r="L19" s="52"/>
      <c r="M19" s="53"/>
      <c r="N19" s="52"/>
      <c r="O19" s="53"/>
      <c r="P19" s="52"/>
      <c r="Q19" s="53"/>
      <c r="R19" s="52"/>
      <c r="S19" s="53"/>
      <c r="T19" s="52"/>
      <c r="U19" s="53"/>
      <c r="V19" s="52"/>
      <c r="W19" s="53"/>
      <c r="X19" s="52"/>
      <c r="Y19" s="53"/>
    </row>
    <row r="20">
      <c r="B20" s="45"/>
      <c r="D20" s="52"/>
      <c r="E20" s="52"/>
      <c r="F20" s="52"/>
      <c r="G20" s="53"/>
      <c r="H20" s="52"/>
      <c r="I20" s="53"/>
      <c r="J20" s="52"/>
      <c r="K20" s="53"/>
      <c r="L20" s="52"/>
      <c r="M20" s="53"/>
      <c r="N20" s="52"/>
      <c r="O20" s="53"/>
      <c r="P20" s="52"/>
      <c r="Q20" s="53"/>
      <c r="R20" s="52"/>
      <c r="S20" s="53"/>
      <c r="T20" s="52"/>
      <c r="U20" s="53"/>
      <c r="V20" s="52"/>
      <c r="W20" s="53"/>
      <c r="X20" s="52"/>
      <c r="Y20" s="53"/>
    </row>
    <row r="21">
      <c r="B21" s="45"/>
      <c r="D21" s="52"/>
      <c r="E21" s="52"/>
      <c r="F21" s="52"/>
      <c r="G21" s="53"/>
      <c r="H21" s="52"/>
      <c r="I21" s="53"/>
      <c r="J21" s="52"/>
      <c r="K21" s="53"/>
      <c r="L21" s="52"/>
      <c r="M21" s="53"/>
      <c r="N21" s="52"/>
      <c r="O21" s="53"/>
      <c r="P21" s="52"/>
      <c r="Q21" s="53"/>
      <c r="R21" s="52"/>
      <c r="S21" s="53"/>
      <c r="T21" s="52"/>
      <c r="U21" s="53"/>
      <c r="V21" s="52"/>
      <c r="W21" s="53"/>
      <c r="X21" s="52"/>
      <c r="Y21" s="53"/>
    </row>
    <row r="22">
      <c r="B22" s="45"/>
      <c r="D22" s="52"/>
      <c r="E22" s="52"/>
      <c r="F22" s="52"/>
      <c r="G22" s="53"/>
      <c r="H22" s="52"/>
      <c r="I22" s="53"/>
      <c r="J22" s="52"/>
      <c r="K22" s="53"/>
      <c r="L22" s="52"/>
      <c r="M22" s="53"/>
      <c r="N22" s="52"/>
      <c r="O22" s="53"/>
      <c r="P22" s="52"/>
      <c r="Q22" s="53"/>
      <c r="R22" s="52"/>
      <c r="S22" s="53"/>
      <c r="T22" s="52"/>
      <c r="U22" s="53"/>
      <c r="V22" s="52"/>
      <c r="W22" s="53"/>
      <c r="X22" s="52"/>
      <c r="Y22" s="53"/>
    </row>
    <row r="23">
      <c r="B23" s="45"/>
      <c r="D23" s="52"/>
      <c r="E23" s="52"/>
      <c r="F23" s="52"/>
      <c r="G23" s="54"/>
      <c r="H23" s="52"/>
      <c r="I23" s="54"/>
      <c r="J23" s="52"/>
      <c r="K23" s="54"/>
      <c r="L23" s="52"/>
      <c r="M23" s="54"/>
      <c r="N23" s="52"/>
      <c r="O23" s="54"/>
      <c r="P23" s="52"/>
      <c r="Q23" s="54"/>
      <c r="R23" s="52"/>
      <c r="S23" s="54"/>
      <c r="T23" s="52"/>
      <c r="U23" s="54"/>
      <c r="V23" s="52"/>
      <c r="W23" s="54"/>
      <c r="X23" s="52"/>
      <c r="Y23" s="54"/>
    </row>
    <row r="24">
      <c r="B24" s="45"/>
      <c r="D24" s="52"/>
      <c r="E24" s="52"/>
      <c r="F24" s="52"/>
      <c r="G24" s="53"/>
      <c r="H24" s="52"/>
      <c r="I24" s="53"/>
      <c r="J24" s="52"/>
      <c r="K24" s="53"/>
      <c r="L24" s="52"/>
      <c r="M24" s="53"/>
      <c r="N24" s="52"/>
      <c r="O24" s="53"/>
      <c r="P24" s="52"/>
      <c r="Q24" s="53"/>
      <c r="R24" s="52"/>
      <c r="S24" s="53"/>
      <c r="T24" s="52"/>
      <c r="U24" s="53"/>
      <c r="V24" s="52"/>
      <c r="W24" s="53"/>
      <c r="X24" s="52"/>
      <c r="Y24" s="53"/>
    </row>
    <row r="25">
      <c r="B25" s="45"/>
      <c r="D25" s="52"/>
      <c r="E25" s="52"/>
      <c r="F25" s="52"/>
      <c r="G25" s="53"/>
      <c r="H25" s="52"/>
      <c r="I25" s="53"/>
      <c r="J25" s="52"/>
      <c r="K25" s="53"/>
      <c r="L25" s="52"/>
      <c r="M25" s="53"/>
      <c r="N25" s="52"/>
      <c r="O25" s="53"/>
      <c r="P25" s="52"/>
      <c r="Q25" s="53"/>
      <c r="R25" s="52"/>
      <c r="S25" s="53"/>
      <c r="T25" s="52"/>
      <c r="U25" s="53"/>
      <c r="V25" s="52"/>
      <c r="W25" s="53"/>
      <c r="X25" s="52"/>
      <c r="Y25" s="53"/>
    </row>
    <row r="26">
      <c r="B26" s="45"/>
      <c r="D26" s="52"/>
      <c r="E26" s="52"/>
      <c r="F26" s="52"/>
      <c r="G26" s="53"/>
      <c r="H26" s="52"/>
      <c r="I26" s="53"/>
      <c r="J26" s="52"/>
      <c r="K26" s="53"/>
      <c r="L26" s="52"/>
      <c r="M26" s="53"/>
      <c r="N26" s="52"/>
      <c r="O26" s="53"/>
      <c r="P26" s="52"/>
      <c r="Q26" s="53"/>
      <c r="R26" s="52"/>
      <c r="S26" s="53"/>
      <c r="T26" s="52"/>
      <c r="U26" s="53"/>
      <c r="V26" s="52"/>
      <c r="W26" s="53"/>
      <c r="X26" s="52"/>
      <c r="Y26" s="53"/>
    </row>
    <row r="27">
      <c r="B27" s="45"/>
      <c r="D27" s="52"/>
      <c r="E27" s="52"/>
      <c r="F27" s="52"/>
      <c r="G27" s="53"/>
      <c r="H27" s="52"/>
      <c r="I27" s="53"/>
      <c r="J27" s="52"/>
      <c r="K27" s="53"/>
      <c r="L27" s="52"/>
      <c r="M27" s="53"/>
      <c r="N27" s="52"/>
      <c r="O27" s="53"/>
      <c r="P27" s="52"/>
      <c r="Q27" s="53"/>
      <c r="R27" s="52"/>
      <c r="S27" s="53"/>
      <c r="T27" s="52"/>
      <c r="U27" s="53"/>
      <c r="V27" s="52"/>
      <c r="W27" s="53"/>
      <c r="X27" s="52"/>
      <c r="Y27" s="53"/>
    </row>
    <row r="28">
      <c r="B28" s="45"/>
      <c r="D28" s="52"/>
      <c r="E28" s="52"/>
      <c r="F28" s="52"/>
      <c r="G28" s="53"/>
      <c r="H28" s="52"/>
      <c r="I28" s="53"/>
      <c r="J28" s="52"/>
      <c r="K28" s="53"/>
      <c r="L28" s="52"/>
      <c r="M28" s="53"/>
      <c r="N28" s="52"/>
      <c r="O28" s="53"/>
      <c r="P28" s="52"/>
      <c r="Q28" s="53"/>
      <c r="R28" s="52"/>
      <c r="S28" s="53"/>
      <c r="T28" s="52"/>
      <c r="U28" s="53"/>
      <c r="V28" s="52"/>
      <c r="W28" s="53"/>
      <c r="X28" s="52"/>
      <c r="Y28" s="53"/>
    </row>
    <row r="29">
      <c r="B29" s="45"/>
      <c r="D29" s="52"/>
      <c r="E29" s="52"/>
      <c r="F29" s="52"/>
      <c r="G29" s="53"/>
      <c r="H29" s="52"/>
      <c r="I29" s="53"/>
      <c r="J29" s="52"/>
      <c r="K29" s="53"/>
      <c r="L29" s="52"/>
      <c r="M29" s="53"/>
      <c r="N29" s="52"/>
      <c r="O29" s="53"/>
      <c r="P29" s="52"/>
      <c r="Q29" s="53"/>
      <c r="R29" s="52"/>
      <c r="S29" s="53"/>
      <c r="T29" s="52"/>
      <c r="U29" s="53"/>
      <c r="V29" s="52"/>
      <c r="W29" s="53"/>
      <c r="X29" s="52"/>
      <c r="Y29" s="53"/>
    </row>
    <row r="30">
      <c r="B30" s="45"/>
      <c r="D30" s="52"/>
      <c r="E30" s="52"/>
      <c r="F30" s="52"/>
      <c r="G30" s="53"/>
      <c r="H30" s="52"/>
      <c r="I30" s="53"/>
      <c r="J30" s="52"/>
      <c r="K30" s="53"/>
      <c r="L30" s="52"/>
      <c r="M30" s="53"/>
      <c r="N30" s="52"/>
      <c r="O30" s="53"/>
      <c r="P30" s="52"/>
      <c r="Q30" s="53"/>
      <c r="R30" s="52"/>
      <c r="S30" s="53"/>
      <c r="T30" s="52"/>
      <c r="U30" s="53"/>
      <c r="V30" s="52"/>
      <c r="W30" s="53"/>
      <c r="X30" s="52"/>
      <c r="Y30" s="53"/>
    </row>
    <row r="31">
      <c r="B31" s="45"/>
      <c r="D31" s="52"/>
      <c r="E31" s="52"/>
      <c r="F31" s="52"/>
      <c r="G31" s="53"/>
      <c r="H31" s="52"/>
      <c r="I31" s="53"/>
      <c r="J31" s="52"/>
      <c r="K31" s="53"/>
      <c r="L31" s="52"/>
      <c r="M31" s="53"/>
      <c r="N31" s="52"/>
      <c r="O31" s="53"/>
      <c r="P31" s="52"/>
      <c r="Q31" s="53"/>
      <c r="R31" s="52"/>
      <c r="S31" s="53"/>
      <c r="T31" s="52"/>
      <c r="U31" s="53"/>
      <c r="V31" s="52"/>
      <c r="W31" s="53"/>
      <c r="X31" s="52"/>
      <c r="Y31" s="53"/>
    </row>
    <row r="32">
      <c r="B32" s="45"/>
      <c r="D32" s="52"/>
      <c r="E32" s="52"/>
      <c r="F32" s="52"/>
      <c r="G32" s="53"/>
      <c r="H32" s="52"/>
      <c r="I32" s="53"/>
      <c r="J32" s="52"/>
      <c r="K32" s="53"/>
      <c r="L32" s="52"/>
      <c r="M32" s="53"/>
      <c r="N32" s="52"/>
      <c r="O32" s="53"/>
      <c r="P32" s="52"/>
      <c r="Q32" s="53"/>
      <c r="R32" s="52"/>
      <c r="S32" s="53"/>
      <c r="T32" s="52"/>
      <c r="U32" s="53"/>
      <c r="V32" s="52"/>
      <c r="W32" s="53"/>
      <c r="X32" s="52"/>
      <c r="Y32" s="53"/>
    </row>
    <row r="33">
      <c r="B33" s="45"/>
      <c r="D33" s="52"/>
      <c r="E33" s="52"/>
      <c r="F33" s="52"/>
      <c r="G33" s="53"/>
      <c r="H33" s="52"/>
      <c r="I33" s="53"/>
      <c r="J33" s="52"/>
      <c r="K33" s="53"/>
      <c r="L33" s="52"/>
      <c r="M33" s="53"/>
      <c r="N33" s="52"/>
      <c r="O33" s="53"/>
      <c r="P33" s="52"/>
      <c r="Q33" s="53"/>
      <c r="R33" s="52"/>
      <c r="S33" s="53"/>
      <c r="T33" s="52"/>
      <c r="U33" s="53"/>
      <c r="V33" s="52"/>
      <c r="W33" s="53"/>
      <c r="X33" s="52"/>
      <c r="Y33" s="53"/>
    </row>
    <row r="34">
      <c r="B34" s="45"/>
      <c r="D34" s="52"/>
      <c r="E34" s="52"/>
      <c r="F34" s="52"/>
      <c r="G34" s="53"/>
      <c r="H34" s="52"/>
      <c r="I34" s="53"/>
      <c r="J34" s="52"/>
      <c r="K34" s="53"/>
      <c r="L34" s="52"/>
      <c r="M34" s="53"/>
      <c r="N34" s="52"/>
      <c r="O34" s="53"/>
      <c r="P34" s="52"/>
      <c r="Q34" s="53"/>
      <c r="R34" s="52"/>
      <c r="S34" s="53"/>
      <c r="T34" s="52"/>
      <c r="U34" s="53"/>
      <c r="V34" s="52"/>
      <c r="W34" s="53"/>
      <c r="X34" s="52"/>
      <c r="Y34" s="53"/>
    </row>
    <row r="35">
      <c r="B35" s="45"/>
      <c r="D35" s="52"/>
      <c r="E35" s="52"/>
      <c r="F35" s="52"/>
      <c r="G35" s="53"/>
      <c r="H35" s="52"/>
      <c r="I35" s="53"/>
      <c r="J35" s="52"/>
      <c r="K35" s="53"/>
      <c r="L35" s="52"/>
      <c r="M35" s="53"/>
      <c r="N35" s="52"/>
      <c r="O35" s="53"/>
      <c r="P35" s="52"/>
      <c r="Q35" s="53"/>
      <c r="R35" s="52"/>
      <c r="S35" s="53"/>
      <c r="T35" s="52"/>
      <c r="U35" s="53"/>
      <c r="V35" s="52"/>
      <c r="W35" s="53"/>
      <c r="X35" s="52"/>
      <c r="Y35" s="53"/>
    </row>
    <row r="36">
      <c r="B36" s="45"/>
      <c r="D36" s="52"/>
      <c r="E36" s="52"/>
      <c r="F36" s="52"/>
      <c r="G36" s="53"/>
      <c r="H36" s="52"/>
      <c r="I36" s="53"/>
      <c r="J36" s="52"/>
      <c r="K36" s="53"/>
      <c r="L36" s="52"/>
      <c r="M36" s="53"/>
      <c r="N36" s="52"/>
      <c r="O36" s="53"/>
      <c r="P36" s="52"/>
      <c r="Q36" s="53"/>
      <c r="R36" s="52"/>
      <c r="S36" s="53"/>
      <c r="T36" s="52"/>
      <c r="U36" s="53"/>
      <c r="V36" s="52"/>
      <c r="W36" s="53"/>
      <c r="X36" s="52"/>
      <c r="Y36" s="53"/>
    </row>
    <row r="37">
      <c r="B37" s="45"/>
      <c r="D37" s="52"/>
      <c r="E37" s="52"/>
      <c r="F37" s="52"/>
      <c r="G37" s="53"/>
      <c r="H37" s="52"/>
      <c r="I37" s="53"/>
      <c r="J37" s="52"/>
      <c r="K37" s="53"/>
      <c r="L37" s="52"/>
      <c r="M37" s="53"/>
      <c r="N37" s="52"/>
      <c r="O37" s="53"/>
      <c r="P37" s="52"/>
      <c r="Q37" s="53"/>
      <c r="R37" s="52"/>
      <c r="S37" s="53"/>
      <c r="T37" s="52"/>
      <c r="U37" s="53"/>
      <c r="V37" s="52"/>
      <c r="W37" s="53"/>
      <c r="X37" s="52"/>
      <c r="Y37" s="53"/>
    </row>
    <row r="38">
      <c r="B38" s="45"/>
      <c r="D38" s="52"/>
      <c r="E38" s="52"/>
      <c r="F38" s="52"/>
      <c r="G38" s="53"/>
      <c r="H38" s="52"/>
      <c r="I38" s="53"/>
      <c r="J38" s="52"/>
      <c r="K38" s="53"/>
      <c r="L38" s="52"/>
      <c r="M38" s="53"/>
      <c r="N38" s="52"/>
      <c r="O38" s="53"/>
      <c r="P38" s="52"/>
      <c r="Q38" s="53"/>
      <c r="R38" s="52"/>
      <c r="S38" s="53"/>
      <c r="T38" s="52"/>
      <c r="U38" s="53"/>
      <c r="V38" s="52"/>
      <c r="W38" s="53"/>
      <c r="X38" s="52"/>
      <c r="Y38" s="53"/>
    </row>
    <row r="39">
      <c r="B39" s="45"/>
      <c r="D39" s="52"/>
      <c r="E39" s="52"/>
      <c r="F39" s="52"/>
      <c r="G39" s="53"/>
      <c r="H39" s="52"/>
      <c r="I39" s="53"/>
      <c r="J39" s="52"/>
      <c r="K39" s="53"/>
      <c r="L39" s="52"/>
      <c r="M39" s="53"/>
      <c r="N39" s="52"/>
      <c r="O39" s="53"/>
      <c r="P39" s="52"/>
      <c r="Q39" s="53"/>
      <c r="R39" s="52"/>
      <c r="S39" s="53"/>
      <c r="T39" s="52"/>
      <c r="U39" s="53"/>
      <c r="V39" s="52"/>
      <c r="W39" s="53"/>
      <c r="X39" s="52"/>
      <c r="Y39" s="53"/>
    </row>
    <row r="40">
      <c r="B40" s="45"/>
      <c r="D40" s="52"/>
      <c r="E40" s="52"/>
      <c r="F40" s="52"/>
      <c r="G40" s="53"/>
      <c r="H40" s="52"/>
      <c r="I40" s="53"/>
      <c r="J40" s="52"/>
      <c r="K40" s="53"/>
      <c r="L40" s="52"/>
      <c r="M40" s="53"/>
      <c r="N40" s="52"/>
      <c r="O40" s="53"/>
      <c r="P40" s="52"/>
      <c r="Q40" s="53"/>
      <c r="R40" s="52"/>
      <c r="S40" s="53"/>
      <c r="T40" s="52"/>
      <c r="U40" s="53"/>
      <c r="V40" s="52"/>
      <c r="W40" s="53"/>
      <c r="X40" s="52"/>
      <c r="Y40" s="53"/>
    </row>
    <row r="41">
      <c r="B41" s="45"/>
      <c r="D41" s="52"/>
      <c r="E41" s="52"/>
      <c r="F41" s="52"/>
      <c r="G41" s="53"/>
      <c r="H41" s="52"/>
      <c r="I41" s="53"/>
      <c r="J41" s="52"/>
      <c r="K41" s="53"/>
      <c r="L41" s="52"/>
      <c r="M41" s="53"/>
      <c r="N41" s="52"/>
      <c r="O41" s="53"/>
      <c r="P41" s="52"/>
      <c r="Q41" s="53"/>
      <c r="R41" s="52"/>
      <c r="S41" s="53"/>
      <c r="T41" s="52"/>
      <c r="U41" s="53"/>
      <c r="V41" s="52"/>
      <c r="W41" s="53"/>
      <c r="X41" s="52"/>
      <c r="Y41" s="53"/>
    </row>
    <row r="42">
      <c r="B42" s="45"/>
      <c r="D42" s="52"/>
      <c r="E42" s="52"/>
      <c r="F42" s="52"/>
      <c r="G42" s="53"/>
      <c r="H42" s="52"/>
      <c r="I42" s="53"/>
      <c r="J42" s="52"/>
      <c r="K42" s="53"/>
      <c r="L42" s="52"/>
      <c r="M42" s="53"/>
      <c r="N42" s="52"/>
      <c r="O42" s="53"/>
      <c r="P42" s="52"/>
      <c r="Q42" s="53"/>
      <c r="R42" s="52"/>
      <c r="S42" s="53"/>
      <c r="T42" s="52"/>
      <c r="U42" s="53"/>
      <c r="V42" s="52"/>
      <c r="W42" s="53"/>
      <c r="X42" s="52"/>
      <c r="Y42" s="53"/>
    </row>
    <row r="43">
      <c r="B43" s="45"/>
      <c r="D43" s="52"/>
      <c r="E43" s="52"/>
      <c r="F43" s="52"/>
      <c r="G43" s="53"/>
      <c r="H43" s="52"/>
      <c r="I43" s="53"/>
      <c r="J43" s="52"/>
      <c r="K43" s="53"/>
      <c r="L43" s="52"/>
      <c r="M43" s="53"/>
      <c r="N43" s="52"/>
      <c r="O43" s="53"/>
      <c r="P43" s="52"/>
      <c r="Q43" s="53"/>
      <c r="R43" s="52"/>
      <c r="S43" s="53"/>
      <c r="T43" s="52"/>
      <c r="U43" s="53"/>
      <c r="V43" s="52"/>
      <c r="W43" s="53"/>
      <c r="X43" s="52"/>
      <c r="Y43" s="53"/>
    </row>
    <row r="44">
      <c r="B44" s="45"/>
      <c r="D44" s="52"/>
      <c r="E44" s="52"/>
      <c r="F44" s="52"/>
      <c r="G44" s="53"/>
      <c r="H44" s="52"/>
      <c r="I44" s="53"/>
      <c r="J44" s="52"/>
      <c r="K44" s="53"/>
      <c r="L44" s="52"/>
      <c r="M44" s="53"/>
      <c r="N44" s="52"/>
      <c r="O44" s="53"/>
      <c r="P44" s="52"/>
      <c r="Q44" s="53"/>
      <c r="R44" s="52"/>
      <c r="S44" s="53"/>
      <c r="T44" s="52"/>
      <c r="U44" s="53"/>
      <c r="V44" s="52"/>
      <c r="W44" s="53"/>
      <c r="X44" s="52"/>
      <c r="Y44" s="53"/>
    </row>
    <row r="45">
      <c r="B45" s="45"/>
      <c r="D45" s="52"/>
      <c r="E45" s="52"/>
      <c r="F45" s="52"/>
      <c r="G45" s="53"/>
      <c r="H45" s="52"/>
      <c r="I45" s="53"/>
      <c r="J45" s="52"/>
      <c r="K45" s="53"/>
      <c r="L45" s="52"/>
      <c r="M45" s="53"/>
      <c r="N45" s="52"/>
      <c r="O45" s="53"/>
      <c r="P45" s="52"/>
      <c r="Q45" s="53"/>
      <c r="R45" s="52"/>
      <c r="S45" s="53"/>
      <c r="T45" s="52"/>
      <c r="U45" s="53"/>
      <c r="V45" s="52"/>
      <c r="W45" s="53"/>
      <c r="X45" s="52"/>
      <c r="Y45" s="53"/>
    </row>
    <row r="46">
      <c r="B46" s="45"/>
      <c r="D46" s="52"/>
      <c r="E46" s="52"/>
      <c r="F46" s="52"/>
      <c r="G46" s="53"/>
      <c r="H46" s="52"/>
      <c r="I46" s="53"/>
      <c r="J46" s="52"/>
      <c r="K46" s="53"/>
      <c r="L46" s="52"/>
      <c r="M46" s="53"/>
      <c r="N46" s="52"/>
      <c r="O46" s="53"/>
      <c r="P46" s="52"/>
      <c r="Q46" s="53"/>
      <c r="R46" s="52"/>
      <c r="S46" s="53"/>
      <c r="T46" s="52"/>
      <c r="U46" s="53"/>
      <c r="V46" s="52"/>
      <c r="W46" s="53"/>
      <c r="X46" s="52"/>
      <c r="Y46" s="53"/>
    </row>
    <row r="47">
      <c r="B47" s="45"/>
      <c r="D47" s="52"/>
      <c r="E47" s="52"/>
      <c r="F47" s="52"/>
      <c r="G47" s="53"/>
      <c r="H47" s="52"/>
      <c r="I47" s="53"/>
      <c r="J47" s="52"/>
      <c r="K47" s="53"/>
      <c r="L47" s="52"/>
      <c r="M47" s="53"/>
      <c r="N47" s="52"/>
      <c r="O47" s="53"/>
      <c r="P47" s="52"/>
      <c r="Q47" s="53"/>
      <c r="R47" s="52"/>
      <c r="S47" s="53"/>
      <c r="T47" s="52"/>
      <c r="U47" s="53"/>
      <c r="V47" s="52"/>
      <c r="W47" s="53"/>
      <c r="X47" s="52"/>
      <c r="Y47" s="53"/>
    </row>
    <row r="48">
      <c r="B48" s="45"/>
      <c r="D48" s="52"/>
      <c r="E48" s="52"/>
      <c r="F48" s="52"/>
      <c r="G48" s="53"/>
      <c r="H48" s="52"/>
      <c r="I48" s="53"/>
      <c r="J48" s="52"/>
      <c r="K48" s="53"/>
      <c r="L48" s="52"/>
      <c r="M48" s="53"/>
      <c r="N48" s="52"/>
      <c r="O48" s="53"/>
      <c r="P48" s="52"/>
      <c r="Q48" s="53"/>
      <c r="R48" s="52"/>
      <c r="S48" s="53"/>
      <c r="T48" s="52"/>
      <c r="U48" s="53"/>
      <c r="V48" s="52"/>
      <c r="W48" s="53"/>
      <c r="X48" s="52"/>
      <c r="Y48" s="53"/>
    </row>
    <row r="49">
      <c r="B49" s="45"/>
      <c r="D49" s="52"/>
      <c r="E49" s="52"/>
      <c r="F49" s="52"/>
      <c r="G49" s="53"/>
      <c r="H49" s="52"/>
      <c r="I49" s="53"/>
      <c r="J49" s="52"/>
      <c r="K49" s="53"/>
      <c r="L49" s="52"/>
      <c r="M49" s="53"/>
      <c r="N49" s="52"/>
      <c r="O49" s="53"/>
      <c r="P49" s="52"/>
      <c r="Q49" s="53"/>
      <c r="R49" s="52"/>
      <c r="S49" s="53"/>
      <c r="T49" s="52"/>
      <c r="U49" s="53"/>
      <c r="V49" s="52"/>
      <c r="W49" s="53"/>
      <c r="X49" s="52"/>
      <c r="Y49" s="53"/>
    </row>
    <row r="50">
      <c r="B50" s="45"/>
      <c r="D50" s="52"/>
      <c r="E50" s="52"/>
      <c r="F50" s="52"/>
      <c r="G50" s="53"/>
      <c r="H50" s="52"/>
      <c r="I50" s="53"/>
      <c r="J50" s="52"/>
      <c r="K50" s="53"/>
      <c r="L50" s="52"/>
      <c r="M50" s="53"/>
      <c r="N50" s="52"/>
      <c r="O50" s="53"/>
      <c r="P50" s="52"/>
      <c r="Q50" s="53"/>
      <c r="R50" s="52"/>
      <c r="S50" s="53"/>
      <c r="T50" s="52"/>
      <c r="U50" s="53"/>
      <c r="V50" s="52"/>
      <c r="W50" s="53"/>
      <c r="X50" s="52"/>
      <c r="Y50" s="53"/>
    </row>
    <row r="51">
      <c r="B51" s="45"/>
      <c r="D51" s="52"/>
      <c r="E51" s="52"/>
      <c r="F51" s="52"/>
      <c r="G51" s="53"/>
      <c r="H51" s="52"/>
      <c r="I51" s="53"/>
      <c r="J51" s="52"/>
      <c r="K51" s="53"/>
      <c r="L51" s="52"/>
      <c r="M51" s="53"/>
      <c r="N51" s="52"/>
      <c r="O51" s="53"/>
      <c r="P51" s="52"/>
      <c r="Q51" s="53"/>
      <c r="R51" s="52"/>
      <c r="S51" s="53"/>
      <c r="T51" s="52"/>
      <c r="U51" s="53"/>
      <c r="V51" s="52"/>
      <c r="W51" s="53"/>
      <c r="X51" s="52"/>
      <c r="Y51" s="53"/>
    </row>
    <row r="52">
      <c r="B52" s="45"/>
      <c r="D52" s="52"/>
      <c r="E52" s="52"/>
      <c r="F52" s="52"/>
      <c r="G52" s="53"/>
      <c r="H52" s="52"/>
      <c r="I52" s="53"/>
      <c r="J52" s="52"/>
      <c r="K52" s="53"/>
      <c r="L52" s="52"/>
      <c r="M52" s="53"/>
      <c r="N52" s="52"/>
      <c r="O52" s="53"/>
      <c r="P52" s="52"/>
      <c r="Q52" s="53"/>
      <c r="R52" s="52"/>
      <c r="S52" s="53"/>
      <c r="T52" s="52"/>
      <c r="U52" s="53"/>
      <c r="V52" s="52"/>
      <c r="W52" s="53"/>
      <c r="X52" s="52"/>
      <c r="Y52" s="53"/>
    </row>
    <row r="53">
      <c r="B53" s="45"/>
    </row>
    <row r="54">
      <c r="B54" s="45"/>
    </row>
    <row r="55">
      <c r="B55" s="45"/>
    </row>
    <row r="56">
      <c r="B56" s="45"/>
    </row>
    <row r="57">
      <c r="B57" s="45"/>
    </row>
    <row r="58">
      <c r="B58" s="45"/>
    </row>
    <row r="59">
      <c r="B59" s="45"/>
    </row>
    <row r="60">
      <c r="B60" s="45"/>
    </row>
    <row r="61">
      <c r="B61" s="45"/>
    </row>
    <row r="62">
      <c r="B62" s="45"/>
    </row>
    <row r="63">
      <c r="B63" s="45"/>
    </row>
    <row r="64">
      <c r="B64" s="45"/>
    </row>
    <row r="65">
      <c r="B65" s="45"/>
    </row>
    <row r="66">
      <c r="B66" s="45"/>
    </row>
    <row r="67">
      <c r="B67" s="45"/>
    </row>
    <row r="68">
      <c r="B68" s="45"/>
    </row>
    <row r="69">
      <c r="B69" s="45"/>
    </row>
    <row r="70">
      <c r="B70" s="45"/>
    </row>
    <row r="71">
      <c r="B71" s="45"/>
    </row>
    <row r="72">
      <c r="B72" s="45"/>
    </row>
    <row r="73">
      <c r="B73" s="45"/>
    </row>
    <row r="74">
      <c r="B74" s="45"/>
    </row>
    <row r="75">
      <c r="B75" s="45"/>
    </row>
    <row r="76">
      <c r="B76" s="45"/>
    </row>
    <row r="77">
      <c r="B77" s="45"/>
    </row>
    <row r="78">
      <c r="B78" s="45"/>
    </row>
    <row r="79">
      <c r="B79" s="45"/>
    </row>
    <row r="80">
      <c r="B80" s="45"/>
    </row>
    <row r="81">
      <c r="B81" s="45"/>
    </row>
    <row r="82">
      <c r="B82" s="45"/>
    </row>
    <row r="83">
      <c r="B83" s="45"/>
    </row>
    <row r="84">
      <c r="B84" s="45"/>
    </row>
    <row r="85">
      <c r="B85" s="45"/>
    </row>
    <row r="86">
      <c r="B86" s="45"/>
    </row>
    <row r="87">
      <c r="B87" s="45"/>
    </row>
    <row r="88">
      <c r="B88" s="45"/>
    </row>
    <row r="89">
      <c r="B89" s="45"/>
    </row>
    <row r="90">
      <c r="B90" s="45"/>
    </row>
    <row r="91">
      <c r="B91" s="45"/>
    </row>
    <row r="92">
      <c r="B92" s="45"/>
    </row>
    <row r="93">
      <c r="B93" s="45"/>
    </row>
    <row r="94">
      <c r="B94" s="45"/>
    </row>
    <row r="95">
      <c r="B95" s="45"/>
    </row>
    <row r="96">
      <c r="B96" s="45"/>
    </row>
    <row r="97">
      <c r="B97" s="45"/>
    </row>
    <row r="98">
      <c r="B98" s="45"/>
    </row>
    <row r="99">
      <c r="B99" s="45"/>
    </row>
    <row r="100">
      <c r="B100" s="45"/>
    </row>
    <row r="101">
      <c r="B101" s="45"/>
    </row>
    <row r="102">
      <c r="B102" s="45"/>
    </row>
    <row r="103">
      <c r="B103" s="45"/>
    </row>
    <row r="104">
      <c r="B104" s="45"/>
    </row>
    <row r="105">
      <c r="B105" s="45"/>
    </row>
    <row r="106">
      <c r="B106" s="45"/>
    </row>
    <row r="107">
      <c r="B107" s="45"/>
    </row>
    <row r="108">
      <c r="B108" s="45"/>
    </row>
    <row r="109">
      <c r="B109" s="45"/>
    </row>
    <row r="110">
      <c r="B110" s="45"/>
    </row>
    <row r="111">
      <c r="B111" s="45"/>
    </row>
    <row r="112">
      <c r="B112" s="45"/>
    </row>
    <row r="113">
      <c r="B113" s="45"/>
    </row>
    <row r="114">
      <c r="B114" s="45"/>
    </row>
    <row r="115">
      <c r="B115" s="45"/>
    </row>
    <row r="116">
      <c r="B116" s="45"/>
    </row>
    <row r="117">
      <c r="B117" s="45"/>
    </row>
    <row r="118">
      <c r="B118" s="45"/>
    </row>
    <row r="119">
      <c r="B119" s="45"/>
    </row>
    <row r="120">
      <c r="B120" s="45"/>
    </row>
    <row r="121">
      <c r="B121" s="45"/>
    </row>
    <row r="122">
      <c r="B122" s="45"/>
    </row>
    <row r="123">
      <c r="B123" s="45"/>
    </row>
    <row r="124">
      <c r="B124" s="45"/>
    </row>
    <row r="125">
      <c r="B125" s="45"/>
    </row>
    <row r="126">
      <c r="B126" s="45"/>
    </row>
    <row r="127">
      <c r="B127" s="45"/>
    </row>
    <row r="128">
      <c r="B128" s="45"/>
    </row>
    <row r="129">
      <c r="B129" s="45"/>
    </row>
    <row r="130">
      <c r="B130" s="45"/>
    </row>
    <row r="131">
      <c r="B131" s="45"/>
    </row>
    <row r="132">
      <c r="B132" s="45"/>
    </row>
    <row r="133">
      <c r="B133" s="45"/>
    </row>
    <row r="134">
      <c r="B134" s="45"/>
    </row>
    <row r="135">
      <c r="B135" s="45"/>
    </row>
    <row r="136">
      <c r="B136" s="45"/>
    </row>
    <row r="137">
      <c r="B137" s="45"/>
    </row>
    <row r="138">
      <c r="B138" s="45"/>
    </row>
    <row r="139">
      <c r="B139" s="45"/>
    </row>
    <row r="140">
      <c r="B140" s="45"/>
    </row>
    <row r="141">
      <c r="B141" s="45"/>
    </row>
    <row r="142">
      <c r="B142" s="45"/>
    </row>
    <row r="143">
      <c r="B143" s="45"/>
    </row>
    <row r="144">
      <c r="B144" s="45"/>
    </row>
    <row r="145">
      <c r="B145" s="45"/>
    </row>
    <row r="146">
      <c r="B146" s="45"/>
    </row>
    <row r="147">
      <c r="B147" s="45"/>
    </row>
    <row r="148">
      <c r="B148" s="45"/>
    </row>
    <row r="149">
      <c r="B149" s="45"/>
    </row>
    <row r="150">
      <c r="B150" s="45"/>
    </row>
    <row r="151">
      <c r="B151" s="45"/>
    </row>
    <row r="152">
      <c r="B152" s="45"/>
    </row>
    <row r="153">
      <c r="B153" s="45"/>
    </row>
    <row r="154">
      <c r="B154" s="45"/>
    </row>
    <row r="155">
      <c r="B155" s="45"/>
    </row>
    <row r="156">
      <c r="B156" s="45"/>
    </row>
    <row r="157">
      <c r="B157" s="45"/>
    </row>
    <row r="158">
      <c r="B158" s="45"/>
    </row>
    <row r="159">
      <c r="B159" s="45"/>
    </row>
    <row r="160">
      <c r="B160" s="45"/>
    </row>
    <row r="161">
      <c r="B161" s="45"/>
    </row>
    <row r="162">
      <c r="B162" s="45"/>
    </row>
    <row r="163">
      <c r="B163" s="45"/>
    </row>
    <row r="164">
      <c r="B164" s="45"/>
    </row>
    <row r="165">
      <c r="B165" s="45"/>
    </row>
    <row r="166">
      <c r="B166" s="45"/>
    </row>
    <row r="167">
      <c r="B167" s="45"/>
    </row>
    <row r="168">
      <c r="B168" s="45"/>
    </row>
    <row r="169">
      <c r="B169" s="45"/>
    </row>
    <row r="170">
      <c r="B170" s="45"/>
    </row>
    <row r="171">
      <c r="B171" s="45"/>
    </row>
    <row r="172">
      <c r="B172" s="45"/>
    </row>
    <row r="173">
      <c r="B173" s="45"/>
    </row>
    <row r="174">
      <c r="B174" s="45"/>
    </row>
    <row r="175">
      <c r="B175" s="45"/>
    </row>
    <row r="176">
      <c r="B176" s="45"/>
    </row>
    <row r="177">
      <c r="B177" s="45"/>
    </row>
    <row r="178">
      <c r="B178" s="45"/>
    </row>
    <row r="179">
      <c r="B179" s="45"/>
    </row>
    <row r="180">
      <c r="B180" s="45"/>
    </row>
    <row r="181">
      <c r="B181" s="45"/>
    </row>
    <row r="182">
      <c r="B182" s="45"/>
    </row>
    <row r="183">
      <c r="B183" s="45"/>
    </row>
    <row r="184">
      <c r="B184" s="45"/>
    </row>
    <row r="185">
      <c r="B185" s="45"/>
    </row>
    <row r="186">
      <c r="B186" s="45"/>
    </row>
    <row r="187">
      <c r="B187" s="45"/>
    </row>
    <row r="188">
      <c r="B188" s="45"/>
    </row>
    <row r="189">
      <c r="B189" s="45"/>
    </row>
    <row r="190">
      <c r="B190" s="45"/>
    </row>
    <row r="191">
      <c r="B191" s="45"/>
    </row>
    <row r="192">
      <c r="B192" s="45"/>
    </row>
    <row r="193">
      <c r="B193" s="45"/>
    </row>
    <row r="194">
      <c r="B194" s="45"/>
    </row>
    <row r="195">
      <c r="B195" s="45"/>
    </row>
    <row r="196">
      <c r="B196" s="45"/>
    </row>
    <row r="197">
      <c r="B197" s="45"/>
    </row>
    <row r="198">
      <c r="B198" s="45"/>
    </row>
    <row r="199">
      <c r="B199" s="45"/>
    </row>
    <row r="200">
      <c r="B200" s="45"/>
    </row>
    <row r="201">
      <c r="B201" s="45"/>
    </row>
    <row r="202">
      <c r="B202" s="45"/>
    </row>
    <row r="203">
      <c r="B203" s="45"/>
    </row>
    <row r="204">
      <c r="B204" s="45"/>
    </row>
    <row r="205">
      <c r="B205" s="45"/>
    </row>
    <row r="206">
      <c r="B206" s="45"/>
    </row>
    <row r="207">
      <c r="B207" s="45"/>
    </row>
    <row r="208">
      <c r="B208" s="45"/>
    </row>
    <row r="209">
      <c r="B209" s="45"/>
    </row>
    <row r="210">
      <c r="B210" s="45"/>
    </row>
    <row r="211">
      <c r="B211" s="45"/>
    </row>
    <row r="212">
      <c r="B212" s="45"/>
    </row>
    <row r="213">
      <c r="B213" s="45"/>
    </row>
    <row r="214">
      <c r="B214" s="45"/>
    </row>
    <row r="215">
      <c r="B215" s="45"/>
    </row>
    <row r="216">
      <c r="B216" s="45"/>
    </row>
    <row r="217">
      <c r="B217" s="45"/>
    </row>
    <row r="218">
      <c r="B218" s="45"/>
    </row>
    <row r="219">
      <c r="B219" s="45"/>
    </row>
    <row r="220">
      <c r="B220" s="45"/>
    </row>
    <row r="221">
      <c r="B221" s="45"/>
    </row>
    <row r="222">
      <c r="B222" s="45"/>
    </row>
    <row r="223">
      <c r="B223" s="45"/>
    </row>
    <row r="224">
      <c r="B224" s="45"/>
    </row>
    <row r="225">
      <c r="B225" s="45"/>
    </row>
    <row r="226">
      <c r="B226" s="45"/>
    </row>
    <row r="227">
      <c r="B227" s="45"/>
    </row>
    <row r="228">
      <c r="B228" s="45"/>
    </row>
    <row r="229">
      <c r="B229" s="45"/>
    </row>
    <row r="230">
      <c r="B230" s="45"/>
    </row>
    <row r="231">
      <c r="B231" s="45"/>
    </row>
    <row r="232">
      <c r="B232" s="45"/>
    </row>
    <row r="233">
      <c r="B233" s="45"/>
    </row>
    <row r="234">
      <c r="B234" s="45"/>
    </row>
    <row r="235">
      <c r="B235" s="45"/>
    </row>
    <row r="236">
      <c r="B236" s="45"/>
    </row>
    <row r="237">
      <c r="B237" s="45"/>
    </row>
    <row r="238">
      <c r="B238" s="45"/>
    </row>
    <row r="239">
      <c r="B239" s="45"/>
    </row>
    <row r="240">
      <c r="B240" s="45"/>
    </row>
    <row r="241">
      <c r="B241" s="45"/>
    </row>
    <row r="242">
      <c r="B242" s="45"/>
    </row>
    <row r="243">
      <c r="B243" s="45"/>
    </row>
    <row r="244">
      <c r="B244" s="45"/>
    </row>
    <row r="245">
      <c r="B245" s="45"/>
    </row>
    <row r="246">
      <c r="B246" s="45"/>
    </row>
    <row r="247">
      <c r="B247" s="45"/>
    </row>
    <row r="248">
      <c r="B248" s="45"/>
    </row>
    <row r="249">
      <c r="B249" s="45"/>
    </row>
    <row r="250">
      <c r="B250" s="45"/>
    </row>
    <row r="251">
      <c r="B251" s="45"/>
    </row>
    <row r="252">
      <c r="B252" s="45"/>
    </row>
    <row r="253">
      <c r="B253" s="45"/>
    </row>
    <row r="254">
      <c r="B254" s="45"/>
    </row>
    <row r="255">
      <c r="B255" s="45"/>
    </row>
    <row r="256">
      <c r="B256" s="45"/>
    </row>
    <row r="257">
      <c r="B257" s="45"/>
    </row>
    <row r="258">
      <c r="B258" s="45"/>
    </row>
    <row r="259">
      <c r="B259" s="45"/>
    </row>
    <row r="260">
      <c r="B260" s="45"/>
    </row>
    <row r="261">
      <c r="B261" s="45"/>
    </row>
    <row r="262">
      <c r="B262" s="45"/>
    </row>
    <row r="263">
      <c r="B263" s="45"/>
    </row>
    <row r="264">
      <c r="B264" s="45"/>
    </row>
    <row r="265">
      <c r="B265" s="45"/>
    </row>
    <row r="266">
      <c r="B266" s="45"/>
    </row>
    <row r="267">
      <c r="B267" s="45"/>
    </row>
    <row r="268">
      <c r="B268" s="45"/>
    </row>
    <row r="269">
      <c r="B269" s="45"/>
    </row>
    <row r="270">
      <c r="B270" s="45"/>
    </row>
    <row r="271">
      <c r="B271" s="45"/>
    </row>
    <row r="272">
      <c r="B272" s="45"/>
    </row>
    <row r="273">
      <c r="B273" s="45"/>
    </row>
    <row r="274">
      <c r="B274" s="45"/>
    </row>
    <row r="275">
      <c r="B275" s="45"/>
    </row>
    <row r="276">
      <c r="B276" s="45"/>
    </row>
    <row r="277">
      <c r="B277" s="45"/>
    </row>
    <row r="278">
      <c r="B278" s="45"/>
    </row>
    <row r="279">
      <c r="B279" s="45"/>
    </row>
    <row r="280">
      <c r="B280" s="45"/>
    </row>
    <row r="281">
      <c r="B281" s="45"/>
    </row>
    <row r="282">
      <c r="B282" s="45"/>
    </row>
    <row r="283">
      <c r="B283" s="45"/>
    </row>
    <row r="284">
      <c r="B284" s="45"/>
    </row>
    <row r="285">
      <c r="B285" s="45"/>
    </row>
    <row r="286">
      <c r="B286" s="45"/>
    </row>
    <row r="287">
      <c r="B287" s="45"/>
    </row>
    <row r="288">
      <c r="B288" s="45"/>
    </row>
    <row r="289">
      <c r="B289" s="45"/>
    </row>
    <row r="290">
      <c r="B290" s="45"/>
    </row>
    <row r="291">
      <c r="B291" s="45"/>
    </row>
    <row r="292">
      <c r="B292" s="45"/>
    </row>
    <row r="293">
      <c r="B293" s="45"/>
    </row>
    <row r="294">
      <c r="B294" s="45"/>
    </row>
    <row r="295">
      <c r="B295" s="45"/>
    </row>
    <row r="296">
      <c r="B296" s="45"/>
    </row>
    <row r="297">
      <c r="B297" s="45"/>
    </row>
    <row r="298">
      <c r="B298" s="45"/>
    </row>
    <row r="299">
      <c r="B299" s="45"/>
    </row>
    <row r="300">
      <c r="B300" s="45"/>
    </row>
    <row r="301">
      <c r="B301" s="45"/>
    </row>
    <row r="302">
      <c r="B302" s="45"/>
    </row>
    <row r="303">
      <c r="B303" s="45"/>
    </row>
    <row r="304">
      <c r="B304" s="45"/>
    </row>
    <row r="305">
      <c r="B305" s="45"/>
    </row>
    <row r="306">
      <c r="B306" s="45"/>
    </row>
    <row r="307">
      <c r="B307" s="45"/>
    </row>
    <row r="308">
      <c r="B308" s="45"/>
    </row>
    <row r="309">
      <c r="B309" s="45"/>
    </row>
    <row r="310">
      <c r="B310" s="45"/>
    </row>
    <row r="311">
      <c r="B311" s="45"/>
    </row>
    <row r="312">
      <c r="B312" s="45"/>
    </row>
    <row r="313">
      <c r="B313" s="45"/>
    </row>
    <row r="314">
      <c r="B314" s="45"/>
    </row>
    <row r="315">
      <c r="B315" s="45"/>
    </row>
    <row r="316">
      <c r="B316" s="45"/>
    </row>
    <row r="317">
      <c r="B317" s="45"/>
    </row>
    <row r="318">
      <c r="B318" s="45"/>
    </row>
    <row r="319">
      <c r="B319" s="45"/>
    </row>
    <row r="320">
      <c r="B320" s="45"/>
    </row>
    <row r="321">
      <c r="B321" s="45"/>
    </row>
    <row r="322">
      <c r="B322" s="45"/>
    </row>
    <row r="323">
      <c r="B323" s="45"/>
    </row>
    <row r="324">
      <c r="B324" s="45"/>
    </row>
    <row r="325">
      <c r="B325" s="45"/>
    </row>
    <row r="326">
      <c r="B326" s="45"/>
    </row>
    <row r="327">
      <c r="B327" s="45"/>
    </row>
    <row r="328">
      <c r="B328" s="45"/>
    </row>
    <row r="329">
      <c r="B329" s="45"/>
    </row>
    <row r="330">
      <c r="B330" s="45"/>
    </row>
    <row r="331">
      <c r="B331" s="45"/>
    </row>
    <row r="332">
      <c r="B332" s="45"/>
    </row>
    <row r="333">
      <c r="B333" s="45"/>
    </row>
    <row r="334">
      <c r="B334" s="45"/>
    </row>
    <row r="335">
      <c r="B335" s="45"/>
    </row>
    <row r="336">
      <c r="B336" s="45"/>
    </row>
    <row r="337">
      <c r="B337" s="45"/>
    </row>
    <row r="338">
      <c r="B338" s="45"/>
    </row>
    <row r="339">
      <c r="B339" s="45"/>
    </row>
    <row r="340">
      <c r="B340" s="45"/>
    </row>
    <row r="341">
      <c r="B341" s="45"/>
    </row>
    <row r="342">
      <c r="B342" s="45"/>
    </row>
    <row r="343">
      <c r="B343" s="45"/>
    </row>
    <row r="344">
      <c r="B344" s="45"/>
    </row>
    <row r="345">
      <c r="B345" s="45"/>
    </row>
    <row r="346">
      <c r="B346" s="45"/>
    </row>
    <row r="347">
      <c r="B347" s="45"/>
    </row>
    <row r="348">
      <c r="B348" s="45"/>
    </row>
    <row r="349">
      <c r="B349" s="45"/>
    </row>
    <row r="350">
      <c r="B350" s="45"/>
    </row>
    <row r="351">
      <c r="B351" s="45"/>
    </row>
    <row r="352">
      <c r="B352" s="45"/>
    </row>
    <row r="353">
      <c r="B353" s="45"/>
    </row>
    <row r="354">
      <c r="B354" s="45"/>
    </row>
    <row r="355">
      <c r="B355" s="45"/>
    </row>
    <row r="356">
      <c r="B356" s="45"/>
    </row>
    <row r="357">
      <c r="B357" s="45"/>
    </row>
    <row r="358">
      <c r="B358" s="45"/>
    </row>
    <row r="359">
      <c r="B359" s="45"/>
    </row>
    <row r="360">
      <c r="B360" s="45"/>
    </row>
    <row r="361">
      <c r="B361" s="45"/>
    </row>
    <row r="362">
      <c r="B362" s="45"/>
    </row>
    <row r="363">
      <c r="B363" s="45"/>
    </row>
    <row r="364">
      <c r="B364" s="45"/>
    </row>
    <row r="365">
      <c r="B365" s="45"/>
    </row>
    <row r="366">
      <c r="B366" s="45"/>
    </row>
    <row r="367">
      <c r="B367" s="45"/>
    </row>
    <row r="368">
      <c r="B368" s="45"/>
    </row>
    <row r="369">
      <c r="B369" s="45"/>
    </row>
    <row r="370">
      <c r="B370" s="45"/>
    </row>
    <row r="371">
      <c r="B371" s="45"/>
    </row>
    <row r="372">
      <c r="B372" s="45"/>
    </row>
    <row r="373">
      <c r="B373" s="45"/>
    </row>
    <row r="374">
      <c r="B374" s="45"/>
    </row>
    <row r="375">
      <c r="B375" s="45"/>
    </row>
    <row r="376">
      <c r="B376" s="45"/>
    </row>
    <row r="377">
      <c r="B377" s="45"/>
    </row>
    <row r="378">
      <c r="B378" s="45"/>
    </row>
    <row r="379">
      <c r="B379" s="45"/>
    </row>
    <row r="380">
      <c r="B380" s="45"/>
    </row>
    <row r="381">
      <c r="B381" s="45"/>
    </row>
    <row r="382">
      <c r="B382" s="45"/>
    </row>
    <row r="383">
      <c r="B383" s="45"/>
    </row>
    <row r="384">
      <c r="B384" s="45"/>
    </row>
    <row r="385">
      <c r="B385" s="45"/>
    </row>
    <row r="386">
      <c r="B386" s="45"/>
    </row>
    <row r="387">
      <c r="B387" s="45"/>
    </row>
    <row r="388">
      <c r="B388" s="45"/>
    </row>
    <row r="389">
      <c r="B389" s="45"/>
    </row>
    <row r="390">
      <c r="B390" s="45"/>
    </row>
    <row r="391">
      <c r="B391" s="45"/>
    </row>
    <row r="392">
      <c r="B392" s="45"/>
    </row>
    <row r="393">
      <c r="B393" s="45"/>
    </row>
    <row r="394">
      <c r="B394" s="45"/>
    </row>
    <row r="395">
      <c r="B395" s="45"/>
    </row>
    <row r="396">
      <c r="B396" s="45"/>
    </row>
    <row r="397">
      <c r="B397" s="45"/>
    </row>
    <row r="398">
      <c r="B398" s="45"/>
    </row>
    <row r="399">
      <c r="B399" s="45"/>
    </row>
    <row r="400">
      <c r="B400" s="45"/>
    </row>
    <row r="401">
      <c r="B401" s="45"/>
    </row>
    <row r="402">
      <c r="B402" s="45"/>
    </row>
    <row r="403">
      <c r="B403" s="45"/>
    </row>
    <row r="404">
      <c r="B404" s="45"/>
    </row>
    <row r="405">
      <c r="B405" s="45"/>
    </row>
    <row r="406">
      <c r="B406" s="45"/>
    </row>
    <row r="407">
      <c r="B407" s="45"/>
    </row>
    <row r="408">
      <c r="B408" s="45"/>
    </row>
    <row r="409">
      <c r="B409" s="45"/>
    </row>
    <row r="410">
      <c r="B410" s="45"/>
    </row>
    <row r="411">
      <c r="B411" s="45"/>
    </row>
    <row r="412">
      <c r="B412" s="45"/>
    </row>
    <row r="413">
      <c r="B413" s="45"/>
    </row>
    <row r="414">
      <c r="B414" s="45"/>
    </row>
    <row r="415">
      <c r="B415" s="45"/>
    </row>
    <row r="416">
      <c r="B416" s="45"/>
    </row>
    <row r="417">
      <c r="B417" s="45"/>
    </row>
    <row r="418">
      <c r="B418" s="45"/>
    </row>
    <row r="419">
      <c r="B419" s="45"/>
    </row>
    <row r="420">
      <c r="B420" s="45"/>
    </row>
    <row r="421">
      <c r="B421" s="45"/>
    </row>
    <row r="422">
      <c r="B422" s="45"/>
    </row>
    <row r="423">
      <c r="B423" s="45"/>
    </row>
    <row r="424">
      <c r="B424" s="45"/>
    </row>
    <row r="425">
      <c r="B425" s="45"/>
    </row>
    <row r="426">
      <c r="B426" s="45"/>
    </row>
    <row r="427">
      <c r="B427" s="45"/>
    </row>
    <row r="428">
      <c r="B428" s="45"/>
    </row>
    <row r="429">
      <c r="B429" s="45"/>
    </row>
    <row r="430">
      <c r="B430" s="45"/>
    </row>
    <row r="431">
      <c r="B431" s="45"/>
    </row>
    <row r="432">
      <c r="B432" s="45"/>
    </row>
    <row r="433">
      <c r="B433" s="45"/>
    </row>
    <row r="434">
      <c r="B434" s="45"/>
    </row>
    <row r="435">
      <c r="B435" s="45"/>
    </row>
    <row r="436">
      <c r="B436" s="45"/>
    </row>
    <row r="437">
      <c r="B437" s="45"/>
    </row>
    <row r="438">
      <c r="B438" s="45"/>
    </row>
    <row r="439">
      <c r="B439" s="45"/>
    </row>
    <row r="440">
      <c r="B440" s="45"/>
    </row>
    <row r="441">
      <c r="B441" s="45"/>
    </row>
    <row r="442">
      <c r="B442" s="45"/>
    </row>
    <row r="443">
      <c r="B443" s="45"/>
    </row>
    <row r="444">
      <c r="B444" s="45"/>
    </row>
    <row r="445">
      <c r="B445" s="45"/>
    </row>
    <row r="446">
      <c r="B446" s="45"/>
    </row>
    <row r="447">
      <c r="B447" s="45"/>
    </row>
    <row r="448">
      <c r="B448" s="45"/>
    </row>
    <row r="449">
      <c r="B449" s="45"/>
    </row>
    <row r="450">
      <c r="B450" s="45"/>
    </row>
    <row r="451">
      <c r="B451" s="45"/>
    </row>
    <row r="452">
      <c r="B452" s="45"/>
    </row>
    <row r="453">
      <c r="B453" s="45"/>
    </row>
    <row r="454">
      <c r="B454" s="45"/>
    </row>
    <row r="455">
      <c r="B455" s="45"/>
    </row>
    <row r="456">
      <c r="B456" s="45"/>
    </row>
    <row r="457">
      <c r="B457" s="45"/>
    </row>
    <row r="458">
      <c r="B458" s="45"/>
    </row>
    <row r="459">
      <c r="B459" s="45"/>
    </row>
    <row r="460">
      <c r="B460" s="45"/>
    </row>
    <row r="461">
      <c r="B461" s="45"/>
    </row>
    <row r="462">
      <c r="B462" s="45"/>
    </row>
    <row r="463">
      <c r="B463" s="45"/>
    </row>
    <row r="464">
      <c r="B464" s="45"/>
    </row>
    <row r="465">
      <c r="B465" s="45"/>
    </row>
    <row r="466">
      <c r="B466" s="45"/>
    </row>
    <row r="467">
      <c r="B467" s="45"/>
    </row>
    <row r="468">
      <c r="B468" s="45"/>
    </row>
    <row r="469">
      <c r="B469" s="45"/>
    </row>
    <row r="470">
      <c r="B470" s="45"/>
    </row>
    <row r="471">
      <c r="B471" s="45"/>
    </row>
    <row r="472">
      <c r="B472" s="45"/>
    </row>
    <row r="473">
      <c r="B473" s="45"/>
    </row>
    <row r="474">
      <c r="B474" s="45"/>
    </row>
    <row r="475">
      <c r="B475" s="45"/>
    </row>
    <row r="476">
      <c r="B476" s="45"/>
    </row>
    <row r="477">
      <c r="B477" s="45"/>
    </row>
    <row r="478">
      <c r="B478" s="45"/>
    </row>
    <row r="479">
      <c r="B479" s="45"/>
    </row>
    <row r="480">
      <c r="B480" s="45"/>
    </row>
    <row r="481">
      <c r="B481" s="45"/>
    </row>
    <row r="482">
      <c r="B482" s="45"/>
    </row>
    <row r="483">
      <c r="B483" s="45"/>
    </row>
    <row r="484">
      <c r="B484" s="45"/>
    </row>
    <row r="485">
      <c r="B485" s="45"/>
    </row>
    <row r="486">
      <c r="B486" s="45"/>
    </row>
    <row r="487">
      <c r="B487" s="45"/>
    </row>
    <row r="488">
      <c r="B488" s="45"/>
    </row>
    <row r="489">
      <c r="B489" s="45"/>
    </row>
    <row r="490">
      <c r="B490" s="45"/>
    </row>
    <row r="491">
      <c r="B491" s="45"/>
    </row>
    <row r="492">
      <c r="B492" s="45"/>
    </row>
    <row r="493">
      <c r="B493" s="45"/>
    </row>
    <row r="494">
      <c r="B494" s="45"/>
    </row>
    <row r="495">
      <c r="B495" s="45"/>
    </row>
    <row r="496">
      <c r="B496" s="45"/>
    </row>
    <row r="497">
      <c r="B497" s="45"/>
    </row>
    <row r="498">
      <c r="B498" s="45"/>
    </row>
    <row r="499">
      <c r="B499" s="45"/>
    </row>
    <row r="500">
      <c r="B500" s="45"/>
    </row>
    <row r="501">
      <c r="B501" s="45"/>
    </row>
    <row r="502">
      <c r="B502" s="45"/>
    </row>
    <row r="503">
      <c r="B503" s="45"/>
    </row>
    <row r="504">
      <c r="B504" s="45"/>
    </row>
    <row r="505">
      <c r="B505" s="45"/>
    </row>
    <row r="506">
      <c r="B506" s="45"/>
    </row>
    <row r="507">
      <c r="B507" s="45"/>
    </row>
    <row r="508">
      <c r="B508" s="45"/>
    </row>
    <row r="509">
      <c r="B509" s="45"/>
    </row>
    <row r="510">
      <c r="B510" s="45"/>
    </row>
    <row r="511">
      <c r="B511" s="45"/>
    </row>
    <row r="512">
      <c r="B512" s="45"/>
    </row>
    <row r="513">
      <c r="B513" s="45"/>
    </row>
    <row r="514">
      <c r="B514" s="45"/>
    </row>
    <row r="515">
      <c r="B515" s="45"/>
    </row>
    <row r="516">
      <c r="B516" s="45"/>
    </row>
    <row r="517">
      <c r="B517" s="45"/>
    </row>
    <row r="518">
      <c r="B518" s="45"/>
    </row>
    <row r="519">
      <c r="B519" s="45"/>
    </row>
    <row r="520">
      <c r="B520" s="45"/>
    </row>
    <row r="521">
      <c r="B521" s="45"/>
    </row>
    <row r="522">
      <c r="B522" s="45"/>
    </row>
    <row r="523">
      <c r="B523" s="45"/>
    </row>
    <row r="524">
      <c r="B524" s="45"/>
    </row>
    <row r="525">
      <c r="B525" s="45"/>
    </row>
    <row r="526">
      <c r="B526" s="45"/>
    </row>
    <row r="527">
      <c r="B527" s="45"/>
    </row>
    <row r="528">
      <c r="B528" s="45"/>
    </row>
    <row r="529">
      <c r="B529" s="45"/>
    </row>
    <row r="530">
      <c r="B530" s="45"/>
    </row>
    <row r="531">
      <c r="B531" s="45"/>
    </row>
    <row r="532">
      <c r="B532" s="45"/>
    </row>
    <row r="533">
      <c r="B533" s="45"/>
    </row>
    <row r="534">
      <c r="B534" s="45"/>
    </row>
    <row r="535">
      <c r="B535" s="45"/>
    </row>
    <row r="536">
      <c r="B536" s="45"/>
    </row>
    <row r="537">
      <c r="B537" s="45"/>
    </row>
    <row r="538">
      <c r="B538" s="45"/>
    </row>
    <row r="539">
      <c r="B539" s="45"/>
    </row>
    <row r="540">
      <c r="B540" s="45"/>
    </row>
    <row r="541">
      <c r="B541" s="45"/>
    </row>
    <row r="542">
      <c r="B542" s="45"/>
    </row>
    <row r="543">
      <c r="B543" s="45"/>
    </row>
    <row r="544">
      <c r="B544" s="45"/>
    </row>
    <row r="545">
      <c r="B545" s="45"/>
    </row>
    <row r="546">
      <c r="B546" s="45"/>
    </row>
    <row r="547">
      <c r="B547" s="45"/>
    </row>
    <row r="548">
      <c r="B548" s="45"/>
    </row>
    <row r="549">
      <c r="B549" s="45"/>
    </row>
    <row r="550">
      <c r="B550" s="45"/>
    </row>
    <row r="551">
      <c r="B551" s="45"/>
    </row>
    <row r="552">
      <c r="B552" s="45"/>
    </row>
    <row r="553">
      <c r="B553" s="45"/>
    </row>
    <row r="554">
      <c r="B554" s="45"/>
    </row>
    <row r="555">
      <c r="B555" s="45"/>
    </row>
    <row r="556">
      <c r="B556" s="45"/>
    </row>
    <row r="557">
      <c r="B557" s="45"/>
    </row>
    <row r="558">
      <c r="B558" s="45"/>
    </row>
    <row r="559">
      <c r="B559" s="45"/>
    </row>
    <row r="560">
      <c r="B560" s="45"/>
    </row>
    <row r="561">
      <c r="B561" s="45"/>
    </row>
    <row r="562">
      <c r="B562" s="45"/>
    </row>
    <row r="563">
      <c r="B563" s="45"/>
    </row>
    <row r="564">
      <c r="B564" s="45"/>
    </row>
    <row r="565">
      <c r="B565" s="45"/>
    </row>
    <row r="566">
      <c r="B566" s="45"/>
    </row>
    <row r="567">
      <c r="B567" s="45"/>
    </row>
    <row r="568">
      <c r="B568" s="45"/>
    </row>
    <row r="569">
      <c r="B569" s="45"/>
    </row>
    <row r="570">
      <c r="B570" s="45"/>
    </row>
    <row r="571">
      <c r="B571" s="45"/>
    </row>
    <row r="572">
      <c r="B572" s="45"/>
    </row>
    <row r="573">
      <c r="B573" s="45"/>
    </row>
    <row r="574">
      <c r="B574" s="45"/>
    </row>
    <row r="575">
      <c r="B575" s="45"/>
    </row>
    <row r="576">
      <c r="B576" s="45"/>
    </row>
    <row r="577">
      <c r="B577" s="45"/>
    </row>
    <row r="578">
      <c r="B578" s="45"/>
    </row>
    <row r="579">
      <c r="B579" s="45"/>
    </row>
    <row r="580">
      <c r="B580" s="45"/>
    </row>
    <row r="581">
      <c r="B581" s="45"/>
    </row>
    <row r="582">
      <c r="B582" s="45"/>
    </row>
    <row r="583">
      <c r="B583" s="45"/>
    </row>
    <row r="584">
      <c r="B584" s="45"/>
    </row>
    <row r="585">
      <c r="B585" s="45"/>
    </row>
    <row r="586">
      <c r="B586" s="45"/>
    </row>
    <row r="587">
      <c r="B587" s="45"/>
    </row>
    <row r="588">
      <c r="B588" s="45"/>
    </row>
    <row r="589">
      <c r="B589" s="45"/>
    </row>
    <row r="590">
      <c r="B590" s="45"/>
    </row>
    <row r="591">
      <c r="B591" s="45"/>
    </row>
    <row r="592">
      <c r="B592" s="45"/>
    </row>
    <row r="593">
      <c r="B593" s="45"/>
    </row>
    <row r="594">
      <c r="B594" s="45"/>
    </row>
    <row r="595">
      <c r="B595" s="45"/>
    </row>
    <row r="596">
      <c r="B596" s="45"/>
    </row>
    <row r="597">
      <c r="B597" s="45"/>
    </row>
    <row r="598">
      <c r="B598" s="45"/>
    </row>
    <row r="599">
      <c r="B599" s="45"/>
    </row>
    <row r="600">
      <c r="B600" s="45"/>
    </row>
    <row r="601">
      <c r="B601" s="45"/>
    </row>
    <row r="602">
      <c r="B602" s="45"/>
    </row>
    <row r="603">
      <c r="B603" s="45"/>
    </row>
    <row r="604">
      <c r="B604" s="45"/>
    </row>
    <row r="605">
      <c r="B605" s="45"/>
    </row>
    <row r="606">
      <c r="B606" s="45"/>
    </row>
    <row r="607">
      <c r="B607" s="45"/>
    </row>
    <row r="608">
      <c r="B608" s="45"/>
    </row>
    <row r="609">
      <c r="B609" s="45"/>
    </row>
    <row r="610">
      <c r="B610" s="45"/>
    </row>
    <row r="611">
      <c r="B611" s="45"/>
    </row>
    <row r="612">
      <c r="B612" s="45"/>
    </row>
    <row r="613">
      <c r="B613" s="45"/>
    </row>
    <row r="614">
      <c r="B614" s="45"/>
    </row>
    <row r="615">
      <c r="B615" s="45"/>
    </row>
    <row r="616">
      <c r="B616" s="45"/>
    </row>
    <row r="617">
      <c r="B617" s="45"/>
    </row>
    <row r="618">
      <c r="B618" s="45"/>
    </row>
    <row r="619">
      <c r="B619" s="45"/>
    </row>
    <row r="620">
      <c r="B620" s="45"/>
    </row>
    <row r="621">
      <c r="B621" s="45"/>
    </row>
    <row r="622">
      <c r="B622" s="45"/>
    </row>
    <row r="623">
      <c r="B623" s="45"/>
    </row>
    <row r="624">
      <c r="B624" s="45"/>
    </row>
    <row r="625">
      <c r="B625" s="45"/>
    </row>
    <row r="626">
      <c r="B626" s="45"/>
    </row>
    <row r="627">
      <c r="B627" s="45"/>
    </row>
    <row r="628">
      <c r="B628" s="45"/>
    </row>
    <row r="629">
      <c r="B629" s="45"/>
    </row>
    <row r="630">
      <c r="B630" s="45"/>
    </row>
    <row r="631">
      <c r="B631" s="45"/>
    </row>
    <row r="632">
      <c r="B632" s="45"/>
    </row>
    <row r="633">
      <c r="B633" s="45"/>
    </row>
    <row r="634">
      <c r="B634" s="45"/>
    </row>
    <row r="635">
      <c r="B635" s="45"/>
    </row>
    <row r="636">
      <c r="B636" s="45"/>
    </row>
    <row r="637">
      <c r="B637" s="45"/>
    </row>
    <row r="638">
      <c r="B638" s="45"/>
    </row>
    <row r="639">
      <c r="B639" s="45"/>
    </row>
    <row r="640">
      <c r="B640" s="45"/>
    </row>
    <row r="641">
      <c r="B641" s="45"/>
    </row>
    <row r="642">
      <c r="B642" s="45"/>
    </row>
    <row r="643">
      <c r="B643" s="45"/>
    </row>
    <row r="644">
      <c r="B644" s="45"/>
    </row>
    <row r="645">
      <c r="B645" s="45"/>
    </row>
    <row r="646">
      <c r="B646" s="45"/>
    </row>
    <row r="647">
      <c r="B647" s="45"/>
    </row>
    <row r="648">
      <c r="B648" s="45"/>
    </row>
    <row r="649">
      <c r="B649" s="45"/>
    </row>
    <row r="650">
      <c r="B650" s="45"/>
    </row>
    <row r="651">
      <c r="B651" s="45"/>
    </row>
    <row r="652">
      <c r="B652" s="45"/>
    </row>
    <row r="653">
      <c r="B653" s="45"/>
    </row>
    <row r="654">
      <c r="B654" s="45"/>
    </row>
    <row r="655">
      <c r="B655" s="45"/>
    </row>
    <row r="656">
      <c r="B656" s="45"/>
    </row>
    <row r="657">
      <c r="B657" s="45"/>
    </row>
    <row r="658">
      <c r="B658" s="45"/>
    </row>
    <row r="659">
      <c r="B659" s="45"/>
    </row>
    <row r="660">
      <c r="B660" s="45"/>
    </row>
    <row r="661">
      <c r="B661" s="45"/>
    </row>
    <row r="662">
      <c r="B662" s="45"/>
    </row>
    <row r="663">
      <c r="B663" s="45"/>
    </row>
    <row r="664">
      <c r="B664" s="45"/>
    </row>
    <row r="665">
      <c r="B665" s="45"/>
    </row>
    <row r="666">
      <c r="B666" s="45"/>
    </row>
    <row r="667">
      <c r="B667" s="45"/>
    </row>
    <row r="668">
      <c r="B668" s="45"/>
    </row>
    <row r="669">
      <c r="B669" s="45"/>
    </row>
    <row r="670">
      <c r="B670" s="45"/>
    </row>
    <row r="671">
      <c r="B671" s="45"/>
    </row>
    <row r="672">
      <c r="B672" s="45"/>
    </row>
    <row r="673">
      <c r="B673" s="45"/>
    </row>
    <row r="674">
      <c r="B674" s="45"/>
    </row>
    <row r="675">
      <c r="B675" s="45"/>
    </row>
    <row r="676">
      <c r="B676" s="45"/>
    </row>
    <row r="677">
      <c r="B677" s="45"/>
    </row>
    <row r="678">
      <c r="B678" s="45"/>
    </row>
    <row r="679">
      <c r="B679" s="45"/>
    </row>
    <row r="680">
      <c r="B680" s="45"/>
    </row>
    <row r="681">
      <c r="B681" s="45"/>
    </row>
    <row r="682">
      <c r="B682" s="45"/>
    </row>
    <row r="683">
      <c r="B683" s="45"/>
    </row>
    <row r="684">
      <c r="B684" s="45"/>
    </row>
    <row r="685">
      <c r="B685" s="45"/>
    </row>
    <row r="686">
      <c r="B686" s="45"/>
    </row>
    <row r="687">
      <c r="B687" s="45"/>
    </row>
    <row r="688">
      <c r="B688" s="45"/>
    </row>
    <row r="689">
      <c r="B689" s="45"/>
    </row>
    <row r="690">
      <c r="B690" s="45"/>
    </row>
    <row r="691">
      <c r="B691" s="45"/>
    </row>
    <row r="692">
      <c r="B692" s="45"/>
    </row>
    <row r="693">
      <c r="B693" s="45"/>
    </row>
    <row r="694">
      <c r="B694" s="45"/>
    </row>
    <row r="695">
      <c r="B695" s="45"/>
    </row>
    <row r="696">
      <c r="B696" s="45"/>
    </row>
    <row r="697">
      <c r="B697" s="45"/>
    </row>
    <row r="698">
      <c r="B698" s="45"/>
    </row>
    <row r="699">
      <c r="B699" s="45"/>
    </row>
    <row r="700">
      <c r="B700" s="45"/>
    </row>
    <row r="701">
      <c r="B701" s="45"/>
    </row>
    <row r="702">
      <c r="B702" s="45"/>
    </row>
    <row r="703">
      <c r="B703" s="45"/>
    </row>
    <row r="704">
      <c r="B704" s="45"/>
    </row>
    <row r="705">
      <c r="B705" s="45"/>
    </row>
    <row r="706">
      <c r="B706" s="45"/>
    </row>
    <row r="707">
      <c r="B707" s="45"/>
    </row>
    <row r="708">
      <c r="B708" s="45"/>
    </row>
    <row r="709">
      <c r="B709" s="45"/>
    </row>
    <row r="710">
      <c r="B710" s="45"/>
    </row>
    <row r="711">
      <c r="B711" s="45"/>
    </row>
    <row r="712">
      <c r="B712" s="45"/>
    </row>
    <row r="713">
      <c r="B713" s="45"/>
    </row>
    <row r="714">
      <c r="B714" s="45"/>
    </row>
    <row r="715">
      <c r="B715" s="45"/>
    </row>
    <row r="716">
      <c r="B716" s="45"/>
    </row>
    <row r="717">
      <c r="B717" s="45"/>
    </row>
    <row r="718">
      <c r="B718" s="45"/>
    </row>
    <row r="719">
      <c r="B719" s="45"/>
    </row>
    <row r="720">
      <c r="B720" s="45"/>
    </row>
    <row r="721">
      <c r="B721" s="45"/>
    </row>
    <row r="722">
      <c r="B722" s="45"/>
    </row>
    <row r="723">
      <c r="B723" s="45"/>
    </row>
    <row r="724">
      <c r="B724" s="45"/>
    </row>
    <row r="725">
      <c r="B725" s="45"/>
    </row>
    <row r="726">
      <c r="B726" s="45"/>
    </row>
    <row r="727">
      <c r="B727" s="45"/>
    </row>
    <row r="728">
      <c r="B728" s="45"/>
    </row>
    <row r="729">
      <c r="B729" s="45"/>
    </row>
    <row r="730">
      <c r="B730" s="45"/>
    </row>
    <row r="731">
      <c r="B731" s="45"/>
    </row>
    <row r="732">
      <c r="B732" s="45"/>
    </row>
    <row r="733">
      <c r="B733" s="45"/>
    </row>
    <row r="734">
      <c r="B734" s="45"/>
    </row>
    <row r="735">
      <c r="B735" s="45"/>
    </row>
    <row r="736">
      <c r="B736" s="45"/>
    </row>
    <row r="737">
      <c r="B737" s="45"/>
    </row>
    <row r="738">
      <c r="B738" s="45"/>
    </row>
    <row r="739">
      <c r="B739" s="45"/>
    </row>
    <row r="740">
      <c r="B740" s="45"/>
    </row>
    <row r="741">
      <c r="B741" s="45"/>
    </row>
    <row r="742">
      <c r="B742" s="45"/>
    </row>
    <row r="743">
      <c r="B743" s="45"/>
    </row>
    <row r="744">
      <c r="B744" s="45"/>
    </row>
    <row r="745">
      <c r="B745" s="45"/>
    </row>
    <row r="746">
      <c r="B746" s="45"/>
    </row>
    <row r="747">
      <c r="B747" s="45"/>
    </row>
    <row r="748">
      <c r="B748" s="45"/>
    </row>
    <row r="749">
      <c r="B749" s="45"/>
    </row>
    <row r="750">
      <c r="B750" s="45"/>
    </row>
    <row r="751">
      <c r="B751" s="45"/>
    </row>
    <row r="752">
      <c r="B752" s="45"/>
    </row>
    <row r="753">
      <c r="B753" s="45"/>
    </row>
    <row r="754">
      <c r="B754" s="45"/>
    </row>
    <row r="755">
      <c r="B755" s="45"/>
    </row>
    <row r="756">
      <c r="B756" s="45"/>
    </row>
    <row r="757">
      <c r="B757" s="45"/>
    </row>
    <row r="758">
      <c r="B758" s="45"/>
    </row>
    <row r="759">
      <c r="B759" s="45"/>
    </row>
    <row r="760">
      <c r="B760" s="45"/>
    </row>
    <row r="761">
      <c r="B761" s="45"/>
    </row>
    <row r="762">
      <c r="B762" s="45"/>
    </row>
    <row r="763">
      <c r="B763" s="45"/>
    </row>
    <row r="764">
      <c r="B764" s="45"/>
    </row>
    <row r="765">
      <c r="B765" s="45"/>
    </row>
    <row r="766">
      <c r="B766" s="45"/>
    </row>
    <row r="767">
      <c r="B767" s="45"/>
    </row>
    <row r="768">
      <c r="B768" s="45"/>
    </row>
    <row r="769">
      <c r="B769" s="45"/>
    </row>
    <row r="770">
      <c r="B770" s="45"/>
    </row>
    <row r="771">
      <c r="B771" s="45"/>
    </row>
    <row r="772">
      <c r="B772" s="45"/>
    </row>
    <row r="773">
      <c r="B773" s="45"/>
    </row>
    <row r="774">
      <c r="B774" s="45"/>
    </row>
    <row r="775">
      <c r="B775" s="45"/>
    </row>
    <row r="776">
      <c r="B776" s="45"/>
    </row>
    <row r="777">
      <c r="B777" s="45"/>
    </row>
    <row r="778">
      <c r="B778" s="45"/>
    </row>
    <row r="779">
      <c r="B779" s="45"/>
    </row>
    <row r="780">
      <c r="B780" s="45"/>
    </row>
    <row r="781">
      <c r="B781" s="45"/>
    </row>
    <row r="782">
      <c r="B782" s="45"/>
    </row>
    <row r="783">
      <c r="B783" s="45"/>
    </row>
    <row r="784">
      <c r="B784" s="45"/>
    </row>
    <row r="785">
      <c r="B785" s="45"/>
    </row>
    <row r="786">
      <c r="B786" s="45"/>
    </row>
    <row r="787">
      <c r="B787" s="45"/>
    </row>
    <row r="788">
      <c r="B788" s="45"/>
    </row>
    <row r="789">
      <c r="B789" s="45"/>
    </row>
    <row r="790">
      <c r="B790" s="45"/>
    </row>
    <row r="791">
      <c r="B791" s="45"/>
    </row>
    <row r="792">
      <c r="B792" s="45"/>
    </row>
    <row r="793">
      <c r="B793" s="45"/>
    </row>
    <row r="794">
      <c r="B794" s="45"/>
    </row>
    <row r="795">
      <c r="B795" s="45"/>
    </row>
    <row r="796">
      <c r="B796" s="45"/>
    </row>
    <row r="797">
      <c r="B797" s="45"/>
    </row>
    <row r="798">
      <c r="B798" s="45"/>
    </row>
    <row r="799">
      <c r="B799" s="45"/>
    </row>
    <row r="800">
      <c r="B800" s="45"/>
    </row>
    <row r="801">
      <c r="B801" s="45"/>
    </row>
    <row r="802">
      <c r="B802" s="45"/>
    </row>
    <row r="803">
      <c r="B803" s="45"/>
    </row>
    <row r="804">
      <c r="B804" s="45"/>
    </row>
    <row r="805">
      <c r="B805" s="45"/>
    </row>
    <row r="806">
      <c r="B806" s="45"/>
    </row>
    <row r="807">
      <c r="B807" s="45"/>
    </row>
    <row r="808">
      <c r="B808" s="45"/>
    </row>
    <row r="809">
      <c r="B809" s="45"/>
    </row>
    <row r="810">
      <c r="B810" s="45"/>
    </row>
    <row r="811">
      <c r="B811" s="45"/>
    </row>
    <row r="812">
      <c r="B812" s="45"/>
    </row>
    <row r="813">
      <c r="B813" s="45"/>
    </row>
    <row r="814">
      <c r="B814" s="45"/>
    </row>
    <row r="815">
      <c r="B815" s="45"/>
    </row>
    <row r="816">
      <c r="B816" s="45"/>
    </row>
    <row r="817">
      <c r="B817" s="45"/>
    </row>
    <row r="818">
      <c r="B818" s="45"/>
    </row>
    <row r="819">
      <c r="B819" s="45"/>
    </row>
    <row r="820">
      <c r="B820" s="45"/>
    </row>
    <row r="821">
      <c r="B821" s="45"/>
    </row>
    <row r="822">
      <c r="B822" s="45"/>
    </row>
    <row r="823">
      <c r="B823" s="45"/>
    </row>
    <row r="824">
      <c r="B824" s="45"/>
    </row>
    <row r="825">
      <c r="B825" s="45"/>
    </row>
    <row r="826">
      <c r="B826" s="45"/>
    </row>
    <row r="827">
      <c r="B827" s="45"/>
    </row>
    <row r="828">
      <c r="B828" s="45"/>
    </row>
    <row r="829">
      <c r="B829" s="45"/>
    </row>
    <row r="830">
      <c r="B830" s="45"/>
    </row>
    <row r="831">
      <c r="B831" s="45"/>
    </row>
    <row r="832">
      <c r="B832" s="45"/>
    </row>
    <row r="833">
      <c r="B833" s="45"/>
    </row>
    <row r="834">
      <c r="B834" s="45"/>
    </row>
    <row r="835">
      <c r="B835" s="45"/>
    </row>
    <row r="836">
      <c r="B836" s="45"/>
    </row>
    <row r="837">
      <c r="B837" s="45"/>
    </row>
    <row r="838">
      <c r="B838" s="45"/>
    </row>
    <row r="839">
      <c r="B839" s="45"/>
    </row>
    <row r="840">
      <c r="B840" s="45"/>
    </row>
    <row r="841">
      <c r="B841" s="45"/>
    </row>
    <row r="842">
      <c r="B842" s="45"/>
    </row>
    <row r="843">
      <c r="B843" s="45"/>
    </row>
    <row r="844">
      <c r="B844" s="45"/>
    </row>
    <row r="845">
      <c r="B845" s="45"/>
    </row>
    <row r="846">
      <c r="B846" s="45"/>
    </row>
    <row r="847">
      <c r="B847" s="45"/>
    </row>
    <row r="848">
      <c r="B848" s="45"/>
    </row>
    <row r="849">
      <c r="B849" s="45"/>
    </row>
    <row r="850">
      <c r="B850" s="45"/>
    </row>
    <row r="851">
      <c r="B851" s="45"/>
    </row>
    <row r="852">
      <c r="B852" s="45"/>
    </row>
    <row r="853">
      <c r="B853" s="45"/>
    </row>
    <row r="854">
      <c r="B854" s="45"/>
    </row>
    <row r="855">
      <c r="B855" s="45"/>
    </row>
    <row r="856">
      <c r="B856" s="45"/>
    </row>
    <row r="857">
      <c r="B857" s="45"/>
    </row>
    <row r="858">
      <c r="B858" s="45"/>
    </row>
    <row r="859">
      <c r="B859" s="45"/>
    </row>
    <row r="860">
      <c r="B860" s="45"/>
    </row>
    <row r="861">
      <c r="B861" s="45"/>
    </row>
    <row r="862">
      <c r="B862" s="45"/>
    </row>
    <row r="863">
      <c r="B863" s="45"/>
    </row>
    <row r="864">
      <c r="B864" s="45"/>
    </row>
    <row r="865">
      <c r="B865" s="45"/>
    </row>
    <row r="866">
      <c r="B866" s="45"/>
    </row>
    <row r="867">
      <c r="B867" s="45"/>
    </row>
    <row r="868">
      <c r="B868" s="45"/>
    </row>
    <row r="869">
      <c r="B869" s="45"/>
    </row>
    <row r="870">
      <c r="B870" s="45"/>
    </row>
    <row r="871">
      <c r="B871" s="45"/>
    </row>
    <row r="872">
      <c r="B872" s="45"/>
    </row>
    <row r="873">
      <c r="B873" s="45"/>
    </row>
    <row r="874">
      <c r="B874" s="45"/>
    </row>
    <row r="875">
      <c r="B875" s="45"/>
    </row>
    <row r="876">
      <c r="B876" s="45"/>
    </row>
    <row r="877">
      <c r="B877" s="45"/>
    </row>
    <row r="878">
      <c r="B878" s="45"/>
    </row>
    <row r="879">
      <c r="B879" s="45"/>
    </row>
    <row r="880">
      <c r="B880" s="45"/>
    </row>
    <row r="881">
      <c r="B881" s="45"/>
    </row>
    <row r="882">
      <c r="B882" s="45"/>
    </row>
    <row r="883">
      <c r="B883" s="45"/>
    </row>
    <row r="884">
      <c r="B884" s="45"/>
    </row>
    <row r="885">
      <c r="B885" s="45"/>
    </row>
    <row r="886">
      <c r="B886" s="45"/>
    </row>
    <row r="887">
      <c r="B887" s="45"/>
    </row>
    <row r="888">
      <c r="B888" s="45"/>
    </row>
    <row r="889">
      <c r="B889" s="45"/>
    </row>
    <row r="890">
      <c r="B890" s="45"/>
    </row>
    <row r="891">
      <c r="B891" s="45"/>
    </row>
    <row r="892">
      <c r="B892" s="45"/>
    </row>
    <row r="893">
      <c r="B893" s="45"/>
    </row>
    <row r="894">
      <c r="B894" s="45"/>
    </row>
    <row r="895">
      <c r="B895" s="45"/>
    </row>
    <row r="896">
      <c r="B896" s="45"/>
    </row>
    <row r="897">
      <c r="B897" s="45"/>
    </row>
    <row r="898">
      <c r="B898" s="45"/>
    </row>
    <row r="899">
      <c r="B899" s="45"/>
    </row>
    <row r="900">
      <c r="B900" s="45"/>
    </row>
    <row r="901">
      <c r="B901" s="45"/>
    </row>
    <row r="902">
      <c r="B902" s="45"/>
    </row>
    <row r="903">
      <c r="B903" s="45"/>
    </row>
    <row r="904">
      <c r="B904" s="45"/>
    </row>
    <row r="905">
      <c r="B905" s="45"/>
    </row>
    <row r="906">
      <c r="B906" s="45"/>
    </row>
    <row r="907">
      <c r="B907" s="45"/>
    </row>
    <row r="908">
      <c r="B908" s="45"/>
    </row>
    <row r="909">
      <c r="B909" s="45"/>
    </row>
    <row r="910">
      <c r="B910" s="45"/>
    </row>
    <row r="911">
      <c r="B911" s="45"/>
    </row>
    <row r="912">
      <c r="B912" s="45"/>
    </row>
    <row r="913">
      <c r="B913" s="45"/>
    </row>
    <row r="914">
      <c r="B914" s="45"/>
    </row>
    <row r="915">
      <c r="B915" s="45"/>
    </row>
    <row r="916">
      <c r="B916" s="45"/>
    </row>
    <row r="917">
      <c r="B917" s="45"/>
    </row>
    <row r="918">
      <c r="B918" s="45"/>
    </row>
    <row r="919">
      <c r="B919" s="45"/>
    </row>
    <row r="920">
      <c r="B920" s="45"/>
    </row>
    <row r="921">
      <c r="B921" s="45"/>
    </row>
    <row r="922">
      <c r="B922" s="45"/>
    </row>
    <row r="923">
      <c r="B923" s="45"/>
    </row>
    <row r="924">
      <c r="B924" s="45"/>
    </row>
    <row r="925">
      <c r="B925" s="45"/>
    </row>
    <row r="926">
      <c r="B926" s="45"/>
    </row>
    <row r="927">
      <c r="B927" s="45"/>
    </row>
    <row r="928">
      <c r="B928" s="45"/>
    </row>
    <row r="929">
      <c r="B929" s="45"/>
    </row>
    <row r="930">
      <c r="B930" s="45"/>
    </row>
    <row r="931">
      <c r="B931" s="45"/>
    </row>
    <row r="932">
      <c r="B932" s="45"/>
    </row>
    <row r="933">
      <c r="B933" s="45"/>
    </row>
    <row r="934">
      <c r="B934" s="45"/>
    </row>
    <row r="935">
      <c r="B935" s="45"/>
    </row>
    <row r="936">
      <c r="B936" s="45"/>
    </row>
    <row r="937">
      <c r="B937" s="45"/>
    </row>
    <row r="938">
      <c r="B938" s="45"/>
    </row>
    <row r="939">
      <c r="B939" s="45"/>
    </row>
    <row r="940">
      <c r="B940" s="45"/>
    </row>
    <row r="941">
      <c r="B941" s="45"/>
    </row>
    <row r="942">
      <c r="B942" s="45"/>
    </row>
    <row r="943">
      <c r="B943" s="45"/>
    </row>
    <row r="944">
      <c r="B944" s="45"/>
    </row>
    <row r="945">
      <c r="B945" s="45"/>
    </row>
    <row r="946">
      <c r="B946" s="45"/>
    </row>
    <row r="947">
      <c r="B947" s="45"/>
    </row>
    <row r="948">
      <c r="B948" s="45"/>
    </row>
    <row r="949">
      <c r="B949" s="45"/>
    </row>
    <row r="950">
      <c r="B950" s="45"/>
    </row>
    <row r="951">
      <c r="B951" s="45"/>
    </row>
    <row r="952">
      <c r="B952" s="45"/>
    </row>
    <row r="953">
      <c r="B953" s="45"/>
    </row>
    <row r="954">
      <c r="B954" s="45"/>
    </row>
    <row r="955">
      <c r="B955" s="45"/>
    </row>
    <row r="956">
      <c r="B956" s="45"/>
    </row>
    <row r="957">
      <c r="B957" s="45"/>
    </row>
    <row r="958">
      <c r="B958" s="45"/>
    </row>
    <row r="959">
      <c r="B959" s="45"/>
    </row>
    <row r="960">
      <c r="B960" s="45"/>
    </row>
    <row r="961">
      <c r="B961" s="45"/>
    </row>
    <row r="962">
      <c r="B962" s="45"/>
    </row>
    <row r="963">
      <c r="B963" s="45"/>
    </row>
    <row r="964">
      <c r="B964" s="45"/>
    </row>
    <row r="965">
      <c r="B965" s="45"/>
    </row>
    <row r="966">
      <c r="B966" s="45"/>
    </row>
    <row r="967">
      <c r="B967" s="45"/>
    </row>
    <row r="968">
      <c r="B968" s="45"/>
    </row>
    <row r="969">
      <c r="B969" s="45"/>
    </row>
    <row r="970">
      <c r="B970" s="45"/>
    </row>
    <row r="971">
      <c r="B971" s="45"/>
    </row>
    <row r="972">
      <c r="B972" s="45"/>
    </row>
    <row r="973">
      <c r="B973" s="45"/>
    </row>
    <row r="974">
      <c r="B974" s="45"/>
    </row>
    <row r="975">
      <c r="B975" s="45"/>
    </row>
    <row r="976">
      <c r="B976" s="45"/>
    </row>
    <row r="977">
      <c r="B977" s="45"/>
    </row>
    <row r="978">
      <c r="B978" s="45"/>
    </row>
    <row r="979">
      <c r="B979" s="45"/>
    </row>
  </sheetData>
  <dataValidations>
    <dataValidation type="list" allowBlank="1" showErrorMessage="1" sqref="Q3:Q13 S3:S13 U3:U13 W3:W13 Y3:Y13 I3:I14 K3:K14 M3:M14 O3:O14 Q14:R14 G3:G15 J15 L15 N15 P15 R15 T14:T15 V14:V15 X14:Y15">
      <formula1>"0%,10%,20%,30%,40%,50%,60%,70%,80%,90%,100%"</formula1>
    </dataValidation>
    <dataValidation type="list" allowBlank="1" showErrorMessage="1" sqref="R3:R13 T3:T13 V3:V13 X3:X13 H3:H14 J3:J14 L3:L14 N3:N14 P3:P14 F3:F15 H15:I15 K15 M15 O15 Q15 S14:S15 U14:U15 W14:W15">
      <formula1>'Project Sheet'!$C$2:$C$96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46.88"/>
    <col customWidth="1" min="4" max="4" width="20.0"/>
  </cols>
  <sheetData>
    <row r="1">
      <c r="D1" s="55" t="s">
        <v>169</v>
      </c>
    </row>
    <row r="2">
      <c r="D2" s="58">
        <f t="shared" ref="D2:D31" si="1">C2/B2</f>
        <v>0.3917995444</v>
      </c>
    </row>
    <row r="3">
      <c r="D3" s="58">
        <f t="shared" si="1"/>
        <v>0.3464052288</v>
      </c>
    </row>
    <row r="4">
      <c r="D4" s="58">
        <f t="shared" si="1"/>
        <v>-0.8388625592</v>
      </c>
    </row>
    <row r="5">
      <c r="D5" s="58">
        <f t="shared" si="1"/>
        <v>0.4265668849</v>
      </c>
    </row>
    <row r="6">
      <c r="D6" s="58">
        <f t="shared" si="1"/>
        <v>-1.222222222</v>
      </c>
    </row>
    <row r="7">
      <c r="D7" s="58">
        <f t="shared" si="1"/>
        <v>0.8753776435</v>
      </c>
    </row>
    <row r="8">
      <c r="D8" s="58">
        <f t="shared" si="1"/>
        <v>0.08771102361</v>
      </c>
    </row>
    <row r="9">
      <c r="D9" s="58">
        <f t="shared" si="1"/>
        <v>-0.07661290323</v>
      </c>
    </row>
    <row r="10">
      <c r="D10" s="58">
        <f t="shared" si="1"/>
        <v>-2.252372976</v>
      </c>
    </row>
    <row r="11">
      <c r="D11" s="58">
        <f t="shared" si="1"/>
        <v>-0.2702702703</v>
      </c>
    </row>
    <row r="12">
      <c r="D12" s="58" t="str">
        <f t="shared" si="1"/>
        <v>#DIV/0!</v>
      </c>
    </row>
    <row r="13">
      <c r="D13" s="58">
        <f t="shared" si="1"/>
        <v>0.3386243386</v>
      </c>
    </row>
    <row r="14">
      <c r="D14" s="58">
        <f t="shared" si="1"/>
        <v>0.709513435</v>
      </c>
    </row>
    <row r="15">
      <c r="D15" s="58">
        <f t="shared" si="1"/>
        <v>-4.170731707</v>
      </c>
    </row>
    <row r="16">
      <c r="D16" s="58" t="str">
        <f t="shared" si="1"/>
        <v>#N/A</v>
      </c>
    </row>
    <row r="17">
      <c r="D17" s="58" t="str">
        <f t="shared" si="1"/>
        <v>#VALUE!</v>
      </c>
    </row>
    <row r="18">
      <c r="D18" s="58">
        <f t="shared" si="1"/>
        <v>-2.25</v>
      </c>
    </row>
    <row r="19">
      <c r="D19" s="58" t="str">
        <f t="shared" si="1"/>
        <v>#N/A</v>
      </c>
    </row>
    <row r="20">
      <c r="D20" s="58">
        <f t="shared" si="1"/>
        <v>0.875</v>
      </c>
    </row>
    <row r="21">
      <c r="D21" s="58" t="str">
        <f t="shared" si="1"/>
        <v>#N/A</v>
      </c>
    </row>
    <row r="22">
      <c r="D22" s="58" t="str">
        <f t="shared" si="1"/>
        <v>#DIV/0!</v>
      </c>
    </row>
    <row r="23">
      <c r="D23" s="58">
        <f t="shared" si="1"/>
        <v>-3.355971897</v>
      </c>
    </row>
    <row r="24">
      <c r="D24" s="58">
        <f t="shared" si="1"/>
        <v>0.5636140135</v>
      </c>
    </row>
    <row r="25">
      <c r="D25" s="58">
        <f t="shared" si="1"/>
        <v>0.5526315789</v>
      </c>
    </row>
    <row r="26">
      <c r="D26" s="58">
        <f t="shared" si="1"/>
        <v>-0.2995049505</v>
      </c>
    </row>
    <row r="27">
      <c r="D27" s="58" t="str">
        <f t="shared" si="1"/>
        <v>#DIV/0!</v>
      </c>
    </row>
    <row r="28">
      <c r="D28" s="58">
        <f t="shared" si="1"/>
        <v>0.3100461894</v>
      </c>
    </row>
    <row r="29">
      <c r="D29" s="58" t="str">
        <f t="shared" si="1"/>
        <v>#DIV/0!</v>
      </c>
    </row>
    <row r="30">
      <c r="D30" s="58">
        <f t="shared" si="1"/>
        <v>0.4583333333</v>
      </c>
    </row>
    <row r="31">
      <c r="D31" s="58">
        <f t="shared" si="1"/>
        <v>0.4506666667</v>
      </c>
    </row>
    <row r="32"/>
    <row r="37"/>
    <row r="38"/>
    <row r="39"/>
    <row r="40"/>
    <row r="41"/>
    <row r="42"/>
  </sheetData>
  <drawing r:id="rId3"/>
</worksheet>
</file>