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\Kerbal Space Program 1.4 Making History\GameData\UniversalStorage2\"/>
    </mc:Choice>
  </mc:AlternateContent>
  <xr:revisionPtr revIDLastSave="0" documentId="13_ncr:1_{D452CBBC-03B6-4B2D-B8A7-C990838C5965}" xr6:coauthVersionLast="32" xr6:coauthVersionMax="32" xr10:uidLastSave="{00000000-0000-0000-0000-000000000000}"/>
  <bookViews>
    <workbookView xWindow="0" yWindow="2400" windowWidth="10590" windowHeight="12030" xr2:uid="{C3245EDE-D602-4B47-9FA3-AA7BA4BF5217}"/>
  </bookViews>
  <sheets>
    <sheet name="Parts and Mods list" sheetId="1" r:id="rId1"/>
    <sheet name="Wedge Balanc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2" l="1"/>
  <c r="T30" i="2"/>
  <c r="T31" i="2"/>
  <c r="T32" i="2"/>
  <c r="T33" i="2"/>
  <c r="T34" i="2"/>
  <c r="T35" i="2"/>
  <c r="T36" i="2"/>
  <c r="T38" i="2"/>
  <c r="T39" i="2"/>
  <c r="T40" i="2"/>
  <c r="T41" i="2"/>
  <c r="T42" i="2"/>
  <c r="T43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P30" i="2" l="1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T37" i="2" s="1"/>
  <c r="Q37" i="2"/>
  <c r="P38" i="2"/>
  <c r="Q38" i="2"/>
  <c r="P39" i="2"/>
  <c r="Q39" i="2"/>
  <c r="P40" i="2"/>
  <c r="Q40" i="2"/>
  <c r="P41" i="2"/>
  <c r="Q41" i="2"/>
  <c r="P42" i="2"/>
  <c r="Q42" i="2"/>
  <c r="P43" i="2"/>
  <c r="R43" i="2" s="1"/>
  <c r="Q43" i="2"/>
  <c r="Q29" i="2"/>
  <c r="P2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S43" i="2" l="1"/>
  <c r="C20" i="2"/>
  <c r="B20" i="2"/>
  <c r="C19" i="2"/>
  <c r="B19" i="2"/>
  <c r="C18" i="2"/>
  <c r="B18" i="2"/>
  <c r="F15" i="2"/>
  <c r="E15" i="2"/>
  <c r="F14" i="2"/>
  <c r="E14" i="2"/>
  <c r="F13" i="2"/>
  <c r="E13" i="2"/>
  <c r="F12" i="2"/>
  <c r="E12" i="2"/>
  <c r="F11" i="2"/>
  <c r="E11" i="2"/>
  <c r="F10" i="2"/>
  <c r="E10" i="2"/>
  <c r="E18" i="2" l="1"/>
  <c r="F4" i="2"/>
  <c r="F18" i="2"/>
  <c r="E20" i="2"/>
  <c r="E19" i="2"/>
  <c r="F19" i="2"/>
  <c r="F20" i="2"/>
  <c r="R24" i="2" l="1"/>
  <c r="T24" i="2" s="1"/>
  <c r="R10" i="2"/>
  <c r="R17" i="2"/>
  <c r="T17" i="2" s="1"/>
  <c r="V17" i="2" s="1"/>
  <c r="R16" i="2"/>
  <c r="T16" i="2" s="1"/>
  <c r="V16" i="2" s="1"/>
  <c r="R15" i="2"/>
  <c r="T15" i="2" s="1"/>
  <c r="V15" i="2" s="1"/>
  <c r="R22" i="2"/>
  <c r="T22" i="2" s="1"/>
  <c r="R13" i="2"/>
  <c r="T13" i="2" s="1"/>
  <c r="V13" i="2" s="1"/>
  <c r="R12" i="2"/>
  <c r="T12" i="2" s="1"/>
  <c r="V12" i="2" s="1"/>
  <c r="R18" i="2"/>
  <c r="T18" i="2" s="1"/>
  <c r="R21" i="2"/>
  <c r="T21" i="2" s="1"/>
  <c r="R23" i="2"/>
  <c r="T23" i="2" s="1"/>
  <c r="R11" i="2"/>
  <c r="T11" i="2" s="1"/>
  <c r="R14" i="2"/>
  <c r="T14" i="2" s="1"/>
  <c r="V14" i="2" s="1"/>
  <c r="R20" i="2"/>
  <c r="T20" i="2" s="1"/>
  <c r="R19" i="2"/>
  <c r="T19" i="2" s="1"/>
  <c r="F5" i="2"/>
  <c r="T10" i="2" l="1"/>
  <c r="V10" i="2" s="1"/>
  <c r="V11" i="2"/>
  <c r="S16" i="2"/>
  <c r="U16" i="2" s="1"/>
  <c r="W16" i="2" s="1"/>
  <c r="S15" i="2"/>
  <c r="U15" i="2" s="1"/>
  <c r="W15" i="2" s="1"/>
  <c r="S14" i="2"/>
  <c r="U14" i="2" s="1"/>
  <c r="W14" i="2" s="1"/>
  <c r="S21" i="2"/>
  <c r="U21" i="2" s="1"/>
  <c r="S12" i="2"/>
  <c r="U12" i="2" s="1"/>
  <c r="W12" i="2" s="1"/>
  <c r="S10" i="2"/>
  <c r="S17" i="2"/>
  <c r="S24" i="2"/>
  <c r="U24" i="2" s="1"/>
  <c r="S23" i="2"/>
  <c r="U23" i="2" s="1"/>
  <c r="S22" i="2"/>
  <c r="S13" i="2"/>
  <c r="U13" i="2" s="1"/>
  <c r="W13" i="2" s="1"/>
  <c r="S20" i="2"/>
  <c r="U20" i="2" s="1"/>
  <c r="S19" i="2"/>
  <c r="U19" i="2" s="1"/>
  <c r="S18" i="2"/>
  <c r="S11" i="2"/>
  <c r="U11" i="2" l="1"/>
  <c r="W11" i="2" s="1"/>
  <c r="V23" i="2"/>
  <c r="U17" i="2"/>
  <c r="W17" i="2" s="1"/>
  <c r="U18" i="2"/>
  <c r="W18" i="2" s="1"/>
  <c r="U22" i="2"/>
  <c r="W22" i="2" s="1"/>
  <c r="U10" i="2"/>
  <c r="W10" i="2" s="1"/>
  <c r="W19" i="2"/>
  <c r="W23" i="2"/>
  <c r="W20" i="2"/>
  <c r="W21" i="2"/>
  <c r="V20" i="2"/>
  <c r="V18" i="2"/>
  <c r="V22" i="2"/>
  <c r="W24" i="2"/>
  <c r="V21" i="2"/>
  <c r="V19" i="2"/>
  <c r="V24" i="2"/>
</calcChain>
</file>

<file path=xl/sharedStrings.xml><?xml version="1.0" encoding="utf-8"?>
<sst xmlns="http://schemas.openxmlformats.org/spreadsheetml/2006/main" count="158" uniqueCount="102">
  <si>
    <t>Stock</t>
  </si>
  <si>
    <t>TAC LS</t>
  </si>
  <si>
    <t>ACDLarge</t>
  </si>
  <si>
    <t>ACDMedium</t>
  </si>
  <si>
    <t>ACDSmall</t>
  </si>
  <si>
    <t>ACDTiny</t>
  </si>
  <si>
    <t>BatteryWedge</t>
  </si>
  <si>
    <t>FuelCellSmall</t>
  </si>
  <si>
    <t>FuelCellMedium</t>
  </si>
  <si>
    <t>GuidenceComputer</t>
  </si>
  <si>
    <t>kOS</t>
  </si>
  <si>
    <t>AerozineWedge</t>
  </si>
  <si>
    <t>HydrazineWedge</t>
  </si>
  <si>
    <t>HydrogenWedge</t>
  </si>
  <si>
    <t>OxygenWedge</t>
  </si>
  <si>
    <t>FoodWedge</t>
  </si>
  <si>
    <t>WaterWedge</t>
  </si>
  <si>
    <t>Elektron</t>
  </si>
  <si>
    <t>Sabatier</t>
  </si>
  <si>
    <t>WaterPurifier</t>
  </si>
  <si>
    <t>RadialTanks</t>
  </si>
  <si>
    <t>AdaptorShroud0625</t>
  </si>
  <si>
    <t>AdaptorShroud1875</t>
  </si>
  <si>
    <t>CylindricalShroud125</t>
  </si>
  <si>
    <t>CylindricalShroud250</t>
  </si>
  <si>
    <t>CylindricalShroud0625</t>
  </si>
  <si>
    <t>US_Hex</t>
  </si>
  <si>
    <t>US_Octo</t>
  </si>
  <si>
    <t>US_Quad</t>
  </si>
  <si>
    <t>KIS</t>
  </si>
  <si>
    <t>EVAExtender</t>
  </si>
  <si>
    <t>KASRadial</t>
  </si>
  <si>
    <t>KASWedge</t>
  </si>
  <si>
    <t>CarbonDioxideWedge</t>
  </si>
  <si>
    <t>USI LS</t>
  </si>
  <si>
    <t>Asmi’s ECLSS</t>
  </si>
  <si>
    <t>IonCross Life Support</t>
  </si>
  <si>
    <t>IFI Life Support</t>
  </si>
  <si>
    <t>Snacks!</t>
  </si>
  <si>
    <t>Kerbalisum</t>
  </si>
  <si>
    <t>Life support</t>
  </si>
  <si>
    <t>Community Tech Tree</t>
  </si>
  <si>
    <t>Connected Living Space</t>
  </si>
  <si>
    <t>Mechjeb</t>
  </si>
  <si>
    <t>Cost</t>
  </si>
  <si>
    <t># Wedges</t>
  </si>
  <si>
    <t>Cost PW</t>
  </si>
  <si>
    <t>QuadCore</t>
  </si>
  <si>
    <t>1.25 Fairing</t>
  </si>
  <si>
    <t>HexaCore</t>
  </si>
  <si>
    <t>1.875 Fairing</t>
  </si>
  <si>
    <t>Octocore</t>
  </si>
  <si>
    <t>2.5 Fairing</t>
  </si>
  <si>
    <t>Part</t>
  </si>
  <si>
    <t>1.25m Stack</t>
  </si>
  <si>
    <t>1.875 Stack</t>
  </si>
  <si>
    <t>2.5m Stack</t>
  </si>
  <si>
    <t>Assembly</t>
  </si>
  <si>
    <t>Input</t>
  </si>
  <si>
    <t>Output</t>
  </si>
  <si>
    <t>Key</t>
  </si>
  <si>
    <t>Column1</t>
  </si>
  <si>
    <t>Universal Storage 2 Part Balance Calculators</t>
  </si>
  <si>
    <t>Structure</t>
  </si>
  <si>
    <t>Wedge</t>
  </si>
  <si>
    <t>Resource</t>
  </si>
  <si>
    <t>EP Cost</t>
  </si>
  <si>
    <t>Avarage structural mass per wedge</t>
  </si>
  <si>
    <t>Avarage structural cost per wedge</t>
  </si>
  <si>
    <t>Equivalent Part (EP)</t>
  </si>
  <si>
    <t>Liquid Fuel / Ox</t>
  </si>
  <si>
    <t>Electric Charge</t>
  </si>
  <si>
    <t>Carbon Dioxide</t>
  </si>
  <si>
    <t>Monoprop</t>
  </si>
  <si>
    <t>Hydrogen</t>
  </si>
  <si>
    <t>Oxygen</t>
  </si>
  <si>
    <t>Water</t>
  </si>
  <si>
    <t>EP Ratio</t>
  </si>
  <si>
    <t>FL-T100</t>
  </si>
  <si>
    <t>Wedge Cost</t>
  </si>
  <si>
    <t>EP Mass</t>
  </si>
  <si>
    <t>Mass</t>
  </si>
  <si>
    <t>Wedge Mass</t>
  </si>
  <si>
    <t>Mass PW</t>
  </si>
  <si>
    <t>Mass overhead</t>
  </si>
  <si>
    <t>Cost overhead</t>
  </si>
  <si>
    <t>Tot</t>
  </si>
  <si>
    <t>Mass + OH</t>
  </si>
  <si>
    <t>Cost + OH</t>
  </si>
  <si>
    <t>FL-R25</t>
  </si>
  <si>
    <t>Way too complex and doesn't really add up.  Feels like Epicycles</t>
  </si>
  <si>
    <t>EMPW</t>
  </si>
  <si>
    <t>ECPW</t>
  </si>
  <si>
    <t>EMPW = Equivilent Mass Per Wedge, ECPW = Equivilent Cost Per Wedge</t>
  </si>
  <si>
    <t>Mass with Structure</t>
  </si>
  <si>
    <t>Cost with Structure</t>
  </si>
  <si>
    <t>Column2</t>
  </si>
  <si>
    <t>Life Support Container (TAC)</t>
  </si>
  <si>
    <t>Z-1K</t>
  </si>
  <si>
    <t>TACLS Sabatier (TAC)</t>
  </si>
  <si>
    <t>TACLS Water Purifier (TAC)</t>
  </si>
  <si>
    <t>Aerozine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</si>
</sst>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" applyNumberFormat="0" applyAlignment="0" applyProtection="0"/>
    <xf numFmtId="0" fontId="7" fillId="8" borderId="2" applyNumberFormat="0" applyAlignment="0" applyProtection="0"/>
    <xf numFmtId="0" fontId="5" fillId="10" borderId="0" applyNumberFormat="0" applyBorder="0" applyAlignment="0" applyProtection="0"/>
  </cellStyleXfs>
  <cellXfs count="58">
    <xf numFmtId="0" fontId="0" fillId="0" borderId="0" xfId="0"/>
    <xf numFmtId="0" fontId="1" fillId="2" borderId="0" xfId="1"/>
    <xf numFmtId="0" fontId="3" fillId="4" borderId="0" xfId="3" applyFont="1"/>
    <xf numFmtId="0" fontId="3" fillId="6" borderId="0" xfId="5" applyFont="1"/>
    <xf numFmtId="0" fontId="3" fillId="5" borderId="0" xfId="4" applyFont="1"/>
    <xf numFmtId="0" fontId="4" fillId="0" borderId="0" xfId="0" applyFont="1"/>
    <xf numFmtId="0" fontId="2" fillId="3" borderId="0" xfId="2"/>
    <xf numFmtId="164" fontId="0" fillId="0" borderId="0" xfId="0" applyNumberFormat="1"/>
    <xf numFmtId="164" fontId="7" fillId="8" borderId="2" xfId="7" applyNumberFormat="1"/>
    <xf numFmtId="0" fontId="7" fillId="8" borderId="2" xfId="7"/>
    <xf numFmtId="164" fontId="7" fillId="8" borderId="3" xfId="7" applyNumberFormat="1" applyBorder="1"/>
    <xf numFmtId="0" fontId="7" fillId="8" borderId="3" xfId="7" applyBorder="1"/>
    <xf numFmtId="164" fontId="7" fillId="8" borderId="5" xfId="7" applyNumberFormat="1" applyBorder="1"/>
    <xf numFmtId="0" fontId="7" fillId="8" borderId="5" xfId="7" applyBorder="1"/>
    <xf numFmtId="0" fontId="0" fillId="0" borderId="4" xfId="0" applyBorder="1"/>
    <xf numFmtId="0" fontId="6" fillId="7" borderId="1" xfId="6"/>
    <xf numFmtId="164" fontId="6" fillId="7" borderId="7" xfId="6" applyNumberFormat="1" applyBorder="1" applyProtection="1">
      <protection locked="0"/>
    </xf>
    <xf numFmtId="0" fontId="6" fillId="7" borderId="7" xfId="6" applyBorder="1" applyProtection="1">
      <protection locked="0"/>
    </xf>
    <xf numFmtId="164" fontId="6" fillId="7" borderId="1" xfId="6" applyNumberFormat="1" applyProtection="1">
      <protection locked="0"/>
    </xf>
    <xf numFmtId="0" fontId="6" fillId="7" borderId="1" xfId="6" applyProtection="1">
      <protection locked="0"/>
    </xf>
    <xf numFmtId="164" fontId="6" fillId="7" borderId="6" xfId="6" applyNumberFormat="1" applyBorder="1" applyProtection="1">
      <protection locked="0"/>
    </xf>
    <xf numFmtId="0" fontId="6" fillId="7" borderId="6" xfId="6" applyBorder="1" applyProtection="1">
      <protection locked="0"/>
    </xf>
    <xf numFmtId="0" fontId="0" fillId="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0" fillId="11" borderId="0" xfId="0" applyFont="1" applyFill="1"/>
    <xf numFmtId="164" fontId="0" fillId="11" borderId="0" xfId="0" applyNumberFormat="1" applyFont="1" applyFill="1"/>
    <xf numFmtId="0" fontId="0" fillId="0" borderId="0" xfId="0" applyFont="1"/>
    <xf numFmtId="0" fontId="0" fillId="11" borderId="10" xfId="0" applyFont="1" applyFill="1" applyBorder="1"/>
    <xf numFmtId="0" fontId="0" fillId="0" borderId="0" xfId="0" applyAlignment="1">
      <alignment horizontal="right"/>
    </xf>
    <xf numFmtId="1" fontId="0" fillId="0" borderId="0" xfId="0" applyNumberFormat="1"/>
    <xf numFmtId="1" fontId="7" fillId="8" borderId="2" xfId="7" applyNumberFormat="1"/>
    <xf numFmtId="0" fontId="4" fillId="0" borderId="0" xfId="0" applyFont="1" applyAlignment="1">
      <alignment horizontal="right"/>
    </xf>
    <xf numFmtId="0" fontId="3" fillId="12" borderId="8" xfId="0" applyFont="1" applyFill="1" applyBorder="1"/>
    <xf numFmtId="1" fontId="0" fillId="11" borderId="0" xfId="0" applyNumberFormat="1" applyFont="1" applyFill="1"/>
    <xf numFmtId="9" fontId="6" fillId="7" borderId="1" xfId="6" applyNumberFormat="1"/>
    <xf numFmtId="1" fontId="7" fillId="8" borderId="3" xfId="7" applyNumberFormat="1" applyBorder="1"/>
    <xf numFmtId="1" fontId="7" fillId="8" borderId="5" xfId="7" applyNumberFormat="1" applyBorder="1"/>
    <xf numFmtId="164" fontId="6" fillId="7" borderId="1" xfId="6" applyNumberFormat="1"/>
    <xf numFmtId="0" fontId="6" fillId="7" borderId="1" xfId="6" applyFont="1" applyFill="1" applyBorder="1"/>
    <xf numFmtId="164" fontId="6" fillId="7" borderId="1" xfId="6" applyNumberFormat="1" applyFont="1" applyFill="1" applyBorder="1"/>
    <xf numFmtId="0" fontId="6" fillId="7" borderId="6" xfId="6" applyBorder="1"/>
    <xf numFmtId="164" fontId="6" fillId="7" borderId="6" xfId="6" applyNumberFormat="1" applyBorder="1"/>
    <xf numFmtId="0" fontId="6" fillId="7" borderId="7" xfId="6" applyBorder="1"/>
    <xf numFmtId="164" fontId="6" fillId="7" borderId="7" xfId="6" applyNumberFormat="1" applyBorder="1"/>
    <xf numFmtId="0" fontId="6" fillId="7" borderId="7" xfId="6" applyFont="1" applyFill="1" applyBorder="1"/>
    <xf numFmtId="164" fontId="6" fillId="7" borderId="7" xfId="6" applyNumberFormat="1" applyFont="1" applyFill="1" applyBorder="1"/>
    <xf numFmtId="0" fontId="5" fillId="4" borderId="4" xfId="3" applyBorder="1"/>
    <xf numFmtId="0" fontId="5" fillId="4" borderId="0" xfId="3"/>
    <xf numFmtId="0" fontId="3" fillId="4" borderId="9" xfId="3" applyFont="1" applyFill="1" applyBorder="1"/>
    <xf numFmtId="0" fontId="3" fillId="4" borderId="8" xfId="3" applyFont="1" applyFill="1" applyBorder="1"/>
    <xf numFmtId="0" fontId="5" fillId="10" borderId="0" xfId="8"/>
    <xf numFmtId="0" fontId="5" fillId="6" borderId="0" xfId="5"/>
    <xf numFmtId="0" fontId="5" fillId="6" borderId="4" xfId="5" applyBorder="1"/>
    <xf numFmtId="0" fontId="11" fillId="0" borderId="0" xfId="0" applyFont="1" applyAlignment="1">
      <alignment horizontal="right"/>
    </xf>
    <xf numFmtId="0" fontId="3" fillId="4" borderId="0" xfId="3" applyFont="1" applyFill="1" applyBorder="1"/>
    <xf numFmtId="9" fontId="0" fillId="0" borderId="0" xfId="0" applyNumberFormat="1"/>
  </cellXfs>
  <cellStyles count="9">
    <cellStyle name="Accent1" xfId="3" builtinId="29"/>
    <cellStyle name="Accent2" xfId="8" builtinId="33"/>
    <cellStyle name="Accent3" xfId="4" builtinId="37"/>
    <cellStyle name="Accent5" xfId="5" builtinId="45"/>
    <cellStyle name="Good" xfId="1" builtinId="26"/>
    <cellStyle name="Input" xfId="6" builtinId="20"/>
    <cellStyle name="Neutral" xfId="2" builtinId="28"/>
    <cellStyle name="Normal" xfId="0" builtinId="0"/>
    <cellStyle name="Output" xfId="7" builtinId="21"/>
  </cellStyles>
  <dxfs count="25">
    <dxf>
      <numFmt numFmtId="164" formatCode="0.000"/>
    </dxf>
    <dxf>
      <numFmt numFmtId="1" formatCode="0"/>
    </dxf>
    <dxf>
      <numFmt numFmtId="1" formatCode="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0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fill>
        <patternFill patternType="solid">
          <fgColor indexed="64"/>
          <bgColor theme="0" tint="-0.499984740745262"/>
        </patternFill>
      </fill>
    </dxf>
    <dxf>
      <numFmt numFmtId="164" formatCode="0.000"/>
    </dxf>
    <dxf>
      <numFmt numFmtId="164" formatCode="0.000"/>
    </dxf>
    <dxf>
      <protection locked="0" hidden="0"/>
    </dxf>
    <dxf>
      <numFmt numFmtId="164" formatCode="0.00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114300</xdr:rowOff>
    </xdr:from>
    <xdr:to>
      <xdr:col>6</xdr:col>
      <xdr:colOff>0</xdr:colOff>
      <xdr:row>32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A804FE-0ECF-48C3-B7EF-B067B8ED1AF6}"/>
            </a:ext>
          </a:extLst>
        </xdr:cNvPr>
        <xdr:cNvSpPr txBox="1"/>
      </xdr:nvSpPr>
      <xdr:spPr>
        <a:xfrm>
          <a:off x="66675" y="4457700"/>
          <a:ext cx="4371975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Cost and weight should be balanced on</a:t>
          </a:r>
          <a:r>
            <a:rPr lang="en-US" sz="1100" baseline="0"/>
            <a:t> a per wedge basis, so that the total cost and weight for a single wedge including supporting structure can be compared with alternative parts (overhead allowed to compensate for flexibility).</a:t>
          </a:r>
        </a:p>
        <a:p>
          <a:endParaRPr lang="en-US" sz="1100" baseline="0"/>
        </a:p>
        <a:p>
          <a:r>
            <a:rPr lang="en-US" sz="1100" baseline="0"/>
            <a:t>Values should also balance against each other.</a:t>
          </a:r>
        </a:p>
        <a:p>
          <a:endParaRPr lang="en-US" sz="1100" baseline="0"/>
        </a:p>
        <a:p>
          <a:r>
            <a:rPr lang="en-US" sz="1100" baseline="0"/>
            <a:t>Hexa and Octo cores have additional C&amp;W to allow for crew transfer tunnel.</a:t>
          </a:r>
        </a:p>
        <a:p>
          <a:endParaRPr lang="en-US" sz="1100" baseline="0"/>
        </a:p>
        <a:p>
          <a:r>
            <a:rPr lang="en-US" sz="1100" baseline="0"/>
            <a:t>Mass is in 1000Kg (0.001 = 1Kg)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3643A-351B-4DBF-BC9E-EB9CD49D57C2}" name="Table1" displayName="Table1" ref="A9:F15" totalsRowShown="0">
  <autoFilter ref="A9:F15" xr:uid="{E35C78EA-37D4-4ED3-9810-2F527211F7B1}"/>
  <tableColumns count="6">
    <tableColumn id="1" xr3:uid="{A579DE4B-A322-4B2E-9837-103820C03232}" name="Part"/>
    <tableColumn id="2" xr3:uid="{BDEA9424-295C-438D-BC3E-B712CD75D492}" name="Mass" dataDxfId="24" dataCellStyle="Input"/>
    <tableColumn id="3" xr3:uid="{BEC8C509-96C0-4C1D-B987-D949FCD72522}" name="Cost" dataDxfId="23" dataCellStyle="Input"/>
    <tableColumn id="4" xr3:uid="{2CDA1B83-518F-4FCE-B239-152F6AAB9B0E}" name="# Wedges"/>
    <tableColumn id="5" xr3:uid="{D72B8143-BCE8-4CA0-92EB-4F25A654E009}" name="Mass PW" dataDxfId="22">
      <calculatedColumnFormula>B10/D10</calculatedColumnFormula>
    </tableColumn>
    <tableColumn id="6" xr3:uid="{7C548BED-B2C0-48CA-8E75-2EE5E27D006C}" name="Cost PW">
      <calculatedColumnFormula>C10/D10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892D2-B693-4470-A422-3B7B7344BCA6}" name="Table2" displayName="Table2" ref="A17:F20" totalsRowShown="0" headerRowCellStyle="Normal" dataCellStyle="Normal">
  <autoFilter ref="A17:F20" xr:uid="{15374C48-326D-4B9F-89C7-9290C4904D94}"/>
  <tableColumns count="6">
    <tableColumn id="1" xr3:uid="{EFC3A571-8606-4D34-9570-444E46172573}" name="Assembly" dataCellStyle="Normal"/>
    <tableColumn id="2" xr3:uid="{39B14A51-C030-4BF0-976E-6004D7CB7614}" name="Mass" dataDxfId="21" dataCellStyle="Normal"/>
    <tableColumn id="3" xr3:uid="{3085B6D2-8BD9-412D-9BB4-B061501AA3F5}" name="Cost" dataCellStyle="Normal"/>
    <tableColumn id="4" xr3:uid="{8AE4EF62-BE12-431E-8941-09FFEC2F04B1}" name="Column1" dataDxfId="20" dataCellStyle="Normal"/>
    <tableColumn id="5" xr3:uid="{07D0FC5F-9407-45B3-B1CF-2DA7FFBD07ED}" name="Mass PW" dataDxfId="19" dataCellStyle="Output"/>
    <tableColumn id="6" xr3:uid="{EAED86FD-9C2D-43A3-8AED-2A35A4B0E8C1}" name="Cost PW" dataCellStyle="Output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0D9A4A-463F-4D26-82AA-63A5B0C8CC4F}" name="Table3" displayName="Table3" ref="J9:W24" totalsRowShown="0">
  <autoFilter ref="J9:W24" xr:uid="{FCFFE02D-0F9D-47CE-8963-D0B96401028F}"/>
  <tableColumns count="14">
    <tableColumn id="1" xr3:uid="{D35C5EED-7BD1-4643-8282-F63E139564EA}" name="Wedge"/>
    <tableColumn id="6" xr3:uid="{8634F600-D183-4F35-9174-CF6AFDB437E9}" name="Resource"/>
    <tableColumn id="7" xr3:uid="{36D05634-ED80-4A39-A2B6-D12AE024D880}" name="Equivalent Part (EP)" dataCellStyle="Input"/>
    <tableColumn id="8" xr3:uid="{3E6D94E4-6CE3-49EC-B2D7-CDEF9031A5D1}" name="EP Mass" dataDxfId="18" dataCellStyle="Input"/>
    <tableColumn id="9" xr3:uid="{DB2B2C2C-9933-42E8-A081-7B51720E5BAE}" name="EP Cost" dataCellStyle="Input"/>
    <tableColumn id="10" xr3:uid="{7E87F25C-5A4C-4DF5-A29D-200B2970A86E}" name="EP Ratio" dataCellStyle="Input"/>
    <tableColumn id="2" xr3:uid="{76FFECEC-42C1-4853-B453-CD67BCEA4C82}" name="EMPW" dataDxfId="17">
      <calculatedColumnFormula>Table3[[#This Row],[EP Mass]]/Table3[[#This Row],[EP Ratio]]</calculatedColumnFormula>
    </tableColumn>
    <tableColumn id="3" xr3:uid="{6648A9CF-A240-4F40-9B6F-7036BFC6FDF0}" name="ECPW" dataDxfId="16">
      <calculatedColumnFormula>Table3[[#This Row],[EP Cost]]/Table3[[#This Row],[EP Ratio]]</calculatedColumnFormula>
    </tableColumn>
    <tableColumn id="4" xr3:uid="{335079E6-1470-4AD7-8DAE-D5030809B2E3}" name="Wedge Mass" dataDxfId="15">
      <calculatedColumnFormula>Table3[[#This Row],[EMPW]]-$F$4</calculatedColumnFormula>
    </tableColumn>
    <tableColumn id="5" xr3:uid="{99B210F1-A8A3-43A7-8333-E8BB85F0B547}" name="Wedge Cost" dataDxfId="14">
      <calculatedColumnFormula>Table3[[#This Row],[ECPW]]-$F$5</calculatedColumnFormula>
    </tableColumn>
    <tableColumn id="11" xr3:uid="{404FE096-C0F6-4430-B9AE-0C0079420A1E}" name="Mass + OH" dataDxfId="13">
      <calculatedColumnFormula>Table3[[#This Row],[Wedge Mass]]+($F$4*$W$4)</calculatedColumnFormula>
    </tableColumn>
    <tableColumn id="12" xr3:uid="{3E12FB57-74FA-4B05-ADFF-6CCFD7C06427}" name="Cost + OH" dataDxfId="12">
      <calculatedColumnFormula>Table3[[#This Row],[Wedge Cost]]+($F$4*$W$4)</calculatedColumnFormula>
    </tableColumn>
    <tableColumn id="13" xr3:uid="{59A654E4-65C3-446D-8823-21A7DAD93D58}" name="Mass with Structure" dataDxfId="11" dataCellStyle="Output">
      <calculatedColumnFormula>Table3[[#This Row],[Mass + OH]]+$F$4</calculatedColumnFormula>
    </tableColumn>
    <tableColumn id="14" xr3:uid="{F355FCD9-68F4-49E3-835F-663E86D3B79B}" name="Cost with Structure" dataDxfId="10" dataCellStyle="Output">
      <calculatedColumnFormula>Table3[[#This Row],[Cost + OH]]+$F$5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A231BC-39A7-4EE7-9404-BCFF8A0EB73D}" name="Table4" displayName="Table4" ref="J28:U43" totalsRowShown="0">
  <autoFilter ref="J28:U43" xr:uid="{46081FD9-DEF6-425C-B392-40ECBEDC37F3}"/>
  <tableColumns count="12">
    <tableColumn id="1" xr3:uid="{3A5AB019-9F60-4DA4-846C-B79D4002996A}" name="Wedge" dataDxfId="9"/>
    <tableColumn id="2" xr3:uid="{029965FB-BA4B-48F3-871C-0C2DCB8A6561}" name="Resource" dataDxfId="8"/>
    <tableColumn id="3" xr3:uid="{038C1B73-CADE-41CD-B1C1-05FF0A2BE1CE}" name="Equivalent Part (EP)" dataDxfId="7" dataCellStyle="Input"/>
    <tableColumn id="4" xr3:uid="{FD0E5793-2888-43BB-930B-A5077DC78A62}" name="EP Mass" dataDxfId="6" dataCellStyle="Input"/>
    <tableColumn id="5" xr3:uid="{52F5C845-80EC-431F-8212-494C84B32728}" name="EP Cost" dataDxfId="5" dataCellStyle="Input"/>
    <tableColumn id="6" xr3:uid="{AF154CBF-F54F-4E51-8889-F4DB73C16004}" name="EP Ratio" dataDxfId="4" dataCellStyle="Input"/>
    <tableColumn id="7" xr3:uid="{6B1F7D26-131C-42E1-ABAF-EE8782299855}" name="EMPW" dataDxfId="3" dataCellStyle="Normal">
      <calculatedColumnFormula>M29/O29</calculatedColumnFormula>
    </tableColumn>
    <tableColumn id="8" xr3:uid="{B407898F-3ADA-4E54-ADDC-5EADD291509F}" name="ECPW" dataDxfId="2" dataCellStyle="Normal">
      <calculatedColumnFormula>N29/O29</calculatedColumnFormula>
    </tableColumn>
    <tableColumn id="9" xr3:uid="{3F4CC5AE-B283-42BA-AA44-9D8055720245}" name="Column1"/>
    <tableColumn id="10" xr3:uid="{D9EFCA45-4D60-400B-AD7E-7C4B507FFC94}" name="Column2"/>
    <tableColumn id="11" xr3:uid="{CED7D517-BD40-498E-AA55-203E544DE2AF}" name="Wedge Mass" dataDxfId="0">
      <calculatedColumnFormula>Table4[[#This Row],[EMPW]]-$F$4</calculatedColumnFormula>
    </tableColumn>
    <tableColumn id="12" xr3:uid="{37C9ED97-13F9-4DEF-BFA8-5B6D153D7855}" name="Wedge Cost" dataDxfId="1">
      <calculatedColumnFormula>Table4[[#This Row],[ECPW]]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4A3D-DE41-49C6-9CA4-260D9D9B0D6E}">
  <dimension ref="A1:M29"/>
  <sheetViews>
    <sheetView tabSelected="1" workbookViewId="0">
      <selection activeCell="E21" sqref="E21"/>
    </sheetView>
  </sheetViews>
  <sheetFormatPr defaultRowHeight="15" x14ac:dyDescent="0.25"/>
  <cols>
    <col min="1" max="1" width="20.85546875" bestFit="1" customWidth="1"/>
    <col min="2" max="2" width="20.7109375" bestFit="1" customWidth="1"/>
    <col min="3" max="3" width="20.7109375" customWidth="1"/>
    <col min="4" max="4" width="12.28515625" bestFit="1" customWidth="1"/>
    <col min="5" max="5" width="20" bestFit="1" customWidth="1"/>
    <col min="6" max="6" width="14.42578125" bestFit="1" customWidth="1"/>
    <col min="7" max="7" width="7.5703125" bestFit="1" customWidth="1"/>
    <col min="8" max="8" width="11" bestFit="1" customWidth="1"/>
    <col min="9" max="9" width="18.5703125" bestFit="1" customWidth="1"/>
    <col min="10" max="10" width="12.5703125" bestFit="1" customWidth="1"/>
    <col min="11" max="11" width="20.5703125" bestFit="1" customWidth="1"/>
    <col min="12" max="12" width="22.140625" bestFit="1" customWidth="1"/>
    <col min="13" max="13" width="8.7109375" bestFit="1" customWidth="1"/>
  </cols>
  <sheetData>
    <row r="1" spans="1:13" s="5" customFormat="1" x14ac:dyDescent="0.25">
      <c r="A1" s="2"/>
      <c r="B1" s="3" t="s">
        <v>40</v>
      </c>
      <c r="C1" s="3"/>
      <c r="D1" s="3"/>
      <c r="E1" s="3"/>
      <c r="F1" s="3"/>
      <c r="G1" s="3"/>
      <c r="H1" s="3"/>
      <c r="I1" s="4"/>
      <c r="J1" s="4"/>
      <c r="K1" s="4"/>
      <c r="L1" s="4"/>
      <c r="M1" s="4"/>
    </row>
    <row r="2" spans="1:13" s="5" customFormat="1" x14ac:dyDescent="0.25">
      <c r="A2" s="2" t="s">
        <v>0</v>
      </c>
      <c r="B2" s="3" t="s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4" t="s">
        <v>10</v>
      </c>
      <c r="J2" s="6" t="s">
        <v>29</v>
      </c>
      <c r="K2" s="4" t="s">
        <v>41</v>
      </c>
      <c r="L2" s="4" t="s">
        <v>42</v>
      </c>
      <c r="M2" s="4" t="s">
        <v>43</v>
      </c>
    </row>
    <row r="3" spans="1:13" x14ac:dyDescent="0.25">
      <c r="A3" s="1" t="s">
        <v>2</v>
      </c>
      <c r="B3" t="s">
        <v>33</v>
      </c>
      <c r="C3" t="s">
        <v>15</v>
      </c>
      <c r="I3" t="s">
        <v>9</v>
      </c>
      <c r="J3" t="s">
        <v>30</v>
      </c>
    </row>
    <row r="4" spans="1:13" x14ac:dyDescent="0.25">
      <c r="A4" s="1" t="s">
        <v>3</v>
      </c>
      <c r="B4" t="s">
        <v>15</v>
      </c>
      <c r="J4" t="s">
        <v>31</v>
      </c>
    </row>
    <row r="5" spans="1:13" x14ac:dyDescent="0.25">
      <c r="A5" s="1" t="s">
        <v>4</v>
      </c>
      <c r="B5" t="s">
        <v>18</v>
      </c>
      <c r="J5" t="s">
        <v>32</v>
      </c>
    </row>
    <row r="6" spans="1:13" x14ac:dyDescent="0.25">
      <c r="A6" s="1" t="s">
        <v>5</v>
      </c>
      <c r="B6" t="s">
        <v>19</v>
      </c>
    </row>
    <row r="7" spans="1:13" x14ac:dyDescent="0.25">
      <c r="A7" s="1" t="s">
        <v>21</v>
      </c>
    </row>
    <row r="8" spans="1:13" x14ac:dyDescent="0.25">
      <c r="A8" s="1" t="s">
        <v>22</v>
      </c>
    </row>
    <row r="9" spans="1:13" x14ac:dyDescent="0.25">
      <c r="A9" s="1" t="s">
        <v>11</v>
      </c>
    </row>
    <row r="10" spans="1:13" x14ac:dyDescent="0.25">
      <c r="A10" s="1" t="s">
        <v>6</v>
      </c>
    </row>
    <row r="11" spans="1:13" x14ac:dyDescent="0.25">
      <c r="A11" s="1" t="s">
        <v>25</v>
      </c>
    </row>
    <row r="12" spans="1:13" x14ac:dyDescent="0.25">
      <c r="A12" s="1" t="s">
        <v>23</v>
      </c>
    </row>
    <row r="13" spans="1:13" x14ac:dyDescent="0.25">
      <c r="A13" s="1" t="s">
        <v>24</v>
      </c>
    </row>
    <row r="14" spans="1:13" x14ac:dyDescent="0.25">
      <c r="A14" s="1" t="s">
        <v>17</v>
      </c>
    </row>
    <row r="15" spans="1:13" x14ac:dyDescent="0.25">
      <c r="A15" s="1" t="s">
        <v>8</v>
      </c>
    </row>
    <row r="16" spans="1:13" x14ac:dyDescent="0.25">
      <c r="A16" s="1" t="s">
        <v>7</v>
      </c>
    </row>
    <row r="17" spans="1:5" x14ac:dyDescent="0.25">
      <c r="A17" s="1" t="s">
        <v>12</v>
      </c>
    </row>
    <row r="18" spans="1:5" x14ac:dyDescent="0.25">
      <c r="A18" s="1" t="s">
        <v>13</v>
      </c>
    </row>
    <row r="19" spans="1:5" x14ac:dyDescent="0.25">
      <c r="A19" s="1" t="s">
        <v>14</v>
      </c>
    </row>
    <row r="20" spans="1:5" x14ac:dyDescent="0.25">
      <c r="A20" s="1" t="s">
        <v>26</v>
      </c>
    </row>
    <row r="21" spans="1:5" x14ac:dyDescent="0.25">
      <c r="A21" s="1" t="s">
        <v>27</v>
      </c>
    </row>
    <row r="22" spans="1:5" x14ac:dyDescent="0.25">
      <c r="A22" s="1" t="s">
        <v>28</v>
      </c>
    </row>
    <row r="23" spans="1:5" x14ac:dyDescent="0.25">
      <c r="A23" s="1" t="s">
        <v>16</v>
      </c>
    </row>
    <row r="29" spans="1:5" x14ac:dyDescent="0.25">
      <c r="E29" t="s">
        <v>20</v>
      </c>
    </row>
  </sheetData>
  <sortState ref="A3:A23">
    <sortCondition ref="A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BA2C-6D76-4E2A-A0F4-C7FFE13A3365}">
  <dimension ref="A1:W43"/>
  <sheetViews>
    <sheetView topLeftCell="K1" workbookViewId="0">
      <selection activeCell="V28" sqref="V28"/>
    </sheetView>
  </sheetViews>
  <sheetFormatPr defaultRowHeight="15" x14ac:dyDescent="0.25"/>
  <cols>
    <col min="1" max="1" width="12" bestFit="1" customWidth="1"/>
    <col min="2" max="2" width="9.7109375" customWidth="1"/>
    <col min="4" max="4" width="11.85546875" customWidth="1"/>
    <col min="5" max="5" width="13.28515625" customWidth="1"/>
    <col min="6" max="6" width="10.5703125" customWidth="1"/>
    <col min="10" max="10" width="20.7109375" bestFit="1" customWidth="1"/>
    <col min="11" max="11" width="15" bestFit="1" customWidth="1"/>
    <col min="12" max="12" width="26.7109375" bestFit="1" customWidth="1"/>
    <col min="13" max="13" width="12.42578125" bestFit="1" customWidth="1"/>
    <col min="14" max="14" width="9.7109375" bestFit="1" customWidth="1"/>
    <col min="15" max="15" width="10.42578125" bestFit="1" customWidth="1"/>
    <col min="16" max="16" width="9.85546875" customWidth="1"/>
    <col min="17" max="17" width="8.5703125" bestFit="1" customWidth="1"/>
    <col min="18" max="18" width="16.85546875" hidden="1" customWidth="1"/>
    <col min="19" max="19" width="14" hidden="1" customWidth="1"/>
    <col min="20" max="20" width="20.7109375" customWidth="1"/>
    <col min="21" max="21" width="20" customWidth="1"/>
    <col min="22" max="22" width="19" customWidth="1"/>
    <col min="23" max="23" width="20.85546875" customWidth="1"/>
    <col min="25" max="25" width="12" bestFit="1" customWidth="1"/>
  </cols>
  <sheetData>
    <row r="1" spans="1:23" s="24" customFormat="1" ht="31.5" x14ac:dyDescent="0.5">
      <c r="A1" s="24" t="s">
        <v>62</v>
      </c>
    </row>
    <row r="2" spans="1:23" s="24" customFormat="1" ht="31.5" x14ac:dyDescent="0.5"/>
    <row r="3" spans="1:23" x14ac:dyDescent="0.25">
      <c r="A3" s="5" t="s">
        <v>60</v>
      </c>
    </row>
    <row r="4" spans="1:23" x14ac:dyDescent="0.25">
      <c r="A4" s="15" t="s">
        <v>58</v>
      </c>
      <c r="E4" s="33" t="s">
        <v>67</v>
      </c>
      <c r="F4" s="8">
        <f>AVERAGE(Table2[Mass PW])</f>
        <v>1.0972222222222222E-2</v>
      </c>
      <c r="V4" s="30" t="s">
        <v>84</v>
      </c>
      <c r="W4" s="36">
        <v>0.5</v>
      </c>
    </row>
    <row r="5" spans="1:23" x14ac:dyDescent="0.25">
      <c r="A5" s="9" t="s">
        <v>59</v>
      </c>
      <c r="E5" s="33" t="s">
        <v>68</v>
      </c>
      <c r="F5" s="32">
        <f>AVERAGE(Table2[Cost PW])</f>
        <v>59.166666666666664</v>
      </c>
      <c r="V5" s="30" t="s">
        <v>85</v>
      </c>
      <c r="W5" s="36">
        <v>0.5</v>
      </c>
    </row>
    <row r="8" spans="1:23" ht="21" x14ac:dyDescent="0.35">
      <c r="A8" s="25" t="s">
        <v>63</v>
      </c>
      <c r="W8" s="55" t="s">
        <v>90</v>
      </c>
    </row>
    <row r="9" spans="1:23" ht="15.75" thickBot="1" x14ac:dyDescent="0.3">
      <c r="A9" t="s">
        <v>53</v>
      </c>
      <c r="B9" s="14" t="s">
        <v>81</v>
      </c>
      <c r="C9" s="14" t="s">
        <v>44</v>
      </c>
      <c r="D9" t="s">
        <v>45</v>
      </c>
      <c r="E9" t="s">
        <v>83</v>
      </c>
      <c r="F9" t="s">
        <v>46</v>
      </c>
      <c r="J9" t="s">
        <v>64</v>
      </c>
      <c r="K9" t="s">
        <v>65</v>
      </c>
      <c r="L9" s="48" t="s">
        <v>69</v>
      </c>
      <c r="M9" s="48" t="s">
        <v>80</v>
      </c>
      <c r="N9" s="48" t="s">
        <v>66</v>
      </c>
      <c r="O9" s="48" t="s">
        <v>77</v>
      </c>
      <c r="P9" s="49" t="s">
        <v>91</v>
      </c>
      <c r="Q9" s="49" t="s">
        <v>92</v>
      </c>
      <c r="R9" s="52" t="s">
        <v>82</v>
      </c>
      <c r="S9" s="52" t="s">
        <v>79</v>
      </c>
      <c r="T9" s="53" t="s">
        <v>87</v>
      </c>
      <c r="U9" s="53" t="s">
        <v>88</v>
      </c>
      <c r="V9" s="54" t="s">
        <v>94</v>
      </c>
      <c r="W9" s="54" t="s">
        <v>95</v>
      </c>
    </row>
    <row r="10" spans="1:23" x14ac:dyDescent="0.25">
      <c r="A10" t="s">
        <v>47</v>
      </c>
      <c r="B10" s="16">
        <v>0.02</v>
      </c>
      <c r="C10" s="17">
        <v>125</v>
      </c>
      <c r="D10">
        <v>4</v>
      </c>
      <c r="E10" s="7">
        <f>B10/D10</f>
        <v>5.0000000000000001E-3</v>
      </c>
      <c r="F10">
        <f>C10/D10</f>
        <v>31.25</v>
      </c>
      <c r="J10" t="s">
        <v>86</v>
      </c>
      <c r="K10" t="s">
        <v>70</v>
      </c>
      <c r="L10" s="44" t="s">
        <v>78</v>
      </c>
      <c r="M10" s="45">
        <v>6.3E-2</v>
      </c>
      <c r="N10" s="44">
        <v>150</v>
      </c>
      <c r="O10" s="44">
        <v>4</v>
      </c>
      <c r="P10" s="7">
        <f>Table3[[#This Row],[EP Mass]]/Table3[[#This Row],[EP Ratio]]</f>
        <v>1.575E-2</v>
      </c>
      <c r="Q10" s="31">
        <f>Table3[[#This Row],[EP Cost]]/Table3[[#This Row],[EP Ratio]]</f>
        <v>37.5</v>
      </c>
      <c r="R10" s="7">
        <f>Table3[[#This Row],[EMPW]]-$F$4</f>
        <v>4.7777777777777784E-3</v>
      </c>
      <c r="S10" s="31">
        <f>Table3[[#This Row],[ECPW]]-$F$5</f>
        <v>-21.666666666666664</v>
      </c>
      <c r="T10" s="7">
        <f>Table3[[#This Row],[Wedge Mass]]+($F$4*$W$4)</f>
        <v>1.0263888888888888E-2</v>
      </c>
      <c r="U10" s="31">
        <f>Table3[[#This Row],[Wedge Cost]]+($F$4*$W$4)</f>
        <v>-21.661180555555553</v>
      </c>
      <c r="V10" s="12">
        <f>Table3[[#This Row],[Mass + OH]]+$F$4</f>
        <v>2.1236111111111108E-2</v>
      </c>
      <c r="W10" s="38">
        <f>Table3[[#This Row],[Cost + OH]]+$F$5</f>
        <v>37.505486111111111</v>
      </c>
    </row>
    <row r="11" spans="1:23" x14ac:dyDescent="0.25">
      <c r="A11" t="s">
        <v>48</v>
      </c>
      <c r="B11" s="18">
        <v>0.01</v>
      </c>
      <c r="C11" s="19">
        <v>85</v>
      </c>
      <c r="D11">
        <v>4</v>
      </c>
      <c r="E11" s="7">
        <f t="shared" ref="E11:E15" si="0">B11/D11</f>
        <v>2.5000000000000001E-3</v>
      </c>
      <c r="F11">
        <f t="shared" ref="F11:F15" si="1">C11/D11</f>
        <v>21.25</v>
      </c>
      <c r="J11" t="s">
        <v>6</v>
      </c>
      <c r="K11" t="s">
        <v>71</v>
      </c>
      <c r="L11" s="15"/>
      <c r="M11" s="39">
        <v>0.05</v>
      </c>
      <c r="N11" s="15">
        <v>880</v>
      </c>
      <c r="O11" s="15">
        <v>2</v>
      </c>
      <c r="P11" s="7">
        <f>Table3[[#This Row],[EP Mass]]/Table3[[#This Row],[EP Ratio]]</f>
        <v>2.5000000000000001E-2</v>
      </c>
      <c r="Q11" s="31">
        <f>Table3[[#This Row],[EP Cost]]/Table3[[#This Row],[EP Ratio]]</f>
        <v>440</v>
      </c>
      <c r="R11" s="7">
        <f>Table3[[#This Row],[EMPW]]-$F$4</f>
        <v>1.402777777777778E-2</v>
      </c>
      <c r="S11" s="31">
        <f>Table3[[#This Row],[ECPW]]-$F$5</f>
        <v>380.83333333333331</v>
      </c>
      <c r="T11" s="7">
        <f>Table3[[#This Row],[Wedge Mass]]+($F$4*$W$4)</f>
        <v>1.951388888888889E-2</v>
      </c>
      <c r="U11" s="31">
        <f>Table3[[#This Row],[Wedge Cost]]+($F$4*$W$4)</f>
        <v>380.83881944444443</v>
      </c>
      <c r="V11" s="8">
        <f>Table3[[#This Row],[Mass + OH]]+$F$4</f>
        <v>3.048611111111111E-2</v>
      </c>
      <c r="W11" s="32">
        <f>Table3[[#This Row],[Cost + OH]]+$F$5</f>
        <v>440.00548611111111</v>
      </c>
    </row>
    <row r="12" spans="1:23" x14ac:dyDescent="0.25">
      <c r="A12" t="s">
        <v>49</v>
      </c>
      <c r="B12" s="18">
        <v>0.05</v>
      </c>
      <c r="C12" s="19">
        <v>225</v>
      </c>
      <c r="D12">
        <v>6</v>
      </c>
      <c r="E12" s="7">
        <f t="shared" si="0"/>
        <v>8.3333333333333332E-3</v>
      </c>
      <c r="F12">
        <f t="shared" si="1"/>
        <v>37.5</v>
      </c>
      <c r="J12" t="s">
        <v>33</v>
      </c>
      <c r="K12" t="s">
        <v>72</v>
      </c>
      <c r="L12" s="15"/>
      <c r="M12" s="39"/>
      <c r="N12" s="15"/>
      <c r="O12" s="15"/>
      <c r="P12" s="7" t="e">
        <f>Table3[[#This Row],[EP Mass]]/Table3[[#This Row],[EP Ratio]]</f>
        <v>#DIV/0!</v>
      </c>
      <c r="Q12" s="31" t="e">
        <f>Table3[[#This Row],[EP Cost]]/Table3[[#This Row],[EP Ratio]]</f>
        <v>#DIV/0!</v>
      </c>
      <c r="R12" s="7" t="e">
        <f>Table3[[#This Row],[EMPW]]-$F$4</f>
        <v>#DIV/0!</v>
      </c>
      <c r="S12" s="31" t="e">
        <f>Table3[[#This Row],[ECPW]]-$F$5</f>
        <v>#DIV/0!</v>
      </c>
      <c r="T12" s="7" t="e">
        <f>Table3[[#This Row],[Wedge Mass]]+($F$4*$W$4)</f>
        <v>#DIV/0!</v>
      </c>
      <c r="U12" s="31" t="e">
        <f>Table3[[#This Row],[Wedge Cost]]+($F$4*$W$4)</f>
        <v>#DIV/0!</v>
      </c>
      <c r="V12" s="8" t="e">
        <f>Table3[[#This Row],[Mass + OH]]+$F$4</f>
        <v>#DIV/0!</v>
      </c>
      <c r="W12" s="32" t="e">
        <f>Table3[[#This Row],[Cost + OH]]+$F$5</f>
        <v>#DIV/0!</v>
      </c>
    </row>
    <row r="13" spans="1:23" x14ac:dyDescent="0.25">
      <c r="A13" t="s">
        <v>50</v>
      </c>
      <c r="B13" s="18">
        <v>0.125</v>
      </c>
      <c r="C13" s="19">
        <v>600</v>
      </c>
      <c r="D13">
        <v>24</v>
      </c>
      <c r="E13" s="7">
        <f t="shared" si="0"/>
        <v>5.208333333333333E-3</v>
      </c>
      <c r="F13">
        <f t="shared" si="1"/>
        <v>25</v>
      </c>
      <c r="J13" t="s">
        <v>17</v>
      </c>
      <c r="L13" s="15"/>
      <c r="M13" s="39"/>
      <c r="N13" s="15"/>
      <c r="O13" s="15"/>
      <c r="P13" s="7" t="e">
        <f>Table3[[#This Row],[EP Mass]]/Table3[[#This Row],[EP Ratio]]</f>
        <v>#DIV/0!</v>
      </c>
      <c r="Q13" s="31" t="e">
        <f>Table3[[#This Row],[EP Cost]]/Table3[[#This Row],[EP Ratio]]</f>
        <v>#DIV/0!</v>
      </c>
      <c r="R13" s="7" t="e">
        <f>Table3[[#This Row],[EMPW]]-$F$4</f>
        <v>#DIV/0!</v>
      </c>
      <c r="S13" s="31" t="e">
        <f>Table3[[#This Row],[ECPW]]-$F$5</f>
        <v>#DIV/0!</v>
      </c>
      <c r="T13" s="7" t="e">
        <f>Table3[[#This Row],[Wedge Mass]]+($F$4*$W$4)</f>
        <v>#DIV/0!</v>
      </c>
      <c r="U13" s="31" t="e">
        <f>Table3[[#This Row],[Wedge Cost]]+($F$4*$W$4)</f>
        <v>#DIV/0!</v>
      </c>
      <c r="V13" s="8" t="e">
        <f>Table3[[#This Row],[Mass + OH]]+$F$4</f>
        <v>#DIV/0!</v>
      </c>
      <c r="W13" s="32" t="e">
        <f>Table3[[#This Row],[Cost + OH]]+$F$5</f>
        <v>#DIV/0!</v>
      </c>
    </row>
    <row r="14" spans="1:23" x14ac:dyDescent="0.25">
      <c r="A14" t="s">
        <v>51</v>
      </c>
      <c r="B14" s="18">
        <v>7.4999999999999997E-2</v>
      </c>
      <c r="C14" s="19">
        <v>300</v>
      </c>
      <c r="D14">
        <v>8</v>
      </c>
      <c r="E14" s="7">
        <f t="shared" si="0"/>
        <v>9.3749999999999997E-3</v>
      </c>
      <c r="F14">
        <f t="shared" si="1"/>
        <v>37.5</v>
      </c>
      <c r="J14" t="s">
        <v>15</v>
      </c>
      <c r="L14" s="15"/>
      <c r="M14" s="39"/>
      <c r="N14" s="15"/>
      <c r="O14" s="15"/>
      <c r="P14" s="7" t="e">
        <f>Table3[[#This Row],[EP Mass]]/Table3[[#This Row],[EP Ratio]]</f>
        <v>#DIV/0!</v>
      </c>
      <c r="Q14" s="31" t="e">
        <f>Table3[[#This Row],[EP Cost]]/Table3[[#This Row],[EP Ratio]]</f>
        <v>#DIV/0!</v>
      </c>
      <c r="R14" s="7" t="e">
        <f>Table3[[#This Row],[EMPW]]-$F$4</f>
        <v>#DIV/0!</v>
      </c>
      <c r="S14" s="31" t="e">
        <f>Table3[[#This Row],[ECPW]]-$F$5</f>
        <v>#DIV/0!</v>
      </c>
      <c r="T14" s="7" t="e">
        <f>Table3[[#This Row],[Wedge Mass]]+($F$4*$W$4)</f>
        <v>#DIV/0!</v>
      </c>
      <c r="U14" s="31" t="e">
        <f>Table3[[#This Row],[Wedge Cost]]+($F$4*$W$4)</f>
        <v>#DIV/0!</v>
      </c>
      <c r="V14" s="8" t="e">
        <f>Table3[[#This Row],[Mass + OH]]+$F$4</f>
        <v>#DIV/0!</v>
      </c>
      <c r="W14" s="32" t="e">
        <f>Table3[[#This Row],[Cost + OH]]+$F$5</f>
        <v>#DIV/0!</v>
      </c>
    </row>
    <row r="15" spans="1:23" ht="15.75" thickBot="1" x14ac:dyDescent="0.3">
      <c r="A15" t="s">
        <v>52</v>
      </c>
      <c r="B15" s="20">
        <v>0.02</v>
      </c>
      <c r="C15" s="21">
        <v>200</v>
      </c>
      <c r="D15">
        <v>8</v>
      </c>
      <c r="E15" s="7">
        <f t="shared" si="0"/>
        <v>2.5000000000000001E-3</v>
      </c>
      <c r="F15">
        <f t="shared" si="1"/>
        <v>25</v>
      </c>
      <c r="J15" t="s">
        <v>8</v>
      </c>
      <c r="L15" s="15"/>
      <c r="M15" s="39"/>
      <c r="N15" s="15"/>
      <c r="O15" s="15"/>
      <c r="P15" s="7" t="e">
        <f>Table3[[#This Row],[EP Mass]]/Table3[[#This Row],[EP Ratio]]</f>
        <v>#DIV/0!</v>
      </c>
      <c r="Q15" s="31" t="e">
        <f>Table3[[#This Row],[EP Cost]]/Table3[[#This Row],[EP Ratio]]</f>
        <v>#DIV/0!</v>
      </c>
      <c r="R15" s="7" t="e">
        <f>Table3[[#This Row],[EMPW]]-$F$4</f>
        <v>#DIV/0!</v>
      </c>
      <c r="S15" s="31" t="e">
        <f>Table3[[#This Row],[ECPW]]-$F$5</f>
        <v>#DIV/0!</v>
      </c>
      <c r="T15" s="7" t="e">
        <f>Table3[[#This Row],[Wedge Mass]]+($F$4*$W$4)</f>
        <v>#DIV/0!</v>
      </c>
      <c r="U15" s="31" t="e">
        <f>Table3[[#This Row],[Wedge Cost]]+($F$4*$W$4)</f>
        <v>#DIV/0!</v>
      </c>
      <c r="V15" s="8" t="e">
        <f>Table3[[#This Row],[Mass + OH]]+$F$4</f>
        <v>#DIV/0!</v>
      </c>
      <c r="W15" s="32" t="e">
        <f>Table3[[#This Row],[Cost + OH]]+$F$5</f>
        <v>#DIV/0!</v>
      </c>
    </row>
    <row r="16" spans="1:23" x14ac:dyDescent="0.25">
      <c r="J16" t="s">
        <v>7</v>
      </c>
      <c r="L16" s="15"/>
      <c r="M16" s="39"/>
      <c r="N16" s="15"/>
      <c r="O16" s="15"/>
      <c r="P16" s="7" t="e">
        <f>Table3[[#This Row],[EP Mass]]/Table3[[#This Row],[EP Ratio]]</f>
        <v>#DIV/0!</v>
      </c>
      <c r="Q16" s="31" t="e">
        <f>Table3[[#This Row],[EP Cost]]/Table3[[#This Row],[EP Ratio]]</f>
        <v>#DIV/0!</v>
      </c>
      <c r="R16" s="7" t="e">
        <f>Table3[[#This Row],[EMPW]]-$F$4</f>
        <v>#DIV/0!</v>
      </c>
      <c r="S16" s="31" t="e">
        <f>Table3[[#This Row],[ECPW]]-$F$5</f>
        <v>#DIV/0!</v>
      </c>
      <c r="T16" s="7" t="e">
        <f>Table3[[#This Row],[Wedge Mass]]+($F$4*$W$4)</f>
        <v>#DIV/0!</v>
      </c>
      <c r="U16" s="31" t="e">
        <f>Table3[[#This Row],[Wedge Cost]]+($F$4*$W$4)</f>
        <v>#DIV/0!</v>
      </c>
      <c r="V16" s="8" t="e">
        <f>Table3[[#This Row],[Mass + OH]]+$F$4</f>
        <v>#DIV/0!</v>
      </c>
      <c r="W16" s="32" t="e">
        <f>Table3[[#This Row],[Cost + OH]]+$F$5</f>
        <v>#DIV/0!</v>
      </c>
    </row>
    <row r="17" spans="1:23" ht="15.75" thickBot="1" x14ac:dyDescent="0.3">
      <c r="A17" t="s">
        <v>57</v>
      </c>
      <c r="B17" t="s">
        <v>81</v>
      </c>
      <c r="C17" t="s">
        <v>44</v>
      </c>
      <c r="D17" s="23" t="s">
        <v>61</v>
      </c>
      <c r="E17" s="14" t="s">
        <v>83</v>
      </c>
      <c r="F17" s="14" t="s">
        <v>46</v>
      </c>
      <c r="J17" t="s">
        <v>9</v>
      </c>
      <c r="L17" s="15"/>
      <c r="M17" s="39"/>
      <c r="N17" s="15"/>
      <c r="O17" s="15"/>
      <c r="P17" s="7" t="e">
        <f>Table3[[#This Row],[EP Mass]]/Table3[[#This Row],[EP Ratio]]</f>
        <v>#DIV/0!</v>
      </c>
      <c r="Q17" s="31" t="e">
        <f>Table3[[#This Row],[EP Cost]]/Table3[[#This Row],[EP Ratio]]</f>
        <v>#DIV/0!</v>
      </c>
      <c r="R17" s="7" t="e">
        <f>Table3[[#This Row],[EMPW]]-$F$4</f>
        <v>#DIV/0!</v>
      </c>
      <c r="S17" s="31" t="e">
        <f>Table3[[#This Row],[ECPW]]-$F$5</f>
        <v>#DIV/0!</v>
      </c>
      <c r="T17" s="7" t="e">
        <f>Table3[[#This Row],[Wedge Mass]]+($F$4*$W$4)</f>
        <v>#DIV/0!</v>
      </c>
      <c r="U17" s="31" t="e">
        <f>Table3[[#This Row],[Wedge Cost]]+($F$4*$W$4)</f>
        <v>#DIV/0!</v>
      </c>
      <c r="V17" s="8" t="e">
        <f>Table3[[#This Row],[Mass + OH]]+$F$4</f>
        <v>#DIV/0!</v>
      </c>
      <c r="W17" s="32" t="e">
        <f>Table3[[#This Row],[Cost + OH]]+$F$5</f>
        <v>#DIV/0!</v>
      </c>
    </row>
    <row r="18" spans="1:23" x14ac:dyDescent="0.25">
      <c r="A18" t="s">
        <v>54</v>
      </c>
      <c r="B18" s="7">
        <f>B11+B10</f>
        <v>0.03</v>
      </c>
      <c r="C18">
        <f>C11+C10</f>
        <v>210</v>
      </c>
      <c r="D18" s="22"/>
      <c r="E18" s="12">
        <f>E11+E10</f>
        <v>7.4999999999999997E-3</v>
      </c>
      <c r="F18" s="13">
        <f>F11+F10</f>
        <v>52.5</v>
      </c>
      <c r="J18" t="s">
        <v>12</v>
      </c>
      <c r="K18" t="s">
        <v>73</v>
      </c>
      <c r="L18" s="15" t="s">
        <v>89</v>
      </c>
      <c r="M18" s="39">
        <v>0.8</v>
      </c>
      <c r="N18" s="15">
        <v>330</v>
      </c>
      <c r="O18" s="15">
        <v>4</v>
      </c>
      <c r="P18" s="7">
        <f>Table3[[#This Row],[EP Mass]]/Table3[[#This Row],[EP Ratio]]</f>
        <v>0.2</v>
      </c>
      <c r="Q18" s="31">
        <f>Table3[[#This Row],[EP Cost]]/Table3[[#This Row],[EP Ratio]]</f>
        <v>82.5</v>
      </c>
      <c r="R18" s="7">
        <f>Table3[[#This Row],[EMPW]]-$F$4</f>
        <v>0.18902777777777779</v>
      </c>
      <c r="S18" s="31">
        <f>Table3[[#This Row],[ECPW]]-$F$5</f>
        <v>23.333333333333336</v>
      </c>
      <c r="T18" s="7">
        <f>Table3[[#This Row],[Wedge Mass]]+($F$4*$W$4)</f>
        <v>0.1945138888888889</v>
      </c>
      <c r="U18" s="31">
        <f>Table3[[#This Row],[Wedge Cost]]+($F$4*$W$4)</f>
        <v>23.338819444444447</v>
      </c>
      <c r="V18" s="8">
        <f>Table3[[#This Row],[Mass + OH]]+$F$4</f>
        <v>0.20548611111111112</v>
      </c>
      <c r="W18" s="32">
        <f>Table3[[#This Row],[Cost + OH]]+$F$5</f>
        <v>82.505486111111111</v>
      </c>
    </row>
    <row r="19" spans="1:23" x14ac:dyDescent="0.25">
      <c r="A19" t="s">
        <v>55</v>
      </c>
      <c r="B19" s="7">
        <f>B13+B12</f>
        <v>0.17499999999999999</v>
      </c>
      <c r="C19">
        <f>C13+C12</f>
        <v>825</v>
      </c>
      <c r="D19" s="22"/>
      <c r="E19" s="8">
        <f t="shared" ref="E19:F19" si="2">E13+E12</f>
        <v>1.3541666666666667E-2</v>
      </c>
      <c r="F19" s="9">
        <f t="shared" si="2"/>
        <v>62.5</v>
      </c>
      <c r="J19" t="s">
        <v>13</v>
      </c>
      <c r="K19" t="s">
        <v>74</v>
      </c>
      <c r="L19" s="15"/>
      <c r="M19" s="39"/>
      <c r="N19" s="15"/>
      <c r="O19" s="15"/>
      <c r="P19" s="7" t="e">
        <f>Table3[[#This Row],[EP Mass]]/Table3[[#This Row],[EP Ratio]]</f>
        <v>#DIV/0!</v>
      </c>
      <c r="Q19" s="31" t="e">
        <f>Table3[[#This Row],[EP Cost]]/Table3[[#This Row],[EP Ratio]]</f>
        <v>#DIV/0!</v>
      </c>
      <c r="R19" s="7" t="e">
        <f>Table3[[#This Row],[EMPW]]-$F$4</f>
        <v>#DIV/0!</v>
      </c>
      <c r="S19" s="31" t="e">
        <f>Table3[[#This Row],[ECPW]]-$F$5</f>
        <v>#DIV/0!</v>
      </c>
      <c r="T19" s="7" t="e">
        <f>Table3[[#This Row],[Wedge Mass]]+($F$4*$W$4)</f>
        <v>#DIV/0!</v>
      </c>
      <c r="U19" s="31" t="e">
        <f>Table3[[#This Row],[Wedge Cost]]+($F$4*$W$4)</f>
        <v>#DIV/0!</v>
      </c>
      <c r="V19" s="8" t="e">
        <f>Table3[[#This Row],[Mass + OH]]+$F$4</f>
        <v>#DIV/0!</v>
      </c>
      <c r="W19" s="32" t="e">
        <f>Table3[[#This Row],[Cost + OH]]+$F$5</f>
        <v>#DIV/0!</v>
      </c>
    </row>
    <row r="20" spans="1:23" ht="15.75" thickBot="1" x14ac:dyDescent="0.3">
      <c r="A20" t="s">
        <v>56</v>
      </c>
      <c r="B20" s="7">
        <f>B15+B14</f>
        <v>9.5000000000000001E-2</v>
      </c>
      <c r="C20">
        <f>C15+C14</f>
        <v>500</v>
      </c>
      <c r="D20" s="22"/>
      <c r="E20" s="10">
        <f>E15+E14</f>
        <v>1.1875E-2</v>
      </c>
      <c r="F20" s="11">
        <f>F15+F14</f>
        <v>62.5</v>
      </c>
      <c r="J20" t="s">
        <v>32</v>
      </c>
      <c r="L20" s="15"/>
      <c r="M20" s="39"/>
      <c r="N20" s="15"/>
      <c r="O20" s="15"/>
      <c r="P20" s="7" t="e">
        <f>Table3[[#This Row],[EP Mass]]/Table3[[#This Row],[EP Ratio]]</f>
        <v>#DIV/0!</v>
      </c>
      <c r="Q20" s="31" t="e">
        <f>Table3[[#This Row],[EP Cost]]/Table3[[#This Row],[EP Ratio]]</f>
        <v>#DIV/0!</v>
      </c>
      <c r="R20" s="7" t="e">
        <f>Table3[[#This Row],[EMPW]]-$F$4</f>
        <v>#DIV/0!</v>
      </c>
      <c r="S20" s="31" t="e">
        <f>Table3[[#This Row],[ECPW]]-$F$5</f>
        <v>#DIV/0!</v>
      </c>
      <c r="T20" s="7" t="e">
        <f>Table3[[#This Row],[Wedge Mass]]+($F$4*$W$4)</f>
        <v>#DIV/0!</v>
      </c>
      <c r="U20" s="31" t="e">
        <f>Table3[[#This Row],[Wedge Cost]]+($F$4*$W$4)</f>
        <v>#DIV/0!</v>
      </c>
      <c r="V20" s="8" t="e">
        <f>Table3[[#This Row],[Mass + OH]]+$F$4</f>
        <v>#DIV/0!</v>
      </c>
      <c r="W20" s="32" t="e">
        <f>Table3[[#This Row],[Cost + OH]]+$F$5</f>
        <v>#DIV/0!</v>
      </c>
    </row>
    <row r="21" spans="1:23" x14ac:dyDescent="0.25">
      <c r="J21" t="s">
        <v>14</v>
      </c>
      <c r="K21" t="s">
        <v>75</v>
      </c>
      <c r="L21" s="15"/>
      <c r="M21" s="39"/>
      <c r="N21" s="15"/>
      <c r="O21" s="15"/>
      <c r="P21" s="7" t="e">
        <f>Table3[[#This Row],[EP Mass]]/Table3[[#This Row],[EP Ratio]]</f>
        <v>#DIV/0!</v>
      </c>
      <c r="Q21" s="31" t="e">
        <f>Table3[[#This Row],[EP Cost]]/Table3[[#This Row],[EP Ratio]]</f>
        <v>#DIV/0!</v>
      </c>
      <c r="R21" s="7" t="e">
        <f>Table3[[#This Row],[EMPW]]-$F$4</f>
        <v>#DIV/0!</v>
      </c>
      <c r="S21" s="31" t="e">
        <f>Table3[[#This Row],[ECPW]]-$F$5</f>
        <v>#DIV/0!</v>
      </c>
      <c r="T21" s="7" t="e">
        <f>Table3[[#This Row],[Wedge Mass]]+($F$4*$W$4)</f>
        <v>#DIV/0!</v>
      </c>
      <c r="U21" s="31" t="e">
        <f>Table3[[#This Row],[Wedge Cost]]+($F$4*$W$4)</f>
        <v>#DIV/0!</v>
      </c>
      <c r="V21" s="8" t="e">
        <f>Table3[[#This Row],[Mass + OH]]+$F$4</f>
        <v>#DIV/0!</v>
      </c>
      <c r="W21" s="32" t="e">
        <f>Table3[[#This Row],[Cost + OH]]+$F$5</f>
        <v>#DIV/0!</v>
      </c>
    </row>
    <row r="22" spans="1:23" x14ac:dyDescent="0.25">
      <c r="J22" t="s">
        <v>18</v>
      </c>
      <c r="L22" s="15"/>
      <c r="M22" s="39"/>
      <c r="N22" s="15"/>
      <c r="O22" s="15"/>
      <c r="P22" s="7" t="e">
        <f>Table3[[#This Row],[EP Mass]]/Table3[[#This Row],[EP Ratio]]</f>
        <v>#DIV/0!</v>
      </c>
      <c r="Q22" s="31" t="e">
        <f>Table3[[#This Row],[EP Cost]]/Table3[[#This Row],[EP Ratio]]</f>
        <v>#DIV/0!</v>
      </c>
      <c r="R22" s="7" t="e">
        <f>Table3[[#This Row],[EMPW]]-$F$4</f>
        <v>#DIV/0!</v>
      </c>
      <c r="S22" s="31" t="e">
        <f>Table3[[#This Row],[ECPW]]-$F$5</f>
        <v>#DIV/0!</v>
      </c>
      <c r="T22" s="7" t="e">
        <f>Table3[[#This Row],[Wedge Mass]]+($F$4*$W$4)</f>
        <v>#DIV/0!</v>
      </c>
      <c r="U22" s="31" t="e">
        <f>Table3[[#This Row],[Wedge Cost]]+($F$4*$W$4)</f>
        <v>#DIV/0!</v>
      </c>
      <c r="V22" s="8" t="e">
        <f>Table3[[#This Row],[Mass + OH]]+$F$4</f>
        <v>#DIV/0!</v>
      </c>
      <c r="W22" s="32" t="e">
        <f>Table3[[#This Row],[Cost + OH]]+$F$5</f>
        <v>#DIV/0!</v>
      </c>
    </row>
    <row r="23" spans="1:23" x14ac:dyDescent="0.25">
      <c r="J23" t="s">
        <v>19</v>
      </c>
      <c r="L23" s="15"/>
      <c r="M23" s="39"/>
      <c r="N23" s="15"/>
      <c r="O23" s="15"/>
      <c r="P23" s="7" t="e">
        <f>Table3[[#This Row],[EP Mass]]/Table3[[#This Row],[EP Ratio]]</f>
        <v>#DIV/0!</v>
      </c>
      <c r="Q23" s="31" t="e">
        <f>Table3[[#This Row],[EP Cost]]/Table3[[#This Row],[EP Ratio]]</f>
        <v>#DIV/0!</v>
      </c>
      <c r="R23" s="7" t="e">
        <f>Table3[[#This Row],[EMPW]]-$F$4</f>
        <v>#DIV/0!</v>
      </c>
      <c r="S23" s="31" t="e">
        <f>Table3[[#This Row],[ECPW]]-$F$5</f>
        <v>#DIV/0!</v>
      </c>
      <c r="T23" s="7" t="e">
        <f>Table3[[#This Row],[Wedge Mass]]+($F$4*$W$4)</f>
        <v>#DIV/0!</v>
      </c>
      <c r="U23" s="31" t="e">
        <f>Table3[[#This Row],[Wedge Cost]]+($F$4*$W$4)</f>
        <v>#DIV/0!</v>
      </c>
      <c r="V23" s="8" t="e">
        <f>Table3[[#This Row],[Mass + OH]]+$F$4</f>
        <v>#DIV/0!</v>
      </c>
      <c r="W23" s="32" t="e">
        <f>Table3[[#This Row],[Cost + OH]]+$F$5</f>
        <v>#DIV/0!</v>
      </c>
    </row>
    <row r="24" spans="1:23" ht="15.75" thickBot="1" x14ac:dyDescent="0.3">
      <c r="J24" t="s">
        <v>16</v>
      </c>
      <c r="K24" t="s">
        <v>76</v>
      </c>
      <c r="L24" s="42"/>
      <c r="M24" s="43"/>
      <c r="N24" s="42"/>
      <c r="O24" s="42"/>
      <c r="P24" s="7" t="e">
        <f>Table3[[#This Row],[EP Mass]]/Table3[[#This Row],[EP Ratio]]</f>
        <v>#DIV/0!</v>
      </c>
      <c r="Q24" s="31" t="e">
        <f>Table3[[#This Row],[EP Cost]]/Table3[[#This Row],[EP Ratio]]</f>
        <v>#DIV/0!</v>
      </c>
      <c r="R24" s="7" t="e">
        <f>Table3[[#This Row],[EMPW]]-$F$4</f>
        <v>#DIV/0!</v>
      </c>
      <c r="S24" s="31" t="e">
        <f>Table3[[#This Row],[ECPW]]-$F$5</f>
        <v>#DIV/0!</v>
      </c>
      <c r="T24" s="7" t="e">
        <f>Table3[[#This Row],[Wedge Mass]]+($F$4*$W$4)</f>
        <v>#DIV/0!</v>
      </c>
      <c r="U24" s="31" t="e">
        <f>Table3[[#This Row],[Wedge Cost]]+($F$4*$W$4)</f>
        <v>#DIV/0!</v>
      </c>
      <c r="V24" s="10" t="e">
        <f>Table3[[#This Row],[Mass + OH]]+$F$4</f>
        <v>#DIV/0!</v>
      </c>
      <c r="W24" s="37" t="e">
        <f>Table3[[#This Row],[Cost + OH]]+$F$5</f>
        <v>#DIV/0!</v>
      </c>
    </row>
    <row r="25" spans="1:23" x14ac:dyDescent="0.25">
      <c r="W25" s="30" t="s">
        <v>93</v>
      </c>
    </row>
    <row r="27" spans="1:23" ht="15.75" thickBot="1" x14ac:dyDescent="0.3"/>
    <row r="28" spans="1:23" ht="15.75" thickBot="1" x14ac:dyDescent="0.3">
      <c r="J28" s="34" t="s">
        <v>64</v>
      </c>
      <c r="K28" s="34" t="s">
        <v>65</v>
      </c>
      <c r="L28" s="50" t="s">
        <v>69</v>
      </c>
      <c r="M28" s="50" t="s">
        <v>80</v>
      </c>
      <c r="N28" s="50" t="s">
        <v>66</v>
      </c>
      <c r="O28" s="50" t="s">
        <v>77</v>
      </c>
      <c r="P28" s="51" t="s">
        <v>91</v>
      </c>
      <c r="Q28" s="51" t="s">
        <v>92</v>
      </c>
      <c r="R28" t="s">
        <v>61</v>
      </c>
      <c r="S28" t="s">
        <v>96</v>
      </c>
      <c r="T28" s="56" t="s">
        <v>82</v>
      </c>
      <c r="U28" s="56" t="s">
        <v>79</v>
      </c>
    </row>
    <row r="29" spans="1:23" x14ac:dyDescent="0.25">
      <c r="J29" s="26" t="s">
        <v>101</v>
      </c>
      <c r="K29" s="26" t="s">
        <v>70</v>
      </c>
      <c r="L29" s="46" t="s">
        <v>78</v>
      </c>
      <c r="M29" s="47">
        <v>6.3E-2</v>
      </c>
      <c r="N29" s="46">
        <v>104</v>
      </c>
      <c r="O29" s="46">
        <v>4</v>
      </c>
      <c r="P29" s="7">
        <f>M29/O29</f>
        <v>1.575E-2</v>
      </c>
      <c r="Q29" s="31">
        <f>N29/O29</f>
        <v>26</v>
      </c>
      <c r="T29" s="7">
        <f>Table4[[#This Row],[EMPW]]-$F$4</f>
        <v>4.7777777777777784E-3</v>
      </c>
      <c r="U29" s="31">
        <f>Table4[[#This Row],[ECPW]]</f>
        <v>26</v>
      </c>
      <c r="V29" s="57"/>
      <c r="W29" s="57"/>
    </row>
    <row r="30" spans="1:23" x14ac:dyDescent="0.25">
      <c r="J30" s="28" t="s">
        <v>6</v>
      </c>
      <c r="K30" s="28" t="s">
        <v>71</v>
      </c>
      <c r="L30" s="40" t="s">
        <v>98</v>
      </c>
      <c r="M30" s="41">
        <v>0.05</v>
      </c>
      <c r="N30" s="40">
        <v>880</v>
      </c>
      <c r="O30" s="40">
        <v>2</v>
      </c>
      <c r="P30" s="7">
        <f t="shared" ref="P30:P43" si="3">M30/O30</f>
        <v>2.5000000000000001E-2</v>
      </c>
      <c r="Q30" s="31">
        <f t="shared" ref="Q30:Q43" si="4">N30/O30</f>
        <v>440</v>
      </c>
      <c r="T30" s="7">
        <f>Table4[[#This Row],[EMPW]]-$F$4</f>
        <v>1.402777777777778E-2</v>
      </c>
      <c r="U30" s="31">
        <f>Table4[[#This Row],[ECPW]]</f>
        <v>440</v>
      </c>
      <c r="V30" s="57"/>
      <c r="W30" s="57"/>
    </row>
    <row r="31" spans="1:23" x14ac:dyDescent="0.25">
      <c r="J31" s="26" t="s">
        <v>33</v>
      </c>
      <c r="K31" s="26" t="s">
        <v>72</v>
      </c>
      <c r="L31" s="40"/>
      <c r="M31" s="41"/>
      <c r="N31" s="40"/>
      <c r="O31" s="40"/>
      <c r="P31" s="7" t="e">
        <f t="shared" si="3"/>
        <v>#DIV/0!</v>
      </c>
      <c r="Q31" s="31" t="e">
        <f t="shared" si="4"/>
        <v>#DIV/0!</v>
      </c>
      <c r="T31" s="7" t="e">
        <f>Table4[[#This Row],[EMPW]]-$F$4</f>
        <v>#DIV/0!</v>
      </c>
      <c r="U31" s="31" t="e">
        <f>Table4[[#This Row],[ECPW]]</f>
        <v>#DIV/0!</v>
      </c>
      <c r="V31" s="57"/>
      <c r="W31" s="57"/>
    </row>
    <row r="32" spans="1:23" x14ac:dyDescent="0.25">
      <c r="J32" s="28" t="s">
        <v>17</v>
      </c>
      <c r="K32" s="28"/>
      <c r="L32" s="40"/>
      <c r="M32" s="41"/>
      <c r="N32" s="40"/>
      <c r="O32" s="40"/>
      <c r="P32" s="7" t="e">
        <f t="shared" si="3"/>
        <v>#DIV/0!</v>
      </c>
      <c r="Q32" s="31" t="e">
        <f t="shared" si="4"/>
        <v>#DIV/0!</v>
      </c>
      <c r="T32" s="7" t="e">
        <f>Table4[[#This Row],[EMPW]]-$F$4</f>
        <v>#DIV/0!</v>
      </c>
      <c r="U32" s="31" t="e">
        <f>Table4[[#This Row],[ECPW]]</f>
        <v>#DIV/0!</v>
      </c>
      <c r="V32" s="57"/>
      <c r="W32" s="57"/>
    </row>
    <row r="33" spans="10:23" x14ac:dyDescent="0.25">
      <c r="J33" s="26" t="s">
        <v>15</v>
      </c>
      <c r="K33" s="26"/>
      <c r="L33" s="40" t="s">
        <v>97</v>
      </c>
      <c r="M33" s="41">
        <v>0.2</v>
      </c>
      <c r="N33" s="40">
        <v>300</v>
      </c>
      <c r="O33" s="40">
        <v>2</v>
      </c>
      <c r="P33" s="7">
        <f t="shared" si="3"/>
        <v>0.1</v>
      </c>
      <c r="Q33" s="31">
        <f t="shared" si="4"/>
        <v>150</v>
      </c>
      <c r="T33" s="7">
        <f>Table4[[#This Row],[EMPW]]-$F$4</f>
        <v>8.9027777777777789E-2</v>
      </c>
      <c r="U33" s="31">
        <f>Table4[[#This Row],[ECPW]]</f>
        <v>150</v>
      </c>
      <c r="V33" s="57"/>
      <c r="W33" s="57"/>
    </row>
    <row r="34" spans="10:23" x14ac:dyDescent="0.25">
      <c r="J34" s="28" t="s">
        <v>8</v>
      </c>
      <c r="K34" s="28"/>
      <c r="L34" s="40"/>
      <c r="M34" s="41"/>
      <c r="N34" s="40"/>
      <c r="O34" s="40"/>
      <c r="P34" s="7" t="e">
        <f t="shared" si="3"/>
        <v>#DIV/0!</v>
      </c>
      <c r="Q34" s="31" t="e">
        <f t="shared" si="4"/>
        <v>#DIV/0!</v>
      </c>
      <c r="T34" s="7" t="e">
        <f>Table4[[#This Row],[EMPW]]-$F$4</f>
        <v>#DIV/0!</v>
      </c>
      <c r="U34" s="31" t="e">
        <f>Table4[[#This Row],[ECPW]]</f>
        <v>#DIV/0!</v>
      </c>
      <c r="V34" s="57"/>
      <c r="W34" s="57"/>
    </row>
    <row r="35" spans="10:23" x14ac:dyDescent="0.25">
      <c r="J35" s="26" t="s">
        <v>7</v>
      </c>
      <c r="K35" s="26"/>
      <c r="L35" s="40"/>
      <c r="M35" s="41"/>
      <c r="N35" s="40"/>
      <c r="O35" s="40"/>
      <c r="P35" s="7" t="e">
        <f t="shared" si="3"/>
        <v>#DIV/0!</v>
      </c>
      <c r="Q35" s="31" t="e">
        <f t="shared" si="4"/>
        <v>#DIV/0!</v>
      </c>
      <c r="T35" s="7" t="e">
        <f>Table4[[#This Row],[EMPW]]-$F$4</f>
        <v>#DIV/0!</v>
      </c>
      <c r="U35" s="31" t="e">
        <f>Table4[[#This Row],[ECPW]]</f>
        <v>#DIV/0!</v>
      </c>
      <c r="V35" s="57"/>
      <c r="W35" s="57"/>
    </row>
    <row r="36" spans="10:23" x14ac:dyDescent="0.25">
      <c r="J36" s="28" t="s">
        <v>9</v>
      </c>
      <c r="K36" s="28"/>
      <c r="L36" s="40"/>
      <c r="M36" s="41"/>
      <c r="N36" s="40"/>
      <c r="O36" s="40"/>
      <c r="P36" s="7" t="e">
        <f t="shared" si="3"/>
        <v>#DIV/0!</v>
      </c>
      <c r="Q36" s="31" t="e">
        <f t="shared" si="4"/>
        <v>#DIV/0!</v>
      </c>
      <c r="T36" s="7" t="e">
        <f>Table4[[#This Row],[EMPW]]-$F$4</f>
        <v>#DIV/0!</v>
      </c>
      <c r="U36" s="31" t="e">
        <f>Table4[[#This Row],[ECPW]]</f>
        <v>#DIV/0!</v>
      </c>
      <c r="V36" s="57"/>
      <c r="W36" s="57"/>
    </row>
    <row r="37" spans="10:23" x14ac:dyDescent="0.25">
      <c r="J37" s="26" t="s">
        <v>12</v>
      </c>
      <c r="K37" s="26" t="s">
        <v>73</v>
      </c>
      <c r="L37" s="40" t="s">
        <v>89</v>
      </c>
      <c r="M37" s="41">
        <v>0.08</v>
      </c>
      <c r="N37" s="40">
        <v>186</v>
      </c>
      <c r="O37" s="40">
        <v>4</v>
      </c>
      <c r="P37" s="7">
        <f t="shared" si="3"/>
        <v>0.02</v>
      </c>
      <c r="Q37" s="31">
        <f t="shared" si="4"/>
        <v>46.5</v>
      </c>
      <c r="T37" s="7">
        <f>Table4[[#This Row],[EMPW]]-$F$4</f>
        <v>9.0277777777777787E-3</v>
      </c>
      <c r="U37" s="31">
        <f>Table4[[#This Row],[ECPW]]</f>
        <v>46.5</v>
      </c>
      <c r="V37" s="57"/>
      <c r="W37" s="57"/>
    </row>
    <row r="38" spans="10:23" x14ac:dyDescent="0.25">
      <c r="J38" s="28" t="s">
        <v>13</v>
      </c>
      <c r="K38" s="28" t="s">
        <v>74</v>
      </c>
      <c r="L38" s="40" t="s">
        <v>97</v>
      </c>
      <c r="M38" s="41">
        <v>0.2</v>
      </c>
      <c r="N38" s="40">
        <v>300</v>
      </c>
      <c r="O38" s="40">
        <v>2</v>
      </c>
      <c r="P38" s="7">
        <f t="shared" si="3"/>
        <v>0.1</v>
      </c>
      <c r="Q38" s="31">
        <f t="shared" si="4"/>
        <v>150</v>
      </c>
      <c r="T38" s="7">
        <f>Table4[[#This Row],[EMPW]]-$F$4</f>
        <v>8.9027777777777789E-2</v>
      </c>
      <c r="U38" s="31">
        <f>Table4[[#This Row],[ECPW]]</f>
        <v>150</v>
      </c>
      <c r="V38" s="57"/>
      <c r="W38" s="57"/>
    </row>
    <row r="39" spans="10:23" x14ac:dyDescent="0.25">
      <c r="J39" s="26" t="s">
        <v>32</v>
      </c>
      <c r="K39" s="26"/>
      <c r="L39" s="40"/>
      <c r="M39" s="41"/>
      <c r="N39" s="40"/>
      <c r="O39" s="40"/>
      <c r="P39" s="7" t="e">
        <f t="shared" si="3"/>
        <v>#DIV/0!</v>
      </c>
      <c r="Q39" s="31" t="e">
        <f t="shared" si="4"/>
        <v>#DIV/0!</v>
      </c>
      <c r="T39" s="7" t="e">
        <f>Table4[[#This Row],[EMPW]]-$F$4</f>
        <v>#DIV/0!</v>
      </c>
      <c r="U39" s="31" t="e">
        <f>Table4[[#This Row],[ECPW]]</f>
        <v>#DIV/0!</v>
      </c>
      <c r="V39" s="57"/>
      <c r="W39" s="57"/>
    </row>
    <row r="40" spans="10:23" x14ac:dyDescent="0.25">
      <c r="J40" s="28" t="s">
        <v>14</v>
      </c>
      <c r="K40" s="28" t="s">
        <v>75</v>
      </c>
      <c r="L40" s="40" t="s">
        <v>97</v>
      </c>
      <c r="M40" s="41">
        <v>0.2</v>
      </c>
      <c r="N40" s="40">
        <v>300</v>
      </c>
      <c r="O40" s="40">
        <v>2</v>
      </c>
      <c r="P40" s="7">
        <f t="shared" si="3"/>
        <v>0.1</v>
      </c>
      <c r="Q40" s="31">
        <f t="shared" si="4"/>
        <v>150</v>
      </c>
      <c r="T40" s="7">
        <f>Table4[[#This Row],[EMPW]]-$F$4</f>
        <v>8.9027777777777789E-2</v>
      </c>
      <c r="U40" s="31">
        <f>Table4[[#This Row],[ECPW]]</f>
        <v>150</v>
      </c>
      <c r="V40" s="57"/>
      <c r="W40" s="57"/>
    </row>
    <row r="41" spans="10:23" x14ac:dyDescent="0.25">
      <c r="J41" s="26" t="s">
        <v>18</v>
      </c>
      <c r="K41" s="26"/>
      <c r="L41" s="40" t="s">
        <v>99</v>
      </c>
      <c r="M41" s="41">
        <v>0.48</v>
      </c>
      <c r="N41" s="40">
        <v>2700</v>
      </c>
      <c r="O41" s="40">
        <v>2</v>
      </c>
      <c r="P41" s="7">
        <f t="shared" si="3"/>
        <v>0.24</v>
      </c>
      <c r="Q41" s="31">
        <f t="shared" si="4"/>
        <v>1350</v>
      </c>
      <c r="T41" s="7">
        <f>Table4[[#This Row],[EMPW]]-$F$4</f>
        <v>0.22902777777777777</v>
      </c>
      <c r="U41" s="31">
        <f>Table4[[#This Row],[ECPW]]</f>
        <v>1350</v>
      </c>
      <c r="V41" s="57"/>
      <c r="W41" s="57"/>
    </row>
    <row r="42" spans="10:23" x14ac:dyDescent="0.25">
      <c r="J42" s="28" t="s">
        <v>19</v>
      </c>
      <c r="K42" s="28"/>
      <c r="L42" s="40" t="s">
        <v>100</v>
      </c>
      <c r="M42" s="41">
        <v>0.48</v>
      </c>
      <c r="N42" s="40">
        <v>1800</v>
      </c>
      <c r="O42" s="40">
        <v>2</v>
      </c>
      <c r="P42" s="7">
        <f t="shared" si="3"/>
        <v>0.24</v>
      </c>
      <c r="Q42" s="31">
        <f t="shared" si="4"/>
        <v>900</v>
      </c>
      <c r="T42" s="7">
        <f>Table4[[#This Row],[EMPW]]-$F$4</f>
        <v>0.22902777777777777</v>
      </c>
      <c r="U42" s="31">
        <f>Table4[[#This Row],[ECPW]]</f>
        <v>900</v>
      </c>
      <c r="V42" s="57"/>
      <c r="W42" s="57"/>
    </row>
    <row r="43" spans="10:23" ht="15.75" thickBot="1" x14ac:dyDescent="0.3">
      <c r="J43" s="29" t="s">
        <v>16</v>
      </c>
      <c r="K43" s="29" t="s">
        <v>76</v>
      </c>
      <c r="L43" s="40" t="s">
        <v>97</v>
      </c>
      <c r="M43" s="41">
        <v>0.2</v>
      </c>
      <c r="N43" s="40">
        <v>300</v>
      </c>
      <c r="O43" s="40">
        <v>2</v>
      </c>
      <c r="P43" s="7">
        <f t="shared" si="3"/>
        <v>0.1</v>
      </c>
      <c r="Q43" s="31">
        <f t="shared" si="4"/>
        <v>150</v>
      </c>
      <c r="R43" s="35">
        <f t="shared" ref="R43" si="5">O43/P43</f>
        <v>20</v>
      </c>
      <c r="S43" s="35">
        <f t="shared" ref="S43" si="6">P43/Q43</f>
        <v>6.6666666666666675E-4</v>
      </c>
      <c r="T43" s="27">
        <f>Table4[[#This Row],[EMPW]]-$F$4</f>
        <v>8.9027777777777789E-2</v>
      </c>
      <c r="U43" s="35">
        <f>Table4[[#This Row],[ECPW]]</f>
        <v>150</v>
      </c>
      <c r="V43" s="57"/>
      <c r="W43" s="57"/>
    </row>
  </sheetData>
  <sortState ref="J10:J24">
    <sortCondition ref="J10"/>
  </sortState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and Mods list</vt:lpstr>
      <vt:lpstr>Wedge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Kingtiger</dc:creator>
  <cp:lastModifiedBy>Paul Kingtiger</cp:lastModifiedBy>
  <dcterms:created xsi:type="dcterms:W3CDTF">2018-05-15T12:54:53Z</dcterms:created>
  <dcterms:modified xsi:type="dcterms:W3CDTF">2018-05-18T02:04:47Z</dcterms:modified>
</cp:coreProperties>
</file>