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문서\GitHub\Unity_Weapon_Forge\"/>
    </mc:Choice>
  </mc:AlternateContent>
  <xr:revisionPtr revIDLastSave="0" documentId="13_ncr:1_{B344163D-E119-425A-BB27-B439D360CAFA}" xr6:coauthVersionLast="36" xr6:coauthVersionMax="36" xr10:uidLastSave="{00000000-0000-0000-0000-000000000000}"/>
  <bookViews>
    <workbookView xWindow="0" yWindow="0" windowWidth="23040" windowHeight="8856" xr2:uid="{D3FEDBA6-35E5-45CF-B54A-9F527DCBFA6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54" i="1" l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AF20" i="1" l="1"/>
  <c r="AF21" i="1" s="1"/>
  <c r="AF22" i="1" s="1"/>
  <c r="AF23" i="1" s="1"/>
  <c r="AF24" i="1" s="1"/>
  <c r="AF15" i="1"/>
  <c r="AF16" i="1" s="1"/>
  <c r="AF17" i="1" s="1"/>
  <c r="AF18" i="1" s="1"/>
  <c r="AF19" i="1" s="1"/>
  <c r="AF10" i="1"/>
  <c r="AF11" i="1" s="1"/>
  <c r="AF12" i="1" s="1"/>
  <c r="AF13" i="1" s="1"/>
  <c r="AF14" i="1" s="1"/>
  <c r="AF9" i="1"/>
  <c r="AF8" i="1"/>
  <c r="AF7" i="1"/>
  <c r="AF6" i="1"/>
  <c r="AF5" i="1"/>
  <c r="AD10" i="1"/>
  <c r="AD11" i="1" s="1"/>
  <c r="AD12" i="1" s="1"/>
  <c r="AD13" i="1" s="1"/>
  <c r="AD14" i="1" s="1"/>
  <c r="AD15" i="1" s="1"/>
  <c r="AD16" i="1" s="1"/>
  <c r="AD17" i="1" s="1"/>
  <c r="AD18" i="1" s="1"/>
  <c r="AD19" i="1" s="1"/>
  <c r="AD20" i="1" s="1"/>
  <c r="AD21" i="1" s="1"/>
  <c r="AD22" i="1" s="1"/>
  <c r="AD23" i="1" s="1"/>
  <c r="AD24" i="1" s="1"/>
  <c r="AD9" i="1"/>
  <c r="AD8" i="1"/>
  <c r="AD7" i="1"/>
  <c r="AD6" i="1"/>
  <c r="AD5" i="1"/>
  <c r="AB23" i="1" l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O5" i="1"/>
  <c r="AO6" i="1" s="1"/>
  <c r="AO7" i="1" s="1"/>
  <c r="AO8" i="1" s="1"/>
  <c r="AO9" i="1" s="1"/>
  <c r="AO10" i="1" s="1"/>
  <c r="AO11" i="1" s="1"/>
  <c r="AO12" i="1" s="1"/>
  <c r="AO13" i="1" s="1"/>
  <c r="AO14" i="1" s="1"/>
  <c r="AO15" i="1" s="1"/>
  <c r="AO16" i="1" s="1"/>
  <c r="AO17" i="1" s="1"/>
  <c r="AO18" i="1" s="1"/>
  <c r="AO19" i="1" s="1"/>
  <c r="AO20" i="1" s="1"/>
  <c r="AO21" i="1" s="1"/>
  <c r="AO22" i="1" s="1"/>
  <c r="AO23" i="1" s="1"/>
  <c r="AO24" i="1" s="1"/>
  <c r="AL5" i="1"/>
  <c r="AL6" i="1" s="1"/>
  <c r="AL7" i="1" s="1"/>
  <c r="AL8" i="1" s="1"/>
  <c r="AL9" i="1" s="1"/>
  <c r="AL10" i="1" s="1"/>
  <c r="AL11" i="1" s="1"/>
  <c r="AL12" i="1" s="1"/>
  <c r="AL13" i="1" s="1"/>
  <c r="AL14" i="1" s="1"/>
  <c r="AL15" i="1" s="1"/>
  <c r="AL16" i="1" s="1"/>
  <c r="AL17" i="1" s="1"/>
  <c r="AL18" i="1" s="1"/>
  <c r="AL19" i="1" s="1"/>
  <c r="AL20" i="1" s="1"/>
  <c r="AL21" i="1" s="1"/>
  <c r="AL22" i="1" s="1"/>
  <c r="AL23" i="1" s="1"/>
  <c r="AL24" i="1" s="1"/>
  <c r="Z5" i="1"/>
  <c r="Z6" i="1" s="1"/>
  <c r="Z7" i="1" s="1"/>
  <c r="Z8" i="1" s="1"/>
  <c r="Z9" i="1" s="1"/>
  <c r="Z10" i="1" s="1"/>
  <c r="Z11" i="1" s="1"/>
  <c r="Z12" i="1" s="1"/>
  <c r="Z13" i="1" s="1"/>
  <c r="Z14" i="1" s="1"/>
  <c r="U7" i="1" s="1"/>
  <c r="E54" i="1" s="1"/>
  <c r="Z15" i="1" l="1"/>
  <c r="Z16" i="1" s="1"/>
  <c r="Z17" i="1" s="1"/>
  <c r="Z18" i="1" s="1"/>
  <c r="Z19" i="1" s="1"/>
  <c r="Z20" i="1" s="1"/>
  <c r="Z21" i="1" s="1"/>
  <c r="Z22" i="1" s="1"/>
  <c r="Z23" i="1" s="1"/>
  <c r="Z24" i="1" s="1"/>
  <c r="R7" i="1"/>
  <c r="E16" i="1"/>
  <c r="E50" i="1"/>
  <c r="E47" i="1"/>
  <c r="E23" i="1"/>
  <c r="E45" i="1"/>
  <c r="E37" i="1"/>
  <c r="E33" i="1"/>
  <c r="E15" i="1"/>
  <c r="E8" i="1"/>
  <c r="E41" i="1"/>
  <c r="E29" i="1"/>
  <c r="E36" i="1"/>
  <c r="E51" i="1"/>
  <c r="E22" i="1"/>
  <c r="E18" i="1"/>
  <c r="E14" i="1"/>
  <c r="E30" i="1"/>
  <c r="E11" i="1"/>
  <c r="E7" i="1"/>
  <c r="E40" i="1"/>
  <c r="E13" i="1"/>
  <c r="E48" i="1"/>
  <c r="E17" i="1"/>
  <c r="E49" i="1"/>
  <c r="E46" i="1"/>
  <c r="E5" i="1"/>
  <c r="E20" i="1"/>
  <c r="E53" i="1"/>
  <c r="E42" i="1"/>
  <c r="E25" i="1"/>
  <c r="E35" i="1"/>
  <c r="E19" i="1"/>
  <c r="E27" i="1"/>
  <c r="E43" i="1"/>
  <c r="E39" i="1"/>
  <c r="E32" i="1"/>
  <c r="E38" i="1"/>
  <c r="E12" i="1"/>
  <c r="E31" i="1"/>
  <c r="E28" i="1"/>
  <c r="E52" i="1"/>
  <c r="E10" i="1"/>
  <c r="E21" i="1"/>
  <c r="E34" i="1"/>
  <c r="E9" i="1"/>
  <c r="E6" i="1"/>
  <c r="E26" i="1"/>
  <c r="S7" i="1"/>
  <c r="N5" i="1"/>
  <c r="N6" i="1" s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N49" i="1" s="1"/>
  <c r="N50" i="1" s="1"/>
  <c r="N51" i="1" s="1"/>
  <c r="N52" i="1" s="1"/>
  <c r="N53" i="1" s="1"/>
  <c r="N54" i="1" s="1"/>
  <c r="F25" i="1" l="1"/>
  <c r="F6" i="1"/>
  <c r="K23" i="1" l="1"/>
  <c r="L23" i="1" s="1"/>
  <c r="K5" i="1"/>
  <c r="L5" i="1" s="1"/>
  <c r="K54" i="1"/>
  <c r="L54" i="1" s="1"/>
  <c r="K53" i="1"/>
  <c r="L53" i="1" s="1"/>
  <c r="K52" i="1"/>
  <c r="L52" i="1" s="1"/>
  <c r="K51" i="1"/>
  <c r="L51" i="1" s="1"/>
  <c r="K50" i="1"/>
  <c r="L50" i="1" s="1"/>
  <c r="K49" i="1"/>
  <c r="L49" i="1" s="1"/>
  <c r="K48" i="1"/>
  <c r="L48" i="1" s="1"/>
  <c r="K47" i="1"/>
  <c r="L47" i="1" s="1"/>
  <c r="K46" i="1"/>
  <c r="L46" i="1" s="1"/>
  <c r="K45" i="1"/>
  <c r="L45" i="1" s="1"/>
  <c r="K43" i="1"/>
  <c r="L43" i="1" s="1"/>
  <c r="K42" i="1"/>
  <c r="L42" i="1" s="1"/>
  <c r="K41" i="1"/>
  <c r="L41" i="1" s="1"/>
  <c r="K40" i="1"/>
  <c r="L40" i="1" s="1"/>
  <c r="K39" i="1"/>
  <c r="L39" i="1" s="1"/>
  <c r="K38" i="1"/>
  <c r="L38" i="1" s="1"/>
  <c r="K37" i="1"/>
  <c r="L37" i="1" s="1"/>
  <c r="K36" i="1"/>
  <c r="L36" i="1" s="1"/>
  <c r="K35" i="1"/>
  <c r="L35" i="1" s="1"/>
  <c r="K34" i="1"/>
  <c r="L34" i="1" s="1"/>
  <c r="K33" i="1"/>
  <c r="L33" i="1" s="1"/>
  <c r="K32" i="1"/>
  <c r="L32" i="1" s="1"/>
  <c r="K31" i="1"/>
  <c r="L31" i="1" s="1"/>
  <c r="K30" i="1"/>
  <c r="L30" i="1" s="1"/>
  <c r="K29" i="1"/>
  <c r="L29" i="1" s="1"/>
  <c r="K28" i="1"/>
  <c r="L28" i="1" s="1"/>
  <c r="K27" i="1"/>
  <c r="L27" i="1" s="1"/>
  <c r="K26" i="1"/>
  <c r="L26" i="1" s="1"/>
  <c r="K25" i="1"/>
  <c r="L25" i="1" s="1"/>
  <c r="K22" i="1"/>
  <c r="L22" i="1" s="1"/>
  <c r="K21" i="1"/>
  <c r="L21" i="1" s="1"/>
  <c r="K19" i="1"/>
  <c r="L19" i="1" s="1"/>
  <c r="K20" i="1"/>
  <c r="L20" i="1" s="1"/>
  <c r="K18" i="1"/>
  <c r="L18" i="1" s="1"/>
  <c r="K17" i="1"/>
  <c r="L17" i="1" s="1"/>
  <c r="K16" i="1"/>
  <c r="L16" i="1" s="1"/>
  <c r="K15" i="1"/>
  <c r="L15" i="1" s="1"/>
  <c r="K14" i="1"/>
  <c r="L14" i="1" s="1"/>
  <c r="K13" i="1"/>
  <c r="L13" i="1" s="1"/>
  <c r="K12" i="1"/>
  <c r="L12" i="1" s="1"/>
  <c r="K11" i="1"/>
  <c r="L11" i="1" s="1"/>
  <c r="K10" i="1"/>
  <c r="L10" i="1" s="1"/>
  <c r="K9" i="1"/>
  <c r="L9" i="1" s="1"/>
  <c r="K8" i="1"/>
  <c r="L8" i="1" s="1"/>
  <c r="K7" i="1"/>
  <c r="L7" i="1" s="1"/>
  <c r="K6" i="1"/>
  <c r="L6" i="1" s="1"/>
  <c r="K4" i="1"/>
  <c r="L4" i="1" s="1"/>
  <c r="F45" i="1" l="1"/>
  <c r="F50" i="1"/>
  <c r="F40" i="1"/>
  <c r="F35" i="1"/>
  <c r="F31" i="1"/>
  <c r="F30" i="1"/>
  <c r="F54" i="1"/>
  <c r="F53" i="1"/>
  <c r="F52" i="1"/>
  <c r="F51" i="1"/>
  <c r="F49" i="1"/>
  <c r="F48" i="1"/>
  <c r="F47" i="1"/>
  <c r="F46" i="1"/>
  <c r="F43" i="1"/>
  <c r="F42" i="1"/>
  <c r="F41" i="1"/>
  <c r="F39" i="1"/>
  <c r="F38" i="1"/>
  <c r="F37" i="1"/>
  <c r="F36" i="1"/>
  <c r="H36" i="1" s="1"/>
  <c r="F34" i="1"/>
  <c r="F33" i="1"/>
  <c r="F32" i="1"/>
  <c r="F27" i="1"/>
  <c r="H46" i="1" l="1"/>
  <c r="H35" i="1"/>
  <c r="H54" i="1"/>
  <c r="H53" i="1"/>
  <c r="H51" i="1"/>
  <c r="H52" i="1"/>
  <c r="H50" i="1"/>
  <c r="H49" i="1"/>
  <c r="H48" i="1"/>
  <c r="H47" i="1"/>
  <c r="H45" i="1"/>
  <c r="H41" i="1"/>
  <c r="H42" i="1"/>
  <c r="H40" i="1"/>
  <c r="H39" i="1"/>
  <c r="H34" i="1"/>
  <c r="H31" i="1"/>
  <c r="H37" i="1"/>
  <c r="H38" i="1"/>
  <c r="H33" i="1"/>
  <c r="H32" i="1"/>
  <c r="H43" i="1"/>
  <c r="F21" i="1"/>
  <c r="F11" i="1"/>
  <c r="C5" i="1"/>
  <c r="F5" i="1"/>
  <c r="G5" i="1" s="1"/>
  <c r="F7" i="1"/>
  <c r="F8" i="1"/>
  <c r="F9" i="1"/>
  <c r="F10" i="1"/>
  <c r="F12" i="1"/>
  <c r="F13" i="1"/>
  <c r="F14" i="1"/>
  <c r="F15" i="1"/>
  <c r="F16" i="1"/>
  <c r="F17" i="1"/>
  <c r="F18" i="1"/>
  <c r="F19" i="1"/>
  <c r="F20" i="1"/>
  <c r="F22" i="1"/>
  <c r="F23" i="1"/>
  <c r="F26" i="1"/>
  <c r="F28" i="1"/>
  <c r="F29" i="1"/>
  <c r="H30" i="1" s="1"/>
  <c r="C6" i="1" l="1"/>
  <c r="P5" i="1"/>
  <c r="H13" i="1"/>
  <c r="H26" i="1"/>
  <c r="H25" i="1"/>
  <c r="H5" i="1"/>
  <c r="H6" i="1"/>
  <c r="I6" i="1" s="1"/>
  <c r="H29" i="1"/>
  <c r="H28" i="1"/>
  <c r="H27" i="1"/>
  <c r="H23" i="1"/>
  <c r="H22" i="1"/>
  <c r="H21" i="1"/>
  <c r="H20" i="1"/>
  <c r="H19" i="1"/>
  <c r="H18" i="1"/>
  <c r="H7" i="1"/>
  <c r="H17" i="1"/>
  <c r="H16" i="1"/>
  <c r="H15" i="1"/>
  <c r="H14" i="1"/>
  <c r="H12" i="1"/>
  <c r="H11" i="1"/>
  <c r="H10" i="1"/>
  <c r="H9" i="1"/>
  <c r="H8" i="1"/>
  <c r="G6" i="1"/>
  <c r="G7" i="1" s="1"/>
  <c r="G8" i="1" s="1"/>
  <c r="G9" i="1" s="1"/>
  <c r="G10" i="1" s="1"/>
  <c r="G11" i="1" s="1"/>
  <c r="C7" i="1" l="1"/>
  <c r="P6" i="1"/>
  <c r="G12" i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5" i="1" s="1"/>
  <c r="G26" i="1" s="1"/>
  <c r="G27" i="1" s="1"/>
  <c r="G28" i="1" s="1"/>
  <c r="I7" i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6" i="1" s="1"/>
  <c r="I27" i="1" s="1"/>
  <c r="I28" i="1" s="1"/>
  <c r="C8" i="1" l="1"/>
  <c r="P7" i="1"/>
  <c r="G29" i="1"/>
  <c r="G30" i="1" s="1"/>
  <c r="G31" i="1" s="1"/>
  <c r="G32" i="1" s="1"/>
  <c r="G33" i="1" s="1"/>
  <c r="I29" i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6" i="1" s="1"/>
  <c r="I47" i="1" s="1"/>
  <c r="C9" i="1" l="1"/>
  <c r="P8" i="1"/>
  <c r="G34" i="1"/>
  <c r="G35" i="1" s="1"/>
  <c r="G36" i="1" s="1"/>
  <c r="G37" i="1" s="1"/>
  <c r="G38" i="1" s="1"/>
  <c r="C10" i="1" l="1"/>
  <c r="P9" i="1"/>
  <c r="I48" i="1"/>
  <c r="I49" i="1" s="1"/>
  <c r="G39" i="1"/>
  <c r="G40" i="1" s="1"/>
  <c r="G41" i="1" s="1"/>
  <c r="G42" i="1" s="1"/>
  <c r="G43" i="1" s="1"/>
  <c r="G45" i="1" s="1"/>
  <c r="C11" i="1" l="1"/>
  <c r="P10" i="1"/>
  <c r="I50" i="1"/>
  <c r="I51" i="1" s="1"/>
  <c r="I52" i="1" s="1"/>
  <c r="I53" i="1" s="1"/>
  <c r="I54" i="1" s="1"/>
  <c r="G46" i="1"/>
  <c r="G47" i="1" s="1"/>
  <c r="G48" i="1" s="1"/>
  <c r="C12" i="1" l="1"/>
  <c r="P11" i="1"/>
  <c r="G49" i="1"/>
  <c r="G50" i="1" s="1"/>
  <c r="G51" i="1" s="1"/>
  <c r="G52" i="1" s="1"/>
  <c r="G53" i="1" s="1"/>
  <c r="G54" i="1" s="1"/>
  <c r="C13" i="1" l="1"/>
  <c r="P12" i="1"/>
  <c r="C14" i="1" l="1"/>
  <c r="P13" i="1"/>
  <c r="C15" i="1" l="1"/>
  <c r="P14" i="1"/>
  <c r="C16" i="1" l="1"/>
  <c r="P15" i="1"/>
  <c r="C17" i="1" l="1"/>
  <c r="P16" i="1"/>
  <c r="C18" i="1" l="1"/>
  <c r="P17" i="1"/>
  <c r="C19" i="1" l="1"/>
  <c r="P18" i="1"/>
  <c r="C20" i="1" l="1"/>
  <c r="P19" i="1"/>
  <c r="C21" i="1" l="1"/>
  <c r="P20" i="1"/>
  <c r="C22" i="1" l="1"/>
  <c r="P21" i="1"/>
  <c r="C23" i="1" l="1"/>
  <c r="P22" i="1"/>
  <c r="C24" i="1" l="1"/>
  <c r="P23" i="1"/>
  <c r="C25" i="1" l="1"/>
  <c r="P24" i="1"/>
  <c r="C26" i="1" l="1"/>
  <c r="P25" i="1"/>
  <c r="C27" i="1" l="1"/>
  <c r="P26" i="1"/>
  <c r="C28" i="1" l="1"/>
  <c r="P28" i="1" l="1"/>
  <c r="P27" i="1"/>
  <c r="C29" i="1"/>
  <c r="P29" i="1" l="1"/>
  <c r="C30" i="1"/>
  <c r="P30" i="1" l="1"/>
  <c r="C31" i="1"/>
  <c r="P31" i="1" l="1"/>
  <c r="C32" i="1"/>
  <c r="P32" i="1" l="1"/>
  <c r="C33" i="1"/>
  <c r="P33" i="1" l="1"/>
  <c r="C34" i="1"/>
  <c r="P34" i="1" l="1"/>
  <c r="C35" i="1"/>
  <c r="C36" i="1" l="1"/>
  <c r="P35" i="1"/>
  <c r="C37" i="1" l="1"/>
  <c r="P36" i="1"/>
  <c r="C38" i="1" l="1"/>
  <c r="P37" i="1"/>
  <c r="C39" i="1" l="1"/>
  <c r="P38" i="1"/>
  <c r="P39" i="1" l="1"/>
  <c r="C40" i="1"/>
  <c r="P40" i="1" l="1"/>
  <c r="C41" i="1"/>
  <c r="P41" i="1" l="1"/>
  <c r="C42" i="1"/>
  <c r="P42" i="1" l="1"/>
  <c r="C43" i="1"/>
  <c r="P43" i="1" l="1"/>
  <c r="C44" i="1"/>
  <c r="P44" i="1" l="1"/>
  <c r="C45" i="1"/>
  <c r="C46" i="1" l="1"/>
  <c r="P45" i="1"/>
  <c r="C47" i="1" l="1"/>
  <c r="P46" i="1"/>
  <c r="C48" i="1" l="1"/>
  <c r="P47" i="1"/>
  <c r="C49" i="1" l="1"/>
  <c r="P48" i="1"/>
  <c r="P49" i="1" l="1"/>
  <c r="C50" i="1"/>
  <c r="P50" i="1" l="1"/>
  <c r="C51" i="1"/>
  <c r="P51" i="1" l="1"/>
  <c r="C52" i="1"/>
  <c r="P52" i="1" l="1"/>
  <c r="C53" i="1"/>
  <c r="P53" i="1" l="1"/>
  <c r="C54" i="1"/>
  <c r="P54" i="1" l="1"/>
</calcChain>
</file>

<file path=xl/sharedStrings.xml><?xml version="1.0" encoding="utf-8"?>
<sst xmlns="http://schemas.openxmlformats.org/spreadsheetml/2006/main" count="50" uniqueCount="38">
  <si>
    <t>SELL</t>
    <phoneticPr fontId="3" type="noConversion"/>
  </si>
  <si>
    <t>UPGRADE</t>
    <phoneticPr fontId="3" type="noConversion"/>
  </si>
  <si>
    <t>PULSE</t>
    <phoneticPr fontId="3" type="noConversion"/>
  </si>
  <si>
    <t>TMARGIN</t>
    <phoneticPr fontId="3" type="noConversion"/>
  </si>
  <si>
    <t>totalmargin</t>
    <phoneticPr fontId="3" type="noConversion"/>
  </si>
  <si>
    <t>Level</t>
    <phoneticPr fontId="3" type="noConversion"/>
  </si>
  <si>
    <t>AddMargin</t>
    <phoneticPr fontId="3" type="noConversion"/>
  </si>
  <si>
    <t>Check</t>
    <phoneticPr fontId="3" type="noConversion"/>
  </si>
  <si>
    <t>-</t>
    <phoneticPr fontId="3" type="noConversion"/>
  </si>
  <si>
    <t>Chance</t>
    <phoneticPr fontId="3" type="noConversion"/>
  </si>
  <si>
    <t>SuccessBall</t>
    <phoneticPr fontId="3" type="noConversion"/>
  </si>
  <si>
    <t>TotalBall</t>
    <phoneticPr fontId="3" type="noConversion"/>
  </si>
  <si>
    <t>RemoveBall</t>
    <phoneticPr fontId="3" type="noConversion"/>
  </si>
  <si>
    <t>BaseBall</t>
    <phoneticPr fontId="3" type="noConversion"/>
  </si>
  <si>
    <t>-</t>
    <phoneticPr fontId="3" type="noConversion"/>
  </si>
  <si>
    <t>-</t>
    <phoneticPr fontId="3" type="noConversion"/>
  </si>
  <si>
    <t>AddSuccessBall</t>
    <phoneticPr fontId="3" type="noConversion"/>
  </si>
  <si>
    <t>ASBlevel</t>
    <phoneticPr fontId="3" type="noConversion"/>
  </si>
  <si>
    <t>RBlevel</t>
    <phoneticPr fontId="3" type="noConversion"/>
  </si>
  <si>
    <t>Base</t>
    <phoneticPr fontId="3" type="noConversion"/>
  </si>
  <si>
    <t>SwordStone</t>
    <phoneticPr fontId="3" type="noConversion"/>
  </si>
  <si>
    <t>totalSS</t>
    <phoneticPr fontId="3" type="noConversion"/>
  </si>
  <si>
    <t>BSS</t>
    <phoneticPr fontId="3" type="noConversion"/>
  </si>
  <si>
    <t>AddBSS</t>
    <phoneticPr fontId="3" type="noConversion"/>
  </si>
  <si>
    <t>Cost</t>
    <phoneticPr fontId="3" type="noConversion"/>
  </si>
  <si>
    <t>ASB</t>
    <phoneticPr fontId="3" type="noConversion"/>
  </si>
  <si>
    <t>totalASB</t>
    <phoneticPr fontId="3" type="noConversion"/>
  </si>
  <si>
    <t>RB</t>
    <phoneticPr fontId="3" type="noConversion"/>
  </si>
  <si>
    <t>totalRB</t>
    <phoneticPr fontId="3" type="noConversion"/>
  </si>
  <si>
    <t>AddCost</t>
    <phoneticPr fontId="3" type="noConversion"/>
  </si>
  <si>
    <t>AddMarginP</t>
    <phoneticPr fontId="3" type="noConversion"/>
  </si>
  <si>
    <t>totalAMP</t>
    <phoneticPr fontId="3" type="noConversion"/>
  </si>
  <si>
    <t>AMP</t>
    <phoneticPr fontId="3" type="noConversion"/>
  </si>
  <si>
    <t>AMPlevel</t>
    <phoneticPr fontId="3" type="noConversion"/>
  </si>
  <si>
    <t>TapGold</t>
    <phoneticPr fontId="3" type="noConversion"/>
  </si>
  <si>
    <t>Stats</t>
    <phoneticPr fontId="3" type="noConversion"/>
  </si>
  <si>
    <t xml:space="preserve"> </t>
    <phoneticPr fontId="3" type="noConversion"/>
  </si>
  <si>
    <t xml:space="preserve"> 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</si>
</sst>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1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  <font>
      <sz val="7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1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3" borderId="0" xfId="2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7" fillId="0" borderId="0" xfId="0" applyFont="1">
      <alignment vertical="center"/>
    </xf>
    <xf numFmtId="0" fontId="8" fillId="0" borderId="0" xfId="0" applyFont="1" applyFill="1" applyAlignment="1">
      <alignment horizontal="center" vertical="center"/>
    </xf>
    <xf numFmtId="0" fontId="0" fillId="4" borderId="0" xfId="0" applyFill="1">
      <alignment vertical="center"/>
    </xf>
    <xf numFmtId="0" fontId="0" fillId="0" borderId="0" xfId="0" applyFill="1">
      <alignment vertical="center"/>
    </xf>
    <xf numFmtId="0" fontId="2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176" fontId="10" fillId="0" borderId="0" xfId="1" applyNumberFormat="1" applyFont="1">
      <alignment vertical="center"/>
    </xf>
    <xf numFmtId="176" fontId="11" fillId="3" borderId="0" xfId="1" applyNumberFormat="1" applyFont="1" applyFill="1">
      <alignment vertical="center"/>
    </xf>
    <xf numFmtId="0" fontId="12" fillId="0" borderId="0" xfId="0" applyFont="1" applyFill="1" applyAlignment="1">
      <alignment horizontal="center" vertical="center"/>
    </xf>
  </cellXfs>
  <cellStyles count="3">
    <cellStyle name="강조색1" xfId="2" builtinId="29"/>
    <cellStyle name="백분율" xfId="1" builtinId="5"/>
    <cellStyle name="표준" xfId="0" builtinId="0"/>
  </cellStyles>
  <dxfs count="9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FF93"/>
      <color rgb="FF4E79C6"/>
      <color rgb="FFF97B7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Margin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Sheet1!$F$3</c:f>
              <c:strCache>
                <c:ptCount val="1"/>
                <c:pt idx="0">
                  <c:v>TMARGIN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50</c:v>
                </c:pt>
                <c:pt idx="3">
                  <c:v>150</c:v>
                </c:pt>
                <c:pt idx="4">
                  <c:v>300</c:v>
                </c:pt>
                <c:pt idx="5">
                  <c:v>550</c:v>
                </c:pt>
                <c:pt idx="6">
                  <c:v>900</c:v>
                </c:pt>
                <c:pt idx="7">
                  <c:v>1400</c:v>
                </c:pt>
                <c:pt idx="8">
                  <c:v>2100</c:v>
                </c:pt>
                <c:pt idx="9">
                  <c:v>3000</c:v>
                </c:pt>
                <c:pt idx="10">
                  <c:v>4150</c:v>
                </c:pt>
                <c:pt idx="11">
                  <c:v>5600</c:v>
                </c:pt>
                <c:pt idx="12">
                  <c:v>7350</c:v>
                </c:pt>
                <c:pt idx="13">
                  <c:v>9450</c:v>
                </c:pt>
                <c:pt idx="14">
                  <c:v>11950</c:v>
                </c:pt>
                <c:pt idx="15">
                  <c:v>14850</c:v>
                </c:pt>
                <c:pt idx="16">
                  <c:v>18200</c:v>
                </c:pt>
                <c:pt idx="17">
                  <c:v>22050</c:v>
                </c:pt>
                <c:pt idx="18">
                  <c:v>26400</c:v>
                </c:pt>
                <c:pt idx="19">
                  <c:v>31300</c:v>
                </c:pt>
                <c:pt idx="20">
                  <c:v>0</c:v>
                </c:pt>
                <c:pt idx="21">
                  <c:v>65700</c:v>
                </c:pt>
                <c:pt idx="22">
                  <c:v>37000</c:v>
                </c:pt>
                <c:pt idx="23">
                  <c:v>43700</c:v>
                </c:pt>
                <c:pt idx="24">
                  <c:v>51400</c:v>
                </c:pt>
                <c:pt idx="25">
                  <c:v>60200</c:v>
                </c:pt>
                <c:pt idx="26">
                  <c:v>70200</c:v>
                </c:pt>
                <c:pt idx="27">
                  <c:v>81400</c:v>
                </c:pt>
                <c:pt idx="28">
                  <c:v>93900</c:v>
                </c:pt>
                <c:pt idx="29">
                  <c:v>107800</c:v>
                </c:pt>
                <c:pt idx="30">
                  <c:v>123100</c:v>
                </c:pt>
                <c:pt idx="31">
                  <c:v>139900</c:v>
                </c:pt>
                <c:pt idx="32">
                  <c:v>158300</c:v>
                </c:pt>
                <c:pt idx="33">
                  <c:v>178300</c:v>
                </c:pt>
                <c:pt idx="34">
                  <c:v>200000</c:v>
                </c:pt>
                <c:pt idx="35">
                  <c:v>223500</c:v>
                </c:pt>
                <c:pt idx="36">
                  <c:v>248800</c:v>
                </c:pt>
                <c:pt idx="37">
                  <c:v>276000</c:v>
                </c:pt>
                <c:pt idx="38">
                  <c:v>305200</c:v>
                </c:pt>
                <c:pt idx="39">
                  <c:v>336400</c:v>
                </c:pt>
                <c:pt idx="40">
                  <c:v>0</c:v>
                </c:pt>
                <c:pt idx="41">
                  <c:v>600200</c:v>
                </c:pt>
                <c:pt idx="42">
                  <c:v>370100</c:v>
                </c:pt>
                <c:pt idx="43">
                  <c:v>406900</c:v>
                </c:pt>
                <c:pt idx="44">
                  <c:v>447000</c:v>
                </c:pt>
                <c:pt idx="45">
                  <c:v>490600</c:v>
                </c:pt>
                <c:pt idx="46">
                  <c:v>537900</c:v>
                </c:pt>
                <c:pt idx="47">
                  <c:v>589100</c:v>
                </c:pt>
                <c:pt idx="48">
                  <c:v>644400</c:v>
                </c:pt>
                <c:pt idx="49">
                  <c:v>704000</c:v>
                </c:pt>
                <c:pt idx="50">
                  <c:v>768100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C1-4A1A-A6BF-CAA57A390BBC}"/>
            </c:ext>
          </c:extLst>
        </c:ser>
        <c:ser>
          <c:idx val="1"/>
          <c:order val="1"/>
          <c:tx>
            <c:strRef>
              <c:f>Sheet1!$G$3</c:f>
              <c:strCache>
                <c:ptCount val="1"/>
                <c:pt idx="0">
                  <c:v>totalmargin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50</c:v>
                </c:pt>
                <c:pt idx="3">
                  <c:v>200</c:v>
                </c:pt>
                <c:pt idx="4">
                  <c:v>500</c:v>
                </c:pt>
                <c:pt idx="5">
                  <c:v>1050</c:v>
                </c:pt>
                <c:pt idx="6">
                  <c:v>1950</c:v>
                </c:pt>
                <c:pt idx="7">
                  <c:v>3350</c:v>
                </c:pt>
                <c:pt idx="8">
                  <c:v>5450</c:v>
                </c:pt>
                <c:pt idx="9">
                  <c:v>8450</c:v>
                </c:pt>
                <c:pt idx="10">
                  <c:v>12600</c:v>
                </c:pt>
                <c:pt idx="11">
                  <c:v>18200</c:v>
                </c:pt>
                <c:pt idx="12">
                  <c:v>25550</c:v>
                </c:pt>
                <c:pt idx="13">
                  <c:v>35000</c:v>
                </c:pt>
                <c:pt idx="14">
                  <c:v>46950</c:v>
                </c:pt>
                <c:pt idx="15">
                  <c:v>61800</c:v>
                </c:pt>
                <c:pt idx="16">
                  <c:v>80000</c:v>
                </c:pt>
                <c:pt idx="17">
                  <c:v>102050</c:v>
                </c:pt>
                <c:pt idx="18">
                  <c:v>128450</c:v>
                </c:pt>
                <c:pt idx="19">
                  <c:v>159750</c:v>
                </c:pt>
                <c:pt idx="20">
                  <c:v>0</c:v>
                </c:pt>
                <c:pt idx="21">
                  <c:v>225450</c:v>
                </c:pt>
                <c:pt idx="22">
                  <c:v>262450</c:v>
                </c:pt>
                <c:pt idx="23">
                  <c:v>306150</c:v>
                </c:pt>
                <c:pt idx="24">
                  <c:v>357550</c:v>
                </c:pt>
                <c:pt idx="25">
                  <c:v>417750</c:v>
                </c:pt>
                <c:pt idx="26">
                  <c:v>487950</c:v>
                </c:pt>
                <c:pt idx="27">
                  <c:v>569350</c:v>
                </c:pt>
                <c:pt idx="28">
                  <c:v>663250</c:v>
                </c:pt>
                <c:pt idx="29">
                  <c:v>771050</c:v>
                </c:pt>
                <c:pt idx="30">
                  <c:v>894150</c:v>
                </c:pt>
                <c:pt idx="31">
                  <c:v>1034050</c:v>
                </c:pt>
                <c:pt idx="32">
                  <c:v>1192350</c:v>
                </c:pt>
                <c:pt idx="33">
                  <c:v>1370650</c:v>
                </c:pt>
                <c:pt idx="34">
                  <c:v>1570650</c:v>
                </c:pt>
                <c:pt idx="35">
                  <c:v>1794150</c:v>
                </c:pt>
                <c:pt idx="36">
                  <c:v>2042950</c:v>
                </c:pt>
                <c:pt idx="37">
                  <c:v>2318950</c:v>
                </c:pt>
                <c:pt idx="38">
                  <c:v>2624150</c:v>
                </c:pt>
                <c:pt idx="39">
                  <c:v>2960550</c:v>
                </c:pt>
                <c:pt idx="40">
                  <c:v>0</c:v>
                </c:pt>
                <c:pt idx="41">
                  <c:v>3560750</c:v>
                </c:pt>
                <c:pt idx="42">
                  <c:v>3930850</c:v>
                </c:pt>
                <c:pt idx="43">
                  <c:v>4337750</c:v>
                </c:pt>
                <c:pt idx="44">
                  <c:v>4784750</c:v>
                </c:pt>
                <c:pt idx="45">
                  <c:v>5275350</c:v>
                </c:pt>
                <c:pt idx="46">
                  <c:v>5813250</c:v>
                </c:pt>
                <c:pt idx="47">
                  <c:v>6402350</c:v>
                </c:pt>
                <c:pt idx="48">
                  <c:v>7046750</c:v>
                </c:pt>
                <c:pt idx="49">
                  <c:v>7750750</c:v>
                </c:pt>
                <c:pt idx="50">
                  <c:v>8518850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C1-4A1A-A6BF-CAA57A390B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4339791"/>
        <c:axId val="75294255"/>
      </c:lineChart>
      <c:catAx>
        <c:axId val="3043397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5294255"/>
        <c:crosses val="autoZero"/>
        <c:auto val="1"/>
        <c:lblAlgn val="ctr"/>
        <c:lblOffset val="100"/>
        <c:noMultiLvlLbl val="0"/>
      </c:catAx>
      <c:valAx>
        <c:axId val="75294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04339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성공 확률</a:t>
            </a:r>
            <a:endParaRPr lang="en-US" alt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Sheet1!$L$4:$L$54</c:f>
              <c:numCache>
                <c:formatCode>0.0%</c:formatCode>
                <c:ptCount val="51"/>
                <c:pt idx="0">
                  <c:v>1</c:v>
                </c:pt>
                <c:pt idx="1">
                  <c:v>0.98220640569395012</c:v>
                </c:pt>
                <c:pt idx="2">
                  <c:v>0.965034965034965</c:v>
                </c:pt>
                <c:pt idx="3">
                  <c:v>0.94845360824742264</c:v>
                </c:pt>
                <c:pt idx="4">
                  <c:v>0.93243243243243246</c:v>
                </c:pt>
                <c:pt idx="5">
                  <c:v>0.9169435215946844</c:v>
                </c:pt>
                <c:pt idx="6">
                  <c:v>0.90196078431372551</c:v>
                </c:pt>
                <c:pt idx="7">
                  <c:v>0.887459807073955</c:v>
                </c:pt>
                <c:pt idx="8">
                  <c:v>0.87341772151898733</c:v>
                </c:pt>
                <c:pt idx="9">
                  <c:v>0.85981308411214952</c:v>
                </c:pt>
                <c:pt idx="10">
                  <c:v>0.84662576687116564</c:v>
                </c:pt>
                <c:pt idx="11">
                  <c:v>0.83383685800604235</c:v>
                </c:pt>
                <c:pt idx="12">
                  <c:v>0.8214285714285714</c:v>
                </c:pt>
                <c:pt idx="13">
                  <c:v>0.80938416422287385</c:v>
                </c:pt>
                <c:pt idx="14">
                  <c:v>0.79768786127167635</c:v>
                </c:pt>
                <c:pt idx="15">
                  <c:v>0.78632478632478631</c:v>
                </c:pt>
                <c:pt idx="16">
                  <c:v>0.7752808988764045</c:v>
                </c:pt>
                <c:pt idx="17">
                  <c:v>0.76454293628808867</c:v>
                </c:pt>
                <c:pt idx="18">
                  <c:v>0.75409836065573765</c:v>
                </c:pt>
                <c:pt idx="19">
                  <c:v>0.7439353099730458</c:v>
                </c:pt>
                <c:pt idx="20">
                  <c:v>0.7</c:v>
                </c:pt>
                <c:pt idx="21">
                  <c:v>0.72440944881889768</c:v>
                </c:pt>
                <c:pt idx="22">
                  <c:v>0.71502590673575128</c:v>
                </c:pt>
                <c:pt idx="23">
                  <c:v>0.70588235294117652</c:v>
                </c:pt>
                <c:pt idx="24">
                  <c:v>0.69696969696969702</c:v>
                </c:pt>
                <c:pt idx="25">
                  <c:v>0.6882793017456359</c:v>
                </c:pt>
                <c:pt idx="26">
                  <c:v>0.67980295566502458</c:v>
                </c:pt>
                <c:pt idx="27">
                  <c:v>0.67153284671532842</c:v>
                </c:pt>
                <c:pt idx="28">
                  <c:v>0.66346153846153844</c:v>
                </c:pt>
                <c:pt idx="29">
                  <c:v>0.6555819477434679</c:v>
                </c:pt>
                <c:pt idx="30">
                  <c:v>0.647887323943662</c:v>
                </c:pt>
                <c:pt idx="31">
                  <c:v>0.6403712296983759</c:v>
                </c:pt>
                <c:pt idx="32">
                  <c:v>0.6330275229357798</c:v>
                </c:pt>
                <c:pt idx="33">
                  <c:v>0.62585034013605445</c:v>
                </c:pt>
                <c:pt idx="34">
                  <c:v>0.6188340807174888</c:v>
                </c:pt>
                <c:pt idx="35">
                  <c:v>0.61197339246119731</c:v>
                </c:pt>
                <c:pt idx="36">
                  <c:v>0.60526315789473684</c:v>
                </c:pt>
                <c:pt idx="37">
                  <c:v>0.59869848156182215</c:v>
                </c:pt>
                <c:pt idx="38">
                  <c:v>0.59227467811158796</c:v>
                </c:pt>
                <c:pt idx="39">
                  <c:v>0.5859872611464968</c:v>
                </c:pt>
                <c:pt idx="40">
                  <c:v>0.5</c:v>
                </c:pt>
                <c:pt idx="41">
                  <c:v>0.5679012345679012</c:v>
                </c:pt>
                <c:pt idx="42">
                  <c:v>0.55645161290322576</c:v>
                </c:pt>
                <c:pt idx="43">
                  <c:v>0.54545454545454541</c:v>
                </c:pt>
                <c:pt idx="44">
                  <c:v>0.53488372093023251</c:v>
                </c:pt>
                <c:pt idx="45">
                  <c:v>0.52471482889733845</c:v>
                </c:pt>
                <c:pt idx="46">
                  <c:v>0.5149253731343284</c:v>
                </c:pt>
                <c:pt idx="47">
                  <c:v>0.50549450549450547</c:v>
                </c:pt>
                <c:pt idx="48">
                  <c:v>0.49640287769784175</c:v>
                </c:pt>
                <c:pt idx="49">
                  <c:v>0.48763250883392228</c:v>
                </c:pt>
                <c:pt idx="50">
                  <c:v>0.47916666666666669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61-4CA7-9F35-25ABDF5C1B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6566895"/>
        <c:axId val="356993071"/>
      </c:lineChart>
      <c:catAx>
        <c:axId val="3565668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56993071"/>
        <c:crosses val="autoZero"/>
        <c:auto val="1"/>
        <c:lblAlgn val="ctr"/>
        <c:lblOffset val="100"/>
        <c:noMultiLvlLbl val="0"/>
      </c:catAx>
      <c:valAx>
        <c:axId val="356993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565668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TotalSS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Sheet1!$N$4:$N$54</c:f>
              <c:numCache>
                <c:formatCode>General</c:formatCode>
                <c:ptCount val="51"/>
                <c:pt idx="0">
                  <c:v>0</c:v>
                </c:pt>
                <c:pt idx="1">
                  <c:v>4</c:v>
                </c:pt>
                <c:pt idx="2">
                  <c:v>10</c:v>
                </c:pt>
                <c:pt idx="3">
                  <c:v>18</c:v>
                </c:pt>
                <c:pt idx="4">
                  <c:v>28</c:v>
                </c:pt>
                <c:pt idx="5">
                  <c:v>40</c:v>
                </c:pt>
                <c:pt idx="6">
                  <c:v>54</c:v>
                </c:pt>
                <c:pt idx="7">
                  <c:v>70</c:v>
                </c:pt>
                <c:pt idx="8">
                  <c:v>88</c:v>
                </c:pt>
                <c:pt idx="9">
                  <c:v>108</c:v>
                </c:pt>
                <c:pt idx="10">
                  <c:v>133</c:v>
                </c:pt>
                <c:pt idx="11">
                  <c:v>163</c:v>
                </c:pt>
                <c:pt idx="12">
                  <c:v>198</c:v>
                </c:pt>
                <c:pt idx="13">
                  <c:v>238</c:v>
                </c:pt>
                <c:pt idx="14">
                  <c:v>283</c:v>
                </c:pt>
                <c:pt idx="15">
                  <c:v>333</c:v>
                </c:pt>
                <c:pt idx="16">
                  <c:v>388</c:v>
                </c:pt>
                <c:pt idx="17">
                  <c:v>448</c:v>
                </c:pt>
                <c:pt idx="18">
                  <c:v>513</c:v>
                </c:pt>
                <c:pt idx="19">
                  <c:v>583</c:v>
                </c:pt>
                <c:pt idx="20">
                  <c:v>683</c:v>
                </c:pt>
                <c:pt idx="21">
                  <c:v>793</c:v>
                </c:pt>
                <c:pt idx="22">
                  <c:v>913</c:v>
                </c:pt>
                <c:pt idx="23">
                  <c:v>1043</c:v>
                </c:pt>
                <c:pt idx="24">
                  <c:v>1183</c:v>
                </c:pt>
                <c:pt idx="25">
                  <c:v>1333</c:v>
                </c:pt>
                <c:pt idx="26">
                  <c:v>1493</c:v>
                </c:pt>
                <c:pt idx="27">
                  <c:v>1663</c:v>
                </c:pt>
                <c:pt idx="28">
                  <c:v>1843</c:v>
                </c:pt>
                <c:pt idx="29">
                  <c:v>2033</c:v>
                </c:pt>
                <c:pt idx="30">
                  <c:v>2233</c:v>
                </c:pt>
                <c:pt idx="31">
                  <c:v>2453</c:v>
                </c:pt>
                <c:pt idx="32">
                  <c:v>2693</c:v>
                </c:pt>
                <c:pt idx="33">
                  <c:v>2953</c:v>
                </c:pt>
                <c:pt idx="34">
                  <c:v>3233</c:v>
                </c:pt>
                <c:pt idx="35">
                  <c:v>3533</c:v>
                </c:pt>
                <c:pt idx="36">
                  <c:v>3853</c:v>
                </c:pt>
                <c:pt idx="37">
                  <c:v>4193</c:v>
                </c:pt>
                <c:pt idx="38">
                  <c:v>4553</c:v>
                </c:pt>
                <c:pt idx="39">
                  <c:v>4933</c:v>
                </c:pt>
                <c:pt idx="40">
                  <c:v>5433</c:v>
                </c:pt>
                <c:pt idx="41">
                  <c:v>5983</c:v>
                </c:pt>
                <c:pt idx="42">
                  <c:v>6583</c:v>
                </c:pt>
                <c:pt idx="43">
                  <c:v>7233</c:v>
                </c:pt>
                <c:pt idx="44">
                  <c:v>7933</c:v>
                </c:pt>
                <c:pt idx="45">
                  <c:v>8683</c:v>
                </c:pt>
                <c:pt idx="46">
                  <c:v>9483</c:v>
                </c:pt>
                <c:pt idx="47">
                  <c:v>10333</c:v>
                </c:pt>
                <c:pt idx="48">
                  <c:v>11233</c:v>
                </c:pt>
                <c:pt idx="49">
                  <c:v>12183</c:v>
                </c:pt>
                <c:pt idx="50">
                  <c:v>13183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35-4280-BD18-5ACE95AE4D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058575"/>
        <c:axId val="235731423"/>
      </c:lineChart>
      <c:catAx>
        <c:axId val="1150585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35731423"/>
        <c:crosses val="autoZero"/>
        <c:auto val="1"/>
        <c:lblAlgn val="ctr"/>
        <c:lblOffset val="100"/>
        <c:noMultiLvlLbl val="0"/>
      </c:catAx>
      <c:valAx>
        <c:axId val="235731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50585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609222</xdr:colOff>
      <xdr:row>27</xdr:row>
      <xdr:rowOff>138155</xdr:rowOff>
    </xdr:from>
    <xdr:to>
      <xdr:col>23</xdr:col>
      <xdr:colOff>491700</xdr:colOff>
      <xdr:row>39</xdr:row>
      <xdr:rowOff>224096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1F840A0F-DA46-4099-AE78-647F48494D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581567</xdr:colOff>
      <xdr:row>15</xdr:row>
      <xdr:rowOff>58235</xdr:rowOff>
    </xdr:from>
    <xdr:to>
      <xdr:col>23</xdr:col>
      <xdr:colOff>447096</xdr:colOff>
      <xdr:row>27</xdr:row>
      <xdr:rowOff>112024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C63E6218-F522-4198-BEE8-DC4479CF1F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14052</xdr:colOff>
      <xdr:row>37</xdr:row>
      <xdr:rowOff>212699</xdr:rowOff>
    </xdr:from>
    <xdr:to>
      <xdr:col>23</xdr:col>
      <xdr:colOff>601740</xdr:colOff>
      <xdr:row>50</xdr:row>
      <xdr:rowOff>125614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0F26295D-C195-4311-A973-C2B97441D6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FF258-7648-4ED0-AA06-DFEB56F203C0}">
  <dimension ref="C2:AO54"/>
  <sheetViews>
    <sheetView tabSelected="1" topLeftCell="L9" zoomScale="71" zoomScaleNormal="85" workbookViewId="0">
      <selection activeCell="AA27" sqref="AA27"/>
    </sheetView>
  </sheetViews>
  <sheetFormatPr defaultRowHeight="17.399999999999999" x14ac:dyDescent="0.4"/>
  <cols>
    <col min="4" max="5" width="8.8984375" bestFit="1" customWidth="1"/>
    <col min="6" max="6" width="9.8984375" bestFit="1" customWidth="1"/>
    <col min="7" max="7" width="8.8984375" bestFit="1" customWidth="1"/>
    <col min="8" max="9" width="9.8984375" bestFit="1" customWidth="1"/>
    <col min="10" max="12" width="8.8984375" bestFit="1" customWidth="1"/>
  </cols>
  <sheetData>
    <row r="2" spans="3:41" x14ac:dyDescent="0.4">
      <c r="R2" t="s">
        <v>19</v>
      </c>
      <c r="U2" t="s">
        <v>35</v>
      </c>
    </row>
    <row r="3" spans="3:41" x14ac:dyDescent="0.4">
      <c r="C3" s="1" t="s">
        <v>5</v>
      </c>
      <c r="D3" s="3" t="s">
        <v>1</v>
      </c>
      <c r="E3" s="4" t="s">
        <v>0</v>
      </c>
      <c r="F3" s="5" t="s">
        <v>3</v>
      </c>
      <c r="G3" s="5" t="s">
        <v>4</v>
      </c>
      <c r="H3" s="5" t="s">
        <v>6</v>
      </c>
      <c r="I3" s="5" t="s">
        <v>7</v>
      </c>
      <c r="J3" t="s">
        <v>13</v>
      </c>
      <c r="K3" s="5" t="s">
        <v>11</v>
      </c>
      <c r="L3" s="13" t="s">
        <v>9</v>
      </c>
      <c r="M3" s="9" t="s">
        <v>20</v>
      </c>
      <c r="N3" s="5" t="s">
        <v>21</v>
      </c>
      <c r="O3" s="5" t="s">
        <v>22</v>
      </c>
      <c r="P3" s="5" t="s">
        <v>23</v>
      </c>
      <c r="R3" s="5" t="s">
        <v>10</v>
      </c>
      <c r="S3" s="1" t="s">
        <v>2</v>
      </c>
      <c r="U3" t="s">
        <v>34</v>
      </c>
      <c r="Z3" s="1" t="s">
        <v>5</v>
      </c>
      <c r="AA3" s="3" t="s">
        <v>24</v>
      </c>
      <c r="AB3" t="s">
        <v>29</v>
      </c>
      <c r="AC3" s="4" t="s">
        <v>25</v>
      </c>
      <c r="AD3" s="5" t="s">
        <v>26</v>
      </c>
      <c r="AE3" s="16" t="s">
        <v>30</v>
      </c>
      <c r="AF3" s="1" t="s">
        <v>31</v>
      </c>
      <c r="AJ3" s="9"/>
      <c r="AK3" s="5"/>
      <c r="AL3" s="1" t="s">
        <v>5</v>
      </c>
      <c r="AM3" s="3" t="s">
        <v>24</v>
      </c>
      <c r="AN3" s="4" t="s">
        <v>27</v>
      </c>
      <c r="AO3" s="5" t="s">
        <v>28</v>
      </c>
    </row>
    <row r="4" spans="3:41" x14ac:dyDescent="0.4">
      <c r="C4" s="2">
        <v>0</v>
      </c>
      <c r="D4" s="1">
        <v>50</v>
      </c>
      <c r="E4" s="1">
        <v>0</v>
      </c>
      <c r="F4" s="1">
        <v>0</v>
      </c>
      <c r="G4" s="1">
        <v>0</v>
      </c>
      <c r="H4" s="4">
        <v>0</v>
      </c>
      <c r="I4" s="4">
        <v>0</v>
      </c>
      <c r="J4">
        <v>200</v>
      </c>
      <c r="K4">
        <f t="shared" ref="K4:K23" si="0">$J4-$S$7+$R$7</f>
        <v>552</v>
      </c>
      <c r="L4" s="14">
        <f t="shared" ref="L4:L23" si="1">IF($R$4+$R$7&gt;=$K4,100%,($R$4+$R$7)/$K4)</f>
        <v>1</v>
      </c>
      <c r="M4">
        <v>2</v>
      </c>
      <c r="N4">
        <v>0</v>
      </c>
      <c r="O4">
        <v>0</v>
      </c>
      <c r="P4">
        <v>0</v>
      </c>
      <c r="R4">
        <v>200</v>
      </c>
      <c r="S4">
        <v>1000</v>
      </c>
      <c r="U4">
        <v>100</v>
      </c>
      <c r="Z4" s="2">
        <v>0</v>
      </c>
      <c r="AA4" s="1">
        <v>50000</v>
      </c>
      <c r="AB4">
        <v>0</v>
      </c>
      <c r="AC4" s="1">
        <v>32</v>
      </c>
      <c r="AD4" s="1">
        <v>0</v>
      </c>
      <c r="AE4" s="1">
        <v>1</v>
      </c>
      <c r="AF4" s="1">
        <v>0</v>
      </c>
      <c r="AL4" s="2">
        <v>0</v>
      </c>
      <c r="AM4" s="1">
        <v>5000</v>
      </c>
      <c r="AN4" s="1">
        <v>16</v>
      </c>
      <c r="AO4" s="1">
        <v>0</v>
      </c>
    </row>
    <row r="5" spans="3:41" x14ac:dyDescent="0.4">
      <c r="C5" s="2">
        <f t="shared" ref="C5:C29" si="2">C4+1</f>
        <v>1</v>
      </c>
      <c r="D5" s="1">
        <v>100</v>
      </c>
      <c r="E5" s="1">
        <f>50*(100+$U$7)/100</f>
        <v>50</v>
      </c>
      <c r="F5" s="1">
        <f t="shared" ref="F5:F23" si="3">E5-D4-E4</f>
        <v>0</v>
      </c>
      <c r="G5" s="1">
        <f t="shared" ref="G5:G23" si="4">F5+G4</f>
        <v>0</v>
      </c>
      <c r="H5" s="1">
        <f t="shared" ref="H5:H23" si="5">F5-F4</f>
        <v>0</v>
      </c>
      <c r="I5" s="1">
        <v>0</v>
      </c>
      <c r="J5">
        <v>210</v>
      </c>
      <c r="K5">
        <f t="shared" si="0"/>
        <v>562</v>
      </c>
      <c r="L5" s="14">
        <f t="shared" si="1"/>
        <v>0.98220640569395012</v>
      </c>
      <c r="M5">
        <v>4</v>
      </c>
      <c r="N5">
        <f t="shared" ref="N5:N36" si="6">$M5+$N4</f>
        <v>4</v>
      </c>
      <c r="O5">
        <f t="shared" ref="O5:O36" si="7">$C5*$C5*2</f>
        <v>2</v>
      </c>
      <c r="P5">
        <f t="shared" ref="P5:P36" si="8">$O5-O4</f>
        <v>2</v>
      </c>
      <c r="Z5" s="2">
        <f t="shared" ref="Z5:Z24" si="9">Z4+1</f>
        <v>1</v>
      </c>
      <c r="AA5" s="1">
        <v>100000</v>
      </c>
      <c r="AB5">
        <f t="shared" ref="AB5:AB23" si="10">$AA5-$AA4</f>
        <v>50000</v>
      </c>
      <c r="AC5" s="1">
        <v>32</v>
      </c>
      <c r="AD5" s="1">
        <f t="shared" ref="AD5:AD24" si="11">$AC4+$AD4</f>
        <v>32</v>
      </c>
      <c r="AE5" s="1">
        <v>2</v>
      </c>
      <c r="AF5" s="1">
        <f t="shared" ref="AF5:AF24" si="12">$AF4+$AE4</f>
        <v>1</v>
      </c>
      <c r="AL5" s="2">
        <f t="shared" ref="AL5:AL24" si="13">AL4+1</f>
        <v>1</v>
      </c>
      <c r="AM5" s="1">
        <v>100000</v>
      </c>
      <c r="AN5" s="1">
        <v>16</v>
      </c>
      <c r="AO5" s="1">
        <f t="shared" ref="AO5:AO24" si="14">$AN5+$AO4</f>
        <v>16</v>
      </c>
    </row>
    <row r="6" spans="3:41" x14ac:dyDescent="0.4">
      <c r="C6" s="2">
        <f t="shared" si="2"/>
        <v>2</v>
      </c>
      <c r="D6" s="1">
        <v>150</v>
      </c>
      <c r="E6" s="1">
        <f>200*(100+$U$7)/100</f>
        <v>200</v>
      </c>
      <c r="F6" s="1">
        <f>E6-D5-E5</f>
        <v>50</v>
      </c>
      <c r="G6" s="1">
        <f t="shared" si="4"/>
        <v>50</v>
      </c>
      <c r="H6" s="1">
        <f t="shared" si="5"/>
        <v>50</v>
      </c>
      <c r="I6" s="1">
        <f t="shared" ref="I6:I23" si="15">H6-H5-I5</f>
        <v>50</v>
      </c>
      <c r="J6">
        <v>220</v>
      </c>
      <c r="K6">
        <f t="shared" si="0"/>
        <v>572</v>
      </c>
      <c r="L6" s="14">
        <f t="shared" si="1"/>
        <v>0.965034965034965</v>
      </c>
      <c r="M6">
        <v>6</v>
      </c>
      <c r="N6">
        <f t="shared" si="6"/>
        <v>10</v>
      </c>
      <c r="O6">
        <f t="shared" si="7"/>
        <v>8</v>
      </c>
      <c r="P6">
        <f t="shared" si="8"/>
        <v>6</v>
      </c>
      <c r="R6" s="8" t="s">
        <v>16</v>
      </c>
      <c r="S6" t="s">
        <v>12</v>
      </c>
      <c r="U6" s="1" t="s">
        <v>32</v>
      </c>
      <c r="Z6" s="2">
        <f t="shared" si="9"/>
        <v>2</v>
      </c>
      <c r="AA6" s="1">
        <v>150000</v>
      </c>
      <c r="AB6">
        <f t="shared" si="10"/>
        <v>50000</v>
      </c>
      <c r="AC6" s="1">
        <v>32</v>
      </c>
      <c r="AD6" s="1">
        <f t="shared" si="11"/>
        <v>64</v>
      </c>
      <c r="AE6" s="1">
        <v>3</v>
      </c>
      <c r="AF6" s="1">
        <f t="shared" si="12"/>
        <v>3</v>
      </c>
      <c r="AL6" s="2">
        <f t="shared" si="13"/>
        <v>2</v>
      </c>
      <c r="AM6" s="1">
        <v>150000</v>
      </c>
      <c r="AN6" s="1">
        <v>16</v>
      </c>
      <c r="AO6" s="1">
        <f t="shared" si="14"/>
        <v>32</v>
      </c>
    </row>
    <row r="7" spans="3:41" x14ac:dyDescent="0.4">
      <c r="C7" s="2">
        <f t="shared" si="2"/>
        <v>3</v>
      </c>
      <c r="D7" s="1">
        <v>200</v>
      </c>
      <c r="E7" s="1">
        <f>500*(100+$U$7)/100</f>
        <v>500</v>
      </c>
      <c r="F7" s="1">
        <f t="shared" si="3"/>
        <v>150</v>
      </c>
      <c r="G7" s="1">
        <f t="shared" si="4"/>
        <v>200</v>
      </c>
      <c r="H7" s="1">
        <f t="shared" si="5"/>
        <v>100</v>
      </c>
      <c r="I7" s="1">
        <f t="shared" si="15"/>
        <v>0</v>
      </c>
      <c r="J7">
        <v>230</v>
      </c>
      <c r="K7">
        <f t="shared" si="0"/>
        <v>582</v>
      </c>
      <c r="L7" s="14">
        <f t="shared" si="1"/>
        <v>0.94845360824742264</v>
      </c>
      <c r="M7">
        <v>8</v>
      </c>
      <c r="N7">
        <f t="shared" si="6"/>
        <v>18</v>
      </c>
      <c r="O7">
        <f t="shared" si="7"/>
        <v>18</v>
      </c>
      <c r="P7">
        <f t="shared" si="8"/>
        <v>10</v>
      </c>
      <c r="R7">
        <f>INDEX(Z4:AF24,MATCH($R$11, $Z4:$Z24), 5)</f>
        <v>352</v>
      </c>
      <c r="S7">
        <f>INDEX(AL4:AO24,MATCH($R$14, $AL4:$AL24), 4)</f>
        <v>0</v>
      </c>
      <c r="U7">
        <f>INDEX(Z4:AF24,MATCH($S$11, $Z4:$Z24), 7)</f>
        <v>0</v>
      </c>
      <c r="Z7" s="2">
        <f t="shared" si="9"/>
        <v>3</v>
      </c>
      <c r="AA7" s="1">
        <v>230000</v>
      </c>
      <c r="AB7">
        <f t="shared" si="10"/>
        <v>80000</v>
      </c>
      <c r="AC7" s="1">
        <v>32</v>
      </c>
      <c r="AD7" s="1">
        <f t="shared" si="11"/>
        <v>96</v>
      </c>
      <c r="AE7" s="1">
        <v>4</v>
      </c>
      <c r="AF7" s="1">
        <f t="shared" si="12"/>
        <v>6</v>
      </c>
      <c r="AL7" s="2">
        <f t="shared" si="13"/>
        <v>3</v>
      </c>
      <c r="AM7" s="1">
        <v>210000</v>
      </c>
      <c r="AN7" s="1">
        <v>16</v>
      </c>
      <c r="AO7" s="1">
        <f t="shared" si="14"/>
        <v>48</v>
      </c>
    </row>
    <row r="8" spans="3:41" x14ac:dyDescent="0.4">
      <c r="C8" s="2">
        <f t="shared" si="2"/>
        <v>4</v>
      </c>
      <c r="D8" s="1">
        <v>250</v>
      </c>
      <c r="E8" s="1">
        <f>1000*(100+$U$7)/100</f>
        <v>1000</v>
      </c>
      <c r="F8" s="1">
        <f t="shared" si="3"/>
        <v>300</v>
      </c>
      <c r="G8" s="1">
        <f t="shared" si="4"/>
        <v>500</v>
      </c>
      <c r="H8" s="1">
        <f t="shared" si="5"/>
        <v>150</v>
      </c>
      <c r="I8" s="1">
        <f t="shared" si="15"/>
        <v>50</v>
      </c>
      <c r="J8">
        <v>240</v>
      </c>
      <c r="K8">
        <f t="shared" si="0"/>
        <v>592</v>
      </c>
      <c r="L8" s="14">
        <f t="shared" si="1"/>
        <v>0.93243243243243246</v>
      </c>
      <c r="M8">
        <v>10</v>
      </c>
      <c r="N8">
        <f t="shared" si="6"/>
        <v>28</v>
      </c>
      <c r="O8">
        <f t="shared" si="7"/>
        <v>32</v>
      </c>
      <c r="P8">
        <f t="shared" si="8"/>
        <v>14</v>
      </c>
      <c r="Z8" s="2">
        <f t="shared" si="9"/>
        <v>4</v>
      </c>
      <c r="AA8" s="1">
        <v>350000</v>
      </c>
      <c r="AB8">
        <f t="shared" si="10"/>
        <v>120000</v>
      </c>
      <c r="AC8" s="1">
        <v>32</v>
      </c>
      <c r="AD8" s="1">
        <f t="shared" si="11"/>
        <v>128</v>
      </c>
      <c r="AE8" s="1">
        <v>5</v>
      </c>
      <c r="AF8" s="1">
        <f t="shared" si="12"/>
        <v>10</v>
      </c>
      <c r="AL8" s="2">
        <f t="shared" si="13"/>
        <v>4</v>
      </c>
      <c r="AM8" s="1">
        <v>300000</v>
      </c>
      <c r="AN8" s="1">
        <v>16</v>
      </c>
      <c r="AO8" s="1">
        <f t="shared" si="14"/>
        <v>64</v>
      </c>
    </row>
    <row r="9" spans="3:41" x14ac:dyDescent="0.4">
      <c r="C9" s="2">
        <f t="shared" si="2"/>
        <v>5</v>
      </c>
      <c r="D9" s="1">
        <v>300</v>
      </c>
      <c r="E9" s="1">
        <f>1800*(100+$U$7)/100</f>
        <v>1800</v>
      </c>
      <c r="F9" s="1">
        <f t="shared" si="3"/>
        <v>550</v>
      </c>
      <c r="G9" s="1">
        <f t="shared" si="4"/>
        <v>1050</v>
      </c>
      <c r="H9" s="1">
        <f t="shared" si="5"/>
        <v>250</v>
      </c>
      <c r="I9" s="1">
        <f t="shared" si="15"/>
        <v>50</v>
      </c>
      <c r="J9">
        <v>250</v>
      </c>
      <c r="K9">
        <f t="shared" si="0"/>
        <v>602</v>
      </c>
      <c r="L9" s="14">
        <f t="shared" si="1"/>
        <v>0.9169435215946844</v>
      </c>
      <c r="M9">
        <v>12</v>
      </c>
      <c r="N9">
        <f t="shared" si="6"/>
        <v>40</v>
      </c>
      <c r="O9">
        <f t="shared" si="7"/>
        <v>50</v>
      </c>
      <c r="P9">
        <f t="shared" si="8"/>
        <v>18</v>
      </c>
      <c r="Z9" s="2">
        <f t="shared" si="9"/>
        <v>5</v>
      </c>
      <c r="AA9" s="1">
        <v>530000</v>
      </c>
      <c r="AB9">
        <f t="shared" si="10"/>
        <v>180000</v>
      </c>
      <c r="AC9" s="1">
        <v>32</v>
      </c>
      <c r="AD9" s="1">
        <f t="shared" si="11"/>
        <v>160</v>
      </c>
      <c r="AE9" s="1">
        <v>6</v>
      </c>
      <c r="AF9" s="1">
        <f t="shared" si="12"/>
        <v>15</v>
      </c>
      <c r="AL9" s="2">
        <f t="shared" si="13"/>
        <v>5</v>
      </c>
      <c r="AM9" s="1">
        <v>420000</v>
      </c>
      <c r="AN9" s="1">
        <v>16</v>
      </c>
      <c r="AO9" s="1">
        <f t="shared" si="14"/>
        <v>80</v>
      </c>
    </row>
    <row r="10" spans="3:41" x14ac:dyDescent="0.4">
      <c r="C10" s="2">
        <f t="shared" si="2"/>
        <v>6</v>
      </c>
      <c r="D10" s="1">
        <v>400</v>
      </c>
      <c r="E10" s="1">
        <f>3000*(100+$U$7)/100</f>
        <v>3000</v>
      </c>
      <c r="F10" s="1">
        <f t="shared" si="3"/>
        <v>900</v>
      </c>
      <c r="G10" s="1">
        <f t="shared" si="4"/>
        <v>1950</v>
      </c>
      <c r="H10" s="1">
        <f t="shared" si="5"/>
        <v>350</v>
      </c>
      <c r="I10" s="1">
        <f t="shared" si="15"/>
        <v>50</v>
      </c>
      <c r="J10">
        <v>260</v>
      </c>
      <c r="K10">
        <f t="shared" si="0"/>
        <v>612</v>
      </c>
      <c r="L10" s="14">
        <f t="shared" si="1"/>
        <v>0.90196078431372551</v>
      </c>
      <c r="M10">
        <v>14</v>
      </c>
      <c r="N10">
        <f t="shared" si="6"/>
        <v>54</v>
      </c>
      <c r="O10">
        <f t="shared" si="7"/>
        <v>72</v>
      </c>
      <c r="P10">
        <f t="shared" si="8"/>
        <v>22</v>
      </c>
      <c r="R10" t="s">
        <v>17</v>
      </c>
      <c r="S10" t="s">
        <v>33</v>
      </c>
      <c r="Z10" s="2">
        <f t="shared" si="9"/>
        <v>6</v>
      </c>
      <c r="AA10" s="1">
        <v>780000</v>
      </c>
      <c r="AB10">
        <f t="shared" si="10"/>
        <v>250000</v>
      </c>
      <c r="AC10" s="1">
        <v>32</v>
      </c>
      <c r="AD10" s="1">
        <f t="shared" si="11"/>
        <v>192</v>
      </c>
      <c r="AE10" s="1">
        <v>7</v>
      </c>
      <c r="AF10" s="1">
        <f t="shared" si="12"/>
        <v>21</v>
      </c>
      <c r="AL10" s="2">
        <f t="shared" si="13"/>
        <v>6</v>
      </c>
      <c r="AM10" s="1">
        <v>560000</v>
      </c>
      <c r="AN10" s="1">
        <v>16</v>
      </c>
      <c r="AO10" s="1">
        <f t="shared" si="14"/>
        <v>96</v>
      </c>
    </row>
    <row r="11" spans="3:41" x14ac:dyDescent="0.4">
      <c r="C11" s="2">
        <f t="shared" si="2"/>
        <v>7</v>
      </c>
      <c r="D11" s="1">
        <v>500</v>
      </c>
      <c r="E11" s="1">
        <f>4800*(100+$U$7)/100</f>
        <v>4800</v>
      </c>
      <c r="F11" s="1">
        <f t="shared" si="3"/>
        <v>1400</v>
      </c>
      <c r="G11" s="1">
        <f t="shared" si="4"/>
        <v>3350</v>
      </c>
      <c r="H11" s="1">
        <f t="shared" si="5"/>
        <v>500</v>
      </c>
      <c r="I11" s="1">
        <f t="shared" si="15"/>
        <v>100</v>
      </c>
      <c r="J11">
        <v>270</v>
      </c>
      <c r="K11">
        <f t="shared" si="0"/>
        <v>622</v>
      </c>
      <c r="L11" s="14">
        <f t="shared" si="1"/>
        <v>0.887459807073955</v>
      </c>
      <c r="M11">
        <v>16</v>
      </c>
      <c r="N11">
        <f t="shared" si="6"/>
        <v>70</v>
      </c>
      <c r="O11">
        <f t="shared" si="7"/>
        <v>98</v>
      </c>
      <c r="P11">
        <f t="shared" si="8"/>
        <v>26</v>
      </c>
      <c r="R11">
        <v>10</v>
      </c>
      <c r="S11">
        <v>0</v>
      </c>
      <c r="Z11" s="2">
        <f t="shared" si="9"/>
        <v>7</v>
      </c>
      <c r="AA11" s="1">
        <v>1120000</v>
      </c>
      <c r="AB11">
        <f t="shared" si="10"/>
        <v>340000</v>
      </c>
      <c r="AC11" s="1">
        <v>32</v>
      </c>
      <c r="AD11" s="1">
        <f t="shared" si="11"/>
        <v>224</v>
      </c>
      <c r="AE11" s="1">
        <v>8</v>
      </c>
      <c r="AF11" s="1">
        <f t="shared" si="12"/>
        <v>28</v>
      </c>
      <c r="AL11" s="2">
        <f t="shared" si="13"/>
        <v>7</v>
      </c>
      <c r="AM11" s="1">
        <v>500</v>
      </c>
      <c r="AN11" s="1">
        <v>16</v>
      </c>
      <c r="AO11" s="1">
        <f t="shared" si="14"/>
        <v>112</v>
      </c>
    </row>
    <row r="12" spans="3:41" x14ac:dyDescent="0.4">
      <c r="C12" s="2">
        <f t="shared" si="2"/>
        <v>8</v>
      </c>
      <c r="D12" s="1">
        <v>650</v>
      </c>
      <c r="E12" s="1">
        <f>7400*(100+$U$7)/100</f>
        <v>7400</v>
      </c>
      <c r="F12" s="1">
        <f t="shared" si="3"/>
        <v>2100</v>
      </c>
      <c r="G12" s="1">
        <f>F12+G11</f>
        <v>5450</v>
      </c>
      <c r="H12" s="1">
        <f t="shared" si="5"/>
        <v>700</v>
      </c>
      <c r="I12" s="1">
        <f t="shared" si="15"/>
        <v>100</v>
      </c>
      <c r="J12">
        <v>280</v>
      </c>
      <c r="K12">
        <f t="shared" si="0"/>
        <v>632</v>
      </c>
      <c r="L12" s="14">
        <f t="shared" si="1"/>
        <v>0.87341772151898733</v>
      </c>
      <c r="M12">
        <v>18</v>
      </c>
      <c r="N12">
        <f t="shared" si="6"/>
        <v>88</v>
      </c>
      <c r="O12">
        <f t="shared" si="7"/>
        <v>128</v>
      </c>
      <c r="P12">
        <f t="shared" si="8"/>
        <v>30</v>
      </c>
      <c r="Z12" s="2">
        <f t="shared" si="9"/>
        <v>8</v>
      </c>
      <c r="AA12" s="1">
        <v>1520000</v>
      </c>
      <c r="AB12">
        <f t="shared" si="10"/>
        <v>400000</v>
      </c>
      <c r="AC12" s="1">
        <v>32</v>
      </c>
      <c r="AD12" s="1">
        <f t="shared" si="11"/>
        <v>256</v>
      </c>
      <c r="AE12" s="1">
        <v>9</v>
      </c>
      <c r="AF12" s="1">
        <f t="shared" si="12"/>
        <v>36</v>
      </c>
      <c r="AL12" s="2">
        <f t="shared" si="13"/>
        <v>8</v>
      </c>
      <c r="AM12" s="1">
        <v>650</v>
      </c>
      <c r="AN12" s="1">
        <v>16</v>
      </c>
      <c r="AO12" s="1">
        <f t="shared" si="14"/>
        <v>128</v>
      </c>
    </row>
    <row r="13" spans="3:41" x14ac:dyDescent="0.4">
      <c r="C13" s="2">
        <f t="shared" si="2"/>
        <v>9</v>
      </c>
      <c r="D13" s="1">
        <v>800</v>
      </c>
      <c r="E13" s="1">
        <f>11050*(100+$U$7)/100</f>
        <v>11050</v>
      </c>
      <c r="F13" s="1">
        <f t="shared" si="3"/>
        <v>3000</v>
      </c>
      <c r="G13" s="1">
        <f t="shared" si="4"/>
        <v>8450</v>
      </c>
      <c r="H13" s="1">
        <f t="shared" si="5"/>
        <v>900</v>
      </c>
      <c r="I13" s="1">
        <f t="shared" si="15"/>
        <v>100</v>
      </c>
      <c r="J13">
        <v>290</v>
      </c>
      <c r="K13">
        <f t="shared" si="0"/>
        <v>642</v>
      </c>
      <c r="L13" s="14">
        <f t="shared" si="1"/>
        <v>0.85981308411214952</v>
      </c>
      <c r="M13">
        <v>20</v>
      </c>
      <c r="N13">
        <f t="shared" si="6"/>
        <v>108</v>
      </c>
      <c r="O13">
        <f t="shared" si="7"/>
        <v>162</v>
      </c>
      <c r="P13">
        <f t="shared" si="8"/>
        <v>34</v>
      </c>
      <c r="R13" t="s">
        <v>18</v>
      </c>
      <c r="Z13" s="2">
        <f t="shared" si="9"/>
        <v>9</v>
      </c>
      <c r="AA13" s="1">
        <v>800</v>
      </c>
      <c r="AB13">
        <f t="shared" si="10"/>
        <v>-1519200</v>
      </c>
      <c r="AC13" s="1">
        <v>64</v>
      </c>
      <c r="AD13" s="1">
        <f t="shared" si="11"/>
        <v>288</v>
      </c>
      <c r="AE13" s="1">
        <v>10</v>
      </c>
      <c r="AF13" s="1">
        <f t="shared" si="12"/>
        <v>45</v>
      </c>
      <c r="AL13" s="2">
        <f t="shared" si="13"/>
        <v>9</v>
      </c>
      <c r="AM13" s="1">
        <v>800</v>
      </c>
      <c r="AN13" s="1">
        <v>16</v>
      </c>
      <c r="AO13" s="1">
        <f t="shared" si="14"/>
        <v>144</v>
      </c>
    </row>
    <row r="14" spans="3:41" x14ac:dyDescent="0.4">
      <c r="C14" s="2">
        <f t="shared" si="2"/>
        <v>10</v>
      </c>
      <c r="D14" s="1">
        <v>1000</v>
      </c>
      <c r="E14" s="1">
        <f>16000*(100+$U$7)/100</f>
        <v>16000</v>
      </c>
      <c r="F14" s="1">
        <f t="shared" si="3"/>
        <v>4150</v>
      </c>
      <c r="G14" s="1">
        <f t="shared" si="4"/>
        <v>12600</v>
      </c>
      <c r="H14" s="1">
        <f t="shared" si="5"/>
        <v>1150</v>
      </c>
      <c r="I14" s="1">
        <f t="shared" si="15"/>
        <v>150</v>
      </c>
      <c r="J14">
        <v>300</v>
      </c>
      <c r="K14">
        <f t="shared" si="0"/>
        <v>652</v>
      </c>
      <c r="L14" s="14">
        <f t="shared" si="1"/>
        <v>0.84662576687116564</v>
      </c>
      <c r="M14" s="10">
        <v>25</v>
      </c>
      <c r="N14">
        <f t="shared" si="6"/>
        <v>133</v>
      </c>
      <c r="O14">
        <f t="shared" si="7"/>
        <v>200</v>
      </c>
      <c r="P14">
        <f t="shared" si="8"/>
        <v>38</v>
      </c>
      <c r="R14">
        <v>0</v>
      </c>
      <c r="Z14" s="2">
        <f t="shared" si="9"/>
        <v>10</v>
      </c>
      <c r="AA14" s="1">
        <v>1000</v>
      </c>
      <c r="AB14">
        <f t="shared" si="10"/>
        <v>200</v>
      </c>
      <c r="AC14" s="1">
        <v>32</v>
      </c>
      <c r="AD14" s="1">
        <f t="shared" si="11"/>
        <v>352</v>
      </c>
      <c r="AE14" s="1">
        <v>11</v>
      </c>
      <c r="AF14" s="1">
        <f t="shared" si="12"/>
        <v>55</v>
      </c>
      <c r="AJ14" s="11"/>
      <c r="AL14" s="2">
        <f t="shared" si="13"/>
        <v>10</v>
      </c>
      <c r="AM14" s="1">
        <v>1000</v>
      </c>
      <c r="AN14" s="1">
        <v>16</v>
      </c>
      <c r="AO14" s="1">
        <f t="shared" si="14"/>
        <v>160</v>
      </c>
    </row>
    <row r="15" spans="3:41" x14ac:dyDescent="0.4">
      <c r="C15" s="2">
        <f t="shared" si="2"/>
        <v>11</v>
      </c>
      <c r="D15" s="1">
        <v>1200</v>
      </c>
      <c r="E15" s="1">
        <f>22600*(100+$U$7)/100</f>
        <v>22600</v>
      </c>
      <c r="F15" s="1">
        <f t="shared" si="3"/>
        <v>5600</v>
      </c>
      <c r="G15" s="1">
        <f t="shared" si="4"/>
        <v>18200</v>
      </c>
      <c r="H15" s="1">
        <f t="shared" si="5"/>
        <v>1450</v>
      </c>
      <c r="I15" s="1">
        <f t="shared" si="15"/>
        <v>150</v>
      </c>
      <c r="J15">
        <v>310</v>
      </c>
      <c r="K15">
        <f t="shared" si="0"/>
        <v>662</v>
      </c>
      <c r="L15" s="14">
        <f t="shared" si="1"/>
        <v>0.83383685800604235</v>
      </c>
      <c r="M15">
        <v>30</v>
      </c>
      <c r="N15">
        <f t="shared" si="6"/>
        <v>163</v>
      </c>
      <c r="O15">
        <f t="shared" si="7"/>
        <v>242</v>
      </c>
      <c r="P15">
        <f t="shared" si="8"/>
        <v>42</v>
      </c>
      <c r="Z15" s="2">
        <f t="shared" si="9"/>
        <v>11</v>
      </c>
      <c r="AA15" s="1">
        <v>1200</v>
      </c>
      <c r="AB15">
        <f t="shared" si="10"/>
        <v>200</v>
      </c>
      <c r="AC15" s="1">
        <v>32</v>
      </c>
      <c r="AD15" s="1">
        <f t="shared" si="11"/>
        <v>384</v>
      </c>
      <c r="AE15" s="1">
        <v>12</v>
      </c>
      <c r="AF15" s="1">
        <f t="shared" si="12"/>
        <v>66</v>
      </c>
      <c r="AH15" t="s">
        <v>37</v>
      </c>
      <c r="AL15" s="2">
        <f t="shared" si="13"/>
        <v>11</v>
      </c>
      <c r="AM15" s="1">
        <v>1200</v>
      </c>
      <c r="AN15" s="1">
        <v>16</v>
      </c>
      <c r="AO15" s="1">
        <f t="shared" si="14"/>
        <v>176</v>
      </c>
    </row>
    <row r="16" spans="3:41" x14ac:dyDescent="0.4">
      <c r="C16" s="2">
        <f t="shared" si="2"/>
        <v>12</v>
      </c>
      <c r="D16" s="1">
        <v>1400</v>
      </c>
      <c r="E16" s="1">
        <f>31150*(100+$U$7)/100</f>
        <v>31150</v>
      </c>
      <c r="F16" s="1">
        <f t="shared" si="3"/>
        <v>7350</v>
      </c>
      <c r="G16" s="1">
        <f t="shared" si="4"/>
        <v>25550</v>
      </c>
      <c r="H16" s="1">
        <f t="shared" si="5"/>
        <v>1750</v>
      </c>
      <c r="I16" s="1">
        <f t="shared" si="15"/>
        <v>150</v>
      </c>
      <c r="J16">
        <v>320</v>
      </c>
      <c r="K16">
        <f t="shared" si="0"/>
        <v>672</v>
      </c>
      <c r="L16" s="14">
        <f t="shared" si="1"/>
        <v>0.8214285714285714</v>
      </c>
      <c r="M16">
        <v>35</v>
      </c>
      <c r="N16">
        <f t="shared" si="6"/>
        <v>198</v>
      </c>
      <c r="O16">
        <f t="shared" si="7"/>
        <v>288</v>
      </c>
      <c r="P16">
        <f t="shared" si="8"/>
        <v>46</v>
      </c>
      <c r="Z16" s="2">
        <f t="shared" si="9"/>
        <v>12</v>
      </c>
      <c r="AA16" s="1">
        <v>1400</v>
      </c>
      <c r="AB16">
        <f t="shared" si="10"/>
        <v>200</v>
      </c>
      <c r="AC16" s="1">
        <v>32</v>
      </c>
      <c r="AD16" s="1">
        <f t="shared" si="11"/>
        <v>416</v>
      </c>
      <c r="AE16" s="1">
        <v>13</v>
      </c>
      <c r="AF16" s="1">
        <f t="shared" si="12"/>
        <v>78</v>
      </c>
      <c r="AL16" s="2">
        <f t="shared" si="13"/>
        <v>12</v>
      </c>
      <c r="AM16" s="1">
        <v>1400</v>
      </c>
      <c r="AN16" s="1">
        <v>16</v>
      </c>
      <c r="AO16" s="1">
        <f t="shared" si="14"/>
        <v>192</v>
      </c>
    </row>
    <row r="17" spans="3:41" x14ac:dyDescent="0.4">
      <c r="C17" s="2">
        <f t="shared" si="2"/>
        <v>13</v>
      </c>
      <c r="D17" s="1">
        <v>1650</v>
      </c>
      <c r="E17" s="1">
        <f>42000*(100+$U$7)/100</f>
        <v>42000</v>
      </c>
      <c r="F17" s="1">
        <f t="shared" si="3"/>
        <v>9450</v>
      </c>
      <c r="G17" s="1">
        <f t="shared" si="4"/>
        <v>35000</v>
      </c>
      <c r="H17" s="1">
        <f t="shared" si="5"/>
        <v>2100</v>
      </c>
      <c r="I17" s="1">
        <f t="shared" si="15"/>
        <v>200</v>
      </c>
      <c r="J17">
        <v>330</v>
      </c>
      <c r="K17">
        <f t="shared" si="0"/>
        <v>682</v>
      </c>
      <c r="L17" s="14">
        <f t="shared" si="1"/>
        <v>0.80938416422287385</v>
      </c>
      <c r="M17">
        <v>40</v>
      </c>
      <c r="N17">
        <f t="shared" si="6"/>
        <v>238</v>
      </c>
      <c r="O17">
        <f t="shared" si="7"/>
        <v>338</v>
      </c>
      <c r="P17">
        <f t="shared" si="8"/>
        <v>50</v>
      </c>
      <c r="Z17" s="2">
        <f t="shared" si="9"/>
        <v>13</v>
      </c>
      <c r="AA17" s="1">
        <v>1650</v>
      </c>
      <c r="AB17">
        <f t="shared" si="10"/>
        <v>250</v>
      </c>
      <c r="AC17" s="1">
        <v>32</v>
      </c>
      <c r="AD17" s="1">
        <f t="shared" si="11"/>
        <v>448</v>
      </c>
      <c r="AE17" s="1">
        <v>14</v>
      </c>
      <c r="AF17" s="1">
        <f t="shared" si="12"/>
        <v>91</v>
      </c>
      <c r="AL17" s="2">
        <f t="shared" si="13"/>
        <v>13</v>
      </c>
      <c r="AM17" s="1">
        <v>1650</v>
      </c>
      <c r="AN17" s="1">
        <v>16</v>
      </c>
      <c r="AO17" s="1">
        <f t="shared" si="14"/>
        <v>208</v>
      </c>
    </row>
    <row r="18" spans="3:41" x14ac:dyDescent="0.4">
      <c r="C18" s="2">
        <f t="shared" si="2"/>
        <v>14</v>
      </c>
      <c r="D18" s="1">
        <v>1900</v>
      </c>
      <c r="E18" s="1">
        <f>55600*(100+$U$7)/100</f>
        <v>55600</v>
      </c>
      <c r="F18" s="1">
        <f t="shared" si="3"/>
        <v>11950</v>
      </c>
      <c r="G18" s="1">
        <f t="shared" si="4"/>
        <v>46950</v>
      </c>
      <c r="H18" s="1">
        <f t="shared" si="5"/>
        <v>2500</v>
      </c>
      <c r="I18" s="1">
        <f t="shared" si="15"/>
        <v>200</v>
      </c>
      <c r="J18">
        <v>340</v>
      </c>
      <c r="K18">
        <f t="shared" si="0"/>
        <v>692</v>
      </c>
      <c r="L18" s="14">
        <f t="shared" si="1"/>
        <v>0.79768786127167635</v>
      </c>
      <c r="M18">
        <v>45</v>
      </c>
      <c r="N18">
        <f t="shared" si="6"/>
        <v>283</v>
      </c>
      <c r="O18">
        <f t="shared" si="7"/>
        <v>392</v>
      </c>
      <c r="P18">
        <f t="shared" si="8"/>
        <v>54</v>
      </c>
      <c r="Z18" s="2">
        <f t="shared" si="9"/>
        <v>14</v>
      </c>
      <c r="AA18" s="1">
        <v>1900</v>
      </c>
      <c r="AB18">
        <f t="shared" si="10"/>
        <v>250</v>
      </c>
      <c r="AC18" s="1">
        <v>32</v>
      </c>
      <c r="AD18" s="1">
        <f t="shared" si="11"/>
        <v>480</v>
      </c>
      <c r="AE18" s="1">
        <v>15</v>
      </c>
      <c r="AF18" s="1">
        <f t="shared" si="12"/>
        <v>105</v>
      </c>
      <c r="AL18" s="2">
        <f t="shared" si="13"/>
        <v>14</v>
      </c>
      <c r="AM18" s="1">
        <v>1900</v>
      </c>
      <c r="AN18" s="1">
        <v>16</v>
      </c>
      <c r="AO18" s="1">
        <f t="shared" si="14"/>
        <v>224</v>
      </c>
    </row>
    <row r="19" spans="3:41" x14ac:dyDescent="0.4">
      <c r="C19" s="2">
        <f t="shared" si="2"/>
        <v>15</v>
      </c>
      <c r="D19" s="1">
        <v>2200</v>
      </c>
      <c r="E19" s="1">
        <f>72350*(100+$U$7)/100</f>
        <v>72350</v>
      </c>
      <c r="F19" s="1">
        <f t="shared" si="3"/>
        <v>14850</v>
      </c>
      <c r="G19" s="1">
        <f t="shared" si="4"/>
        <v>61800</v>
      </c>
      <c r="H19" s="1">
        <f t="shared" si="5"/>
        <v>2900</v>
      </c>
      <c r="I19" s="1">
        <f t="shared" si="15"/>
        <v>200</v>
      </c>
      <c r="J19">
        <v>350</v>
      </c>
      <c r="K19">
        <f t="shared" si="0"/>
        <v>702</v>
      </c>
      <c r="L19" s="14">
        <f t="shared" si="1"/>
        <v>0.78632478632478631</v>
      </c>
      <c r="M19">
        <v>50</v>
      </c>
      <c r="N19">
        <f t="shared" si="6"/>
        <v>333</v>
      </c>
      <c r="O19">
        <f t="shared" si="7"/>
        <v>450</v>
      </c>
      <c r="P19">
        <f t="shared" si="8"/>
        <v>58</v>
      </c>
      <c r="Z19" s="2">
        <f t="shared" si="9"/>
        <v>15</v>
      </c>
      <c r="AA19" s="1">
        <v>2200</v>
      </c>
      <c r="AB19">
        <f t="shared" si="10"/>
        <v>300</v>
      </c>
      <c r="AC19" s="1">
        <v>32</v>
      </c>
      <c r="AD19" s="1">
        <f t="shared" si="11"/>
        <v>512</v>
      </c>
      <c r="AE19" s="1">
        <v>16</v>
      </c>
      <c r="AF19" s="1">
        <f t="shared" si="12"/>
        <v>120</v>
      </c>
      <c r="AL19" s="2">
        <f t="shared" si="13"/>
        <v>15</v>
      </c>
      <c r="AM19" s="1">
        <v>2200</v>
      </c>
      <c r="AN19" s="1">
        <v>16</v>
      </c>
      <c r="AO19" s="1">
        <f t="shared" si="14"/>
        <v>240</v>
      </c>
    </row>
    <row r="20" spans="3:41" x14ac:dyDescent="0.4">
      <c r="C20" s="2">
        <f t="shared" si="2"/>
        <v>16</v>
      </c>
      <c r="D20" s="1">
        <v>2500</v>
      </c>
      <c r="E20" s="1">
        <f>92750*(100+$U$7)/100</f>
        <v>92750</v>
      </c>
      <c r="F20" s="1">
        <f t="shared" si="3"/>
        <v>18200</v>
      </c>
      <c r="G20" s="1">
        <f t="shared" si="4"/>
        <v>80000</v>
      </c>
      <c r="H20" s="1">
        <f t="shared" si="5"/>
        <v>3350</v>
      </c>
      <c r="I20" s="1">
        <f t="shared" si="15"/>
        <v>250</v>
      </c>
      <c r="J20">
        <v>360</v>
      </c>
      <c r="K20">
        <f t="shared" si="0"/>
        <v>712</v>
      </c>
      <c r="L20" s="14">
        <f t="shared" si="1"/>
        <v>0.7752808988764045</v>
      </c>
      <c r="M20">
        <v>55</v>
      </c>
      <c r="N20">
        <f t="shared" si="6"/>
        <v>388</v>
      </c>
      <c r="O20">
        <f t="shared" si="7"/>
        <v>512</v>
      </c>
      <c r="P20">
        <f t="shared" si="8"/>
        <v>62</v>
      </c>
      <c r="Z20" s="2">
        <f t="shared" si="9"/>
        <v>16</v>
      </c>
      <c r="AA20" s="1">
        <v>2500</v>
      </c>
      <c r="AB20">
        <f t="shared" si="10"/>
        <v>300</v>
      </c>
      <c r="AC20" s="1">
        <v>32</v>
      </c>
      <c r="AD20" s="1">
        <f t="shared" si="11"/>
        <v>544</v>
      </c>
      <c r="AE20" s="1">
        <v>17</v>
      </c>
      <c r="AF20" s="1">
        <f t="shared" si="12"/>
        <v>136</v>
      </c>
      <c r="AL20" s="2">
        <f t="shared" si="13"/>
        <v>16</v>
      </c>
      <c r="AM20" s="1">
        <v>2500</v>
      </c>
      <c r="AN20" s="1">
        <v>16</v>
      </c>
      <c r="AO20" s="1">
        <f t="shared" si="14"/>
        <v>256</v>
      </c>
    </row>
    <row r="21" spans="3:41" x14ac:dyDescent="0.4">
      <c r="C21" s="2">
        <f t="shared" si="2"/>
        <v>17</v>
      </c>
      <c r="D21" s="1">
        <v>2800</v>
      </c>
      <c r="E21" s="1">
        <f>117300*(100+$U$7)/100</f>
        <v>117300</v>
      </c>
      <c r="F21" s="1">
        <f t="shared" si="3"/>
        <v>22050</v>
      </c>
      <c r="G21" s="1">
        <f t="shared" si="4"/>
        <v>102050</v>
      </c>
      <c r="H21" s="1">
        <f t="shared" si="5"/>
        <v>3850</v>
      </c>
      <c r="I21" s="1">
        <f t="shared" si="15"/>
        <v>250</v>
      </c>
      <c r="J21">
        <v>370</v>
      </c>
      <c r="K21">
        <f t="shared" si="0"/>
        <v>722</v>
      </c>
      <c r="L21" s="14">
        <f t="shared" si="1"/>
        <v>0.76454293628808867</v>
      </c>
      <c r="M21">
        <v>60</v>
      </c>
      <c r="N21">
        <f t="shared" si="6"/>
        <v>448</v>
      </c>
      <c r="O21">
        <f t="shared" si="7"/>
        <v>578</v>
      </c>
      <c r="P21">
        <f t="shared" si="8"/>
        <v>66</v>
      </c>
      <c r="Z21" s="2">
        <f t="shared" si="9"/>
        <v>17</v>
      </c>
      <c r="AA21" s="1">
        <v>2800</v>
      </c>
      <c r="AB21">
        <f t="shared" si="10"/>
        <v>300</v>
      </c>
      <c r="AC21" s="1">
        <v>32</v>
      </c>
      <c r="AD21" s="1">
        <f t="shared" si="11"/>
        <v>576</v>
      </c>
      <c r="AE21" s="1">
        <v>18</v>
      </c>
      <c r="AF21" s="1">
        <f t="shared" si="12"/>
        <v>153</v>
      </c>
      <c r="AL21" s="2">
        <f t="shared" si="13"/>
        <v>17</v>
      </c>
      <c r="AM21" s="1">
        <v>2800</v>
      </c>
      <c r="AN21" s="1">
        <v>16</v>
      </c>
      <c r="AO21" s="1">
        <f t="shared" si="14"/>
        <v>272</v>
      </c>
    </row>
    <row r="22" spans="3:41" x14ac:dyDescent="0.4">
      <c r="C22" s="2">
        <f t="shared" si="2"/>
        <v>18</v>
      </c>
      <c r="D22" s="1">
        <v>3100</v>
      </c>
      <c r="E22" s="1">
        <f>146500*(100+$U$7)/100</f>
        <v>146500</v>
      </c>
      <c r="F22" s="1">
        <f t="shared" si="3"/>
        <v>26400</v>
      </c>
      <c r="G22" s="1">
        <f t="shared" si="4"/>
        <v>128450</v>
      </c>
      <c r="H22" s="1">
        <f t="shared" si="5"/>
        <v>4350</v>
      </c>
      <c r="I22" s="1">
        <f t="shared" si="15"/>
        <v>250</v>
      </c>
      <c r="J22">
        <v>380</v>
      </c>
      <c r="K22">
        <f t="shared" si="0"/>
        <v>732</v>
      </c>
      <c r="L22" s="14">
        <f t="shared" si="1"/>
        <v>0.75409836065573765</v>
      </c>
      <c r="M22">
        <v>65</v>
      </c>
      <c r="N22">
        <f t="shared" si="6"/>
        <v>513</v>
      </c>
      <c r="O22">
        <f t="shared" si="7"/>
        <v>648</v>
      </c>
      <c r="P22">
        <f t="shared" si="8"/>
        <v>70</v>
      </c>
      <c r="Z22" s="2">
        <f t="shared" si="9"/>
        <v>18</v>
      </c>
      <c r="AA22" s="1">
        <v>3100</v>
      </c>
      <c r="AB22">
        <f t="shared" si="10"/>
        <v>300</v>
      </c>
      <c r="AC22" s="1">
        <v>32</v>
      </c>
      <c r="AD22" s="1">
        <f t="shared" si="11"/>
        <v>608</v>
      </c>
      <c r="AE22" s="1">
        <v>19</v>
      </c>
      <c r="AF22" s="1">
        <f t="shared" si="12"/>
        <v>171</v>
      </c>
      <c r="AL22" s="2">
        <f t="shared" si="13"/>
        <v>18</v>
      </c>
      <c r="AM22" s="1">
        <v>3100</v>
      </c>
      <c r="AN22" s="1">
        <v>16</v>
      </c>
      <c r="AO22" s="1">
        <f t="shared" si="14"/>
        <v>288</v>
      </c>
    </row>
    <row r="23" spans="3:41" x14ac:dyDescent="0.4">
      <c r="C23" s="2">
        <f t="shared" si="2"/>
        <v>19</v>
      </c>
      <c r="D23" s="1">
        <v>3400</v>
      </c>
      <c r="E23" s="1">
        <f>180900*(100+$U$7)/100</f>
        <v>180900</v>
      </c>
      <c r="F23" s="1">
        <f t="shared" si="3"/>
        <v>31300</v>
      </c>
      <c r="G23" s="1">
        <f t="shared" si="4"/>
        <v>159750</v>
      </c>
      <c r="H23" s="1">
        <f t="shared" si="5"/>
        <v>4900</v>
      </c>
      <c r="I23" s="1">
        <f t="shared" si="15"/>
        <v>300</v>
      </c>
      <c r="J23">
        <v>390</v>
      </c>
      <c r="K23">
        <f t="shared" si="0"/>
        <v>742</v>
      </c>
      <c r="L23" s="14">
        <f t="shared" si="1"/>
        <v>0.7439353099730458</v>
      </c>
      <c r="M23">
        <v>70</v>
      </c>
      <c r="N23">
        <f t="shared" si="6"/>
        <v>583</v>
      </c>
      <c r="O23">
        <f t="shared" si="7"/>
        <v>722</v>
      </c>
      <c r="P23">
        <f t="shared" si="8"/>
        <v>74</v>
      </c>
      <c r="Z23" s="2">
        <f t="shared" si="9"/>
        <v>19</v>
      </c>
      <c r="AA23" s="1">
        <v>3400</v>
      </c>
      <c r="AB23">
        <f t="shared" si="10"/>
        <v>300</v>
      </c>
      <c r="AC23" s="1">
        <v>64</v>
      </c>
      <c r="AD23" s="1">
        <f t="shared" si="11"/>
        <v>640</v>
      </c>
      <c r="AE23" s="1">
        <v>20</v>
      </c>
      <c r="AF23" s="1">
        <f t="shared" si="12"/>
        <v>190</v>
      </c>
      <c r="AL23" s="2">
        <f t="shared" si="13"/>
        <v>19</v>
      </c>
      <c r="AM23" s="1">
        <v>3400</v>
      </c>
      <c r="AN23" s="1">
        <v>16</v>
      </c>
      <c r="AO23" s="1">
        <f t="shared" si="14"/>
        <v>304</v>
      </c>
    </row>
    <row r="24" spans="3:41" x14ac:dyDescent="0.4">
      <c r="C24" s="2">
        <f t="shared" si="2"/>
        <v>20</v>
      </c>
      <c r="D24" s="6">
        <v>0</v>
      </c>
      <c r="E24" s="6">
        <v>0</v>
      </c>
      <c r="F24" s="6" t="s">
        <v>8</v>
      </c>
      <c r="G24" s="7" t="s">
        <v>8</v>
      </c>
      <c r="H24" s="7" t="s">
        <v>8</v>
      </c>
      <c r="I24" s="7" t="s">
        <v>8</v>
      </c>
      <c r="J24" s="6" t="s">
        <v>15</v>
      </c>
      <c r="K24" s="6" t="s">
        <v>15</v>
      </c>
      <c r="L24" s="15">
        <v>0.7</v>
      </c>
      <c r="M24" s="10">
        <v>100</v>
      </c>
      <c r="N24">
        <f t="shared" si="6"/>
        <v>683</v>
      </c>
      <c r="O24">
        <f t="shared" si="7"/>
        <v>800</v>
      </c>
      <c r="P24">
        <f t="shared" si="8"/>
        <v>78</v>
      </c>
      <c r="Z24" s="2">
        <f t="shared" si="9"/>
        <v>20</v>
      </c>
      <c r="AA24" s="12">
        <v>0</v>
      </c>
      <c r="AC24" s="1">
        <v>32</v>
      </c>
      <c r="AD24" s="1">
        <f t="shared" si="11"/>
        <v>704</v>
      </c>
      <c r="AE24" s="1">
        <v>21</v>
      </c>
      <c r="AF24" s="1">
        <f t="shared" si="12"/>
        <v>210</v>
      </c>
      <c r="AJ24" s="11"/>
      <c r="AL24" s="2">
        <f t="shared" si="13"/>
        <v>20</v>
      </c>
      <c r="AM24" s="12">
        <v>0</v>
      </c>
      <c r="AN24" s="1">
        <v>16</v>
      </c>
      <c r="AO24" s="1">
        <f t="shared" si="14"/>
        <v>320</v>
      </c>
    </row>
    <row r="25" spans="3:41" x14ac:dyDescent="0.4">
      <c r="C25" s="2">
        <f t="shared" si="2"/>
        <v>21</v>
      </c>
      <c r="D25" s="1">
        <v>5000</v>
      </c>
      <c r="E25" s="1">
        <f>250000*(100+$U$7)/100</f>
        <v>250000</v>
      </c>
      <c r="F25" s="1">
        <f>E25-D23-E23</f>
        <v>65700</v>
      </c>
      <c r="G25" s="1">
        <f>F25+G23</f>
        <v>225450</v>
      </c>
      <c r="H25" s="1">
        <f>F25-F23</f>
        <v>34400</v>
      </c>
      <c r="I25" s="1">
        <v>0</v>
      </c>
      <c r="J25">
        <v>410</v>
      </c>
      <c r="K25">
        <f t="shared" ref="K25:K43" si="16">$J25-$S$7+$R$7</f>
        <v>762</v>
      </c>
      <c r="L25" s="14">
        <f t="shared" ref="L25:L43" si="17">IF($R$4+$R$7&gt;=$K25,100%,($R$4+$R$7)/$K25)</f>
        <v>0.72440944881889768</v>
      </c>
      <c r="M25">
        <v>110</v>
      </c>
      <c r="N25">
        <f t="shared" si="6"/>
        <v>793</v>
      </c>
      <c r="O25">
        <f t="shared" si="7"/>
        <v>882</v>
      </c>
      <c r="P25">
        <f t="shared" si="8"/>
        <v>82</v>
      </c>
    </row>
    <row r="26" spans="3:41" x14ac:dyDescent="0.4">
      <c r="C26" s="2">
        <f t="shared" si="2"/>
        <v>22</v>
      </c>
      <c r="D26" s="1">
        <v>5500</v>
      </c>
      <c r="E26" s="1">
        <f>292000*(100+$U$7)/100</f>
        <v>292000</v>
      </c>
      <c r="F26" s="1">
        <f t="shared" ref="F26:F43" si="18">E26-D25-E25</f>
        <v>37000</v>
      </c>
      <c r="G26" s="1">
        <f t="shared" ref="G26:G43" si="19">F26+G25</f>
        <v>262450</v>
      </c>
      <c r="H26" s="1">
        <f>F26-F23</f>
        <v>5700</v>
      </c>
      <c r="I26" s="1">
        <f>H26-H23-I23</f>
        <v>500</v>
      </c>
      <c r="J26">
        <v>420</v>
      </c>
      <c r="K26">
        <f t="shared" si="16"/>
        <v>772</v>
      </c>
      <c r="L26" s="14">
        <f t="shared" si="17"/>
        <v>0.71502590673575128</v>
      </c>
      <c r="M26">
        <v>120</v>
      </c>
      <c r="N26">
        <f t="shared" si="6"/>
        <v>913</v>
      </c>
      <c r="O26">
        <f t="shared" si="7"/>
        <v>968</v>
      </c>
      <c r="P26">
        <f t="shared" si="8"/>
        <v>86</v>
      </c>
    </row>
    <row r="27" spans="3:41" x14ac:dyDescent="0.4">
      <c r="C27" s="2">
        <f t="shared" si="2"/>
        <v>23</v>
      </c>
      <c r="D27" s="1">
        <v>6000</v>
      </c>
      <c r="E27" s="1">
        <f>341200*(100+$U$7)/100</f>
        <v>341200</v>
      </c>
      <c r="F27" s="1">
        <f t="shared" si="18"/>
        <v>43700</v>
      </c>
      <c r="G27" s="1">
        <f t="shared" si="19"/>
        <v>306150</v>
      </c>
      <c r="H27" s="1">
        <f t="shared" ref="H27:H43" si="20">F27-F26</f>
        <v>6700</v>
      </c>
      <c r="I27" s="1">
        <f t="shared" ref="I27:I43" si="21">H27-H26-I26</f>
        <v>500</v>
      </c>
      <c r="J27">
        <v>430</v>
      </c>
      <c r="K27">
        <f t="shared" si="16"/>
        <v>782</v>
      </c>
      <c r="L27" s="14">
        <f t="shared" si="17"/>
        <v>0.70588235294117652</v>
      </c>
      <c r="M27">
        <v>130</v>
      </c>
      <c r="N27">
        <f t="shared" si="6"/>
        <v>1043</v>
      </c>
      <c r="O27">
        <f t="shared" si="7"/>
        <v>1058</v>
      </c>
      <c r="P27">
        <f t="shared" si="8"/>
        <v>90</v>
      </c>
    </row>
    <row r="28" spans="3:41" x14ac:dyDescent="0.4">
      <c r="C28" s="2">
        <f t="shared" si="2"/>
        <v>24</v>
      </c>
      <c r="D28" s="1">
        <v>6500</v>
      </c>
      <c r="E28" s="1">
        <f>398600*(100+$U$7)/100</f>
        <v>398600</v>
      </c>
      <c r="F28" s="1">
        <f t="shared" si="18"/>
        <v>51400</v>
      </c>
      <c r="G28" s="1">
        <f t="shared" si="19"/>
        <v>357550</v>
      </c>
      <c r="H28" s="1">
        <f t="shared" si="20"/>
        <v>7700</v>
      </c>
      <c r="I28" s="1">
        <f t="shared" si="21"/>
        <v>500</v>
      </c>
      <c r="J28">
        <v>440</v>
      </c>
      <c r="K28">
        <f t="shared" si="16"/>
        <v>792</v>
      </c>
      <c r="L28" s="14">
        <f t="shared" si="17"/>
        <v>0.69696969696969702</v>
      </c>
      <c r="M28">
        <v>140</v>
      </c>
      <c r="N28">
        <f t="shared" si="6"/>
        <v>1183</v>
      </c>
      <c r="O28">
        <f t="shared" si="7"/>
        <v>1152</v>
      </c>
      <c r="P28">
        <f t="shared" si="8"/>
        <v>94</v>
      </c>
    </row>
    <row r="29" spans="3:41" x14ac:dyDescent="0.4">
      <c r="C29" s="2">
        <f t="shared" si="2"/>
        <v>25</v>
      </c>
      <c r="D29" s="1">
        <v>7000</v>
      </c>
      <c r="E29" s="1">
        <f>465300*(100+$U$7)/100</f>
        <v>465300</v>
      </c>
      <c r="F29" s="1">
        <f t="shared" si="18"/>
        <v>60200</v>
      </c>
      <c r="G29" s="1">
        <f t="shared" si="19"/>
        <v>417750</v>
      </c>
      <c r="H29" s="1">
        <f t="shared" si="20"/>
        <v>8800</v>
      </c>
      <c r="I29" s="1">
        <f t="shared" si="21"/>
        <v>600</v>
      </c>
      <c r="J29">
        <v>450</v>
      </c>
      <c r="K29">
        <f t="shared" si="16"/>
        <v>802</v>
      </c>
      <c r="L29" s="14">
        <f t="shared" si="17"/>
        <v>0.6882793017456359</v>
      </c>
      <c r="M29">
        <v>150</v>
      </c>
      <c r="N29">
        <f t="shared" si="6"/>
        <v>1333</v>
      </c>
      <c r="O29">
        <f t="shared" si="7"/>
        <v>1250</v>
      </c>
      <c r="P29">
        <f t="shared" si="8"/>
        <v>98</v>
      </c>
    </row>
    <row r="30" spans="3:41" x14ac:dyDescent="0.4">
      <c r="C30" s="2">
        <f t="shared" ref="C30:C54" si="22">C29+1</f>
        <v>26</v>
      </c>
      <c r="D30" s="1">
        <v>7700</v>
      </c>
      <c r="E30" s="1">
        <f>542500*(100+$U$7)/100</f>
        <v>542500</v>
      </c>
      <c r="F30" s="1">
        <f t="shared" si="18"/>
        <v>70200</v>
      </c>
      <c r="G30" s="1">
        <f t="shared" si="19"/>
        <v>487950</v>
      </c>
      <c r="H30" s="1">
        <f t="shared" si="20"/>
        <v>10000</v>
      </c>
      <c r="I30" s="1">
        <f t="shared" si="21"/>
        <v>600</v>
      </c>
      <c r="J30">
        <v>460</v>
      </c>
      <c r="K30">
        <f t="shared" si="16"/>
        <v>812</v>
      </c>
      <c r="L30" s="14">
        <f t="shared" si="17"/>
        <v>0.67980295566502458</v>
      </c>
      <c r="M30">
        <v>160</v>
      </c>
      <c r="N30">
        <f t="shared" si="6"/>
        <v>1493</v>
      </c>
      <c r="O30">
        <f t="shared" si="7"/>
        <v>1352</v>
      </c>
      <c r="P30">
        <f t="shared" si="8"/>
        <v>102</v>
      </c>
    </row>
    <row r="31" spans="3:41" x14ac:dyDescent="0.4">
      <c r="C31" s="2">
        <f t="shared" si="22"/>
        <v>27</v>
      </c>
      <c r="D31" s="1">
        <v>8400</v>
      </c>
      <c r="E31" s="1">
        <f>631600*(100+$U$7)/100</f>
        <v>631600</v>
      </c>
      <c r="F31" s="1">
        <f t="shared" si="18"/>
        <v>81400</v>
      </c>
      <c r="G31" s="1">
        <f t="shared" si="19"/>
        <v>569350</v>
      </c>
      <c r="H31" s="1">
        <f t="shared" si="20"/>
        <v>11200</v>
      </c>
      <c r="I31" s="1">
        <f t="shared" si="21"/>
        <v>600</v>
      </c>
      <c r="J31">
        <v>470</v>
      </c>
      <c r="K31">
        <f t="shared" si="16"/>
        <v>822</v>
      </c>
      <c r="L31" s="14">
        <f t="shared" si="17"/>
        <v>0.67153284671532842</v>
      </c>
      <c r="M31">
        <v>170</v>
      </c>
      <c r="N31">
        <f t="shared" si="6"/>
        <v>1663</v>
      </c>
      <c r="O31">
        <f t="shared" si="7"/>
        <v>1458</v>
      </c>
      <c r="P31">
        <f t="shared" si="8"/>
        <v>106</v>
      </c>
    </row>
    <row r="32" spans="3:41" x14ac:dyDescent="0.4">
      <c r="C32" s="2">
        <f t="shared" si="22"/>
        <v>28</v>
      </c>
      <c r="D32" s="1">
        <v>9200</v>
      </c>
      <c r="E32" s="1">
        <f>733900*(100+$U$7)/100</f>
        <v>733900</v>
      </c>
      <c r="F32" s="1">
        <f t="shared" si="18"/>
        <v>93900</v>
      </c>
      <c r="G32" s="1">
        <f t="shared" si="19"/>
        <v>663250</v>
      </c>
      <c r="H32" s="1">
        <f t="shared" si="20"/>
        <v>12500</v>
      </c>
      <c r="I32" s="1">
        <f t="shared" si="21"/>
        <v>700</v>
      </c>
      <c r="J32">
        <v>480</v>
      </c>
      <c r="K32">
        <f t="shared" si="16"/>
        <v>832</v>
      </c>
      <c r="L32" s="14">
        <f t="shared" si="17"/>
        <v>0.66346153846153844</v>
      </c>
      <c r="M32">
        <v>180</v>
      </c>
      <c r="N32">
        <f t="shared" si="6"/>
        <v>1843</v>
      </c>
      <c r="O32">
        <f t="shared" si="7"/>
        <v>1568</v>
      </c>
      <c r="P32">
        <f t="shared" si="8"/>
        <v>110</v>
      </c>
    </row>
    <row r="33" spans="3:16" x14ac:dyDescent="0.4">
      <c r="C33" s="2">
        <f t="shared" si="22"/>
        <v>29</v>
      </c>
      <c r="D33" s="1">
        <v>10000</v>
      </c>
      <c r="E33" s="1">
        <f>850900*(100+$U$7)/100</f>
        <v>850900</v>
      </c>
      <c r="F33" s="1">
        <f t="shared" si="18"/>
        <v>107800</v>
      </c>
      <c r="G33" s="1">
        <f t="shared" si="19"/>
        <v>771050</v>
      </c>
      <c r="H33" s="1">
        <f t="shared" si="20"/>
        <v>13900</v>
      </c>
      <c r="I33" s="1">
        <f t="shared" si="21"/>
        <v>700</v>
      </c>
      <c r="J33">
        <v>490</v>
      </c>
      <c r="K33">
        <f t="shared" si="16"/>
        <v>842</v>
      </c>
      <c r="L33" s="14">
        <f t="shared" si="17"/>
        <v>0.6555819477434679</v>
      </c>
      <c r="M33">
        <v>190</v>
      </c>
      <c r="N33">
        <f t="shared" si="6"/>
        <v>2033</v>
      </c>
      <c r="O33">
        <f t="shared" si="7"/>
        <v>1682</v>
      </c>
      <c r="P33">
        <f t="shared" si="8"/>
        <v>114</v>
      </c>
    </row>
    <row r="34" spans="3:16" x14ac:dyDescent="0.4">
      <c r="C34" s="2">
        <f t="shared" si="22"/>
        <v>30</v>
      </c>
      <c r="D34" s="1">
        <v>10800</v>
      </c>
      <c r="E34" s="1">
        <f>984000*(100+$U$7)/100</f>
        <v>984000</v>
      </c>
      <c r="F34" s="1">
        <f t="shared" si="18"/>
        <v>123100</v>
      </c>
      <c r="G34" s="1">
        <f t="shared" si="19"/>
        <v>894150</v>
      </c>
      <c r="H34" s="1">
        <f t="shared" si="20"/>
        <v>15300</v>
      </c>
      <c r="I34" s="1">
        <f t="shared" si="21"/>
        <v>700</v>
      </c>
      <c r="J34">
        <v>500</v>
      </c>
      <c r="K34">
        <f t="shared" si="16"/>
        <v>852</v>
      </c>
      <c r="L34" s="14">
        <f t="shared" si="17"/>
        <v>0.647887323943662</v>
      </c>
      <c r="M34" s="10">
        <v>200</v>
      </c>
      <c r="N34">
        <f t="shared" si="6"/>
        <v>2233</v>
      </c>
      <c r="O34">
        <f t="shared" si="7"/>
        <v>1800</v>
      </c>
      <c r="P34">
        <f t="shared" si="8"/>
        <v>118</v>
      </c>
    </row>
    <row r="35" spans="3:16" x14ac:dyDescent="0.4">
      <c r="C35" s="2">
        <f t="shared" si="22"/>
        <v>31</v>
      </c>
      <c r="D35" s="1">
        <v>11600</v>
      </c>
      <c r="E35" s="1">
        <f>1134700*(100+$U$7)/100</f>
        <v>1134700</v>
      </c>
      <c r="F35" s="1">
        <f t="shared" si="18"/>
        <v>139900</v>
      </c>
      <c r="G35" s="1">
        <f t="shared" si="19"/>
        <v>1034050</v>
      </c>
      <c r="H35" s="1">
        <f t="shared" si="20"/>
        <v>16800</v>
      </c>
      <c r="I35" s="1">
        <f t="shared" si="21"/>
        <v>800</v>
      </c>
      <c r="J35">
        <v>510</v>
      </c>
      <c r="K35">
        <f t="shared" si="16"/>
        <v>862</v>
      </c>
      <c r="L35" s="14">
        <f t="shared" si="17"/>
        <v>0.6403712296983759</v>
      </c>
      <c r="M35">
        <v>220</v>
      </c>
      <c r="N35">
        <f t="shared" si="6"/>
        <v>2453</v>
      </c>
      <c r="O35">
        <f t="shared" si="7"/>
        <v>1922</v>
      </c>
      <c r="P35">
        <f t="shared" si="8"/>
        <v>122</v>
      </c>
    </row>
    <row r="36" spans="3:16" x14ac:dyDescent="0.4">
      <c r="C36" s="2">
        <f t="shared" si="22"/>
        <v>32</v>
      </c>
      <c r="D36" s="1">
        <v>12500</v>
      </c>
      <c r="E36" s="1">
        <f>1304600*(100+$U$7)/100</f>
        <v>1304600</v>
      </c>
      <c r="F36" s="1">
        <f t="shared" si="18"/>
        <v>158300</v>
      </c>
      <c r="G36" s="1">
        <f t="shared" si="19"/>
        <v>1192350</v>
      </c>
      <c r="H36" s="1">
        <f t="shared" si="20"/>
        <v>18400</v>
      </c>
      <c r="I36" s="1">
        <f t="shared" si="21"/>
        <v>800</v>
      </c>
      <c r="J36">
        <v>520</v>
      </c>
      <c r="K36">
        <f t="shared" si="16"/>
        <v>872</v>
      </c>
      <c r="L36" s="14">
        <f t="shared" si="17"/>
        <v>0.6330275229357798</v>
      </c>
      <c r="M36">
        <v>240</v>
      </c>
      <c r="N36">
        <f t="shared" si="6"/>
        <v>2693</v>
      </c>
      <c r="O36">
        <f t="shared" si="7"/>
        <v>2048</v>
      </c>
      <c r="P36">
        <f t="shared" si="8"/>
        <v>126</v>
      </c>
    </row>
    <row r="37" spans="3:16" x14ac:dyDescent="0.4">
      <c r="C37" s="2">
        <f t="shared" si="22"/>
        <v>33</v>
      </c>
      <c r="D37" s="1">
        <v>13400</v>
      </c>
      <c r="E37" s="1">
        <f>1495400*(100+$U$7)/100</f>
        <v>1495400</v>
      </c>
      <c r="F37" s="1">
        <f t="shared" si="18"/>
        <v>178300</v>
      </c>
      <c r="G37" s="1">
        <f t="shared" si="19"/>
        <v>1370650</v>
      </c>
      <c r="H37" s="1">
        <f t="shared" si="20"/>
        <v>20000</v>
      </c>
      <c r="I37" s="1">
        <f t="shared" si="21"/>
        <v>800</v>
      </c>
      <c r="J37">
        <v>530</v>
      </c>
      <c r="K37">
        <f t="shared" si="16"/>
        <v>882</v>
      </c>
      <c r="L37" s="14">
        <f t="shared" si="17"/>
        <v>0.62585034013605445</v>
      </c>
      <c r="M37">
        <v>260</v>
      </c>
      <c r="N37">
        <f t="shared" ref="N37:N54" si="23">$M37+$N36</f>
        <v>2953</v>
      </c>
      <c r="O37">
        <f t="shared" ref="O37:O54" si="24">$C37*$C37*2</f>
        <v>2178</v>
      </c>
      <c r="P37">
        <f t="shared" ref="P37:P54" si="25">$O37-O36</f>
        <v>130</v>
      </c>
    </row>
    <row r="38" spans="3:16" x14ac:dyDescent="0.4">
      <c r="C38" s="2">
        <f t="shared" si="22"/>
        <v>34</v>
      </c>
      <c r="D38" s="1">
        <v>14300</v>
      </c>
      <c r="E38" s="1">
        <f>1708800*(100+$U$7)/100</f>
        <v>1708800</v>
      </c>
      <c r="F38" s="1">
        <f t="shared" si="18"/>
        <v>200000</v>
      </c>
      <c r="G38" s="1">
        <f t="shared" si="19"/>
        <v>1570650</v>
      </c>
      <c r="H38" s="1">
        <f t="shared" si="20"/>
        <v>21700</v>
      </c>
      <c r="I38" s="1">
        <f t="shared" si="21"/>
        <v>900</v>
      </c>
      <c r="J38">
        <v>540</v>
      </c>
      <c r="K38">
        <f t="shared" si="16"/>
        <v>892</v>
      </c>
      <c r="L38" s="14">
        <f t="shared" si="17"/>
        <v>0.6188340807174888</v>
      </c>
      <c r="M38">
        <v>280</v>
      </c>
      <c r="N38">
        <f t="shared" si="23"/>
        <v>3233</v>
      </c>
      <c r="O38">
        <f t="shared" si="24"/>
        <v>2312</v>
      </c>
      <c r="P38">
        <f t="shared" si="25"/>
        <v>134</v>
      </c>
    </row>
    <row r="39" spans="3:16" x14ac:dyDescent="0.4">
      <c r="C39" s="2">
        <f t="shared" si="22"/>
        <v>35</v>
      </c>
      <c r="D39" s="1">
        <v>15300</v>
      </c>
      <c r="E39" s="1">
        <f>1946600*(100+$U$7)/100</f>
        <v>1946600</v>
      </c>
      <c r="F39" s="1">
        <f t="shared" si="18"/>
        <v>223500</v>
      </c>
      <c r="G39" s="1">
        <f t="shared" si="19"/>
        <v>1794150</v>
      </c>
      <c r="H39" s="1">
        <f t="shared" si="20"/>
        <v>23500</v>
      </c>
      <c r="I39" s="1">
        <f t="shared" si="21"/>
        <v>900</v>
      </c>
      <c r="J39">
        <v>550</v>
      </c>
      <c r="K39">
        <f t="shared" si="16"/>
        <v>902</v>
      </c>
      <c r="L39" s="14">
        <f t="shared" si="17"/>
        <v>0.61197339246119731</v>
      </c>
      <c r="M39">
        <v>300</v>
      </c>
      <c r="N39">
        <f t="shared" si="23"/>
        <v>3533</v>
      </c>
      <c r="O39">
        <f t="shared" si="24"/>
        <v>2450</v>
      </c>
      <c r="P39">
        <f t="shared" si="25"/>
        <v>138</v>
      </c>
    </row>
    <row r="40" spans="3:16" x14ac:dyDescent="0.4">
      <c r="C40" s="2">
        <f t="shared" si="22"/>
        <v>36</v>
      </c>
      <c r="D40" s="1">
        <v>16300</v>
      </c>
      <c r="E40" s="1">
        <f>2210700*(100+$U$7)/100</f>
        <v>2210700</v>
      </c>
      <c r="F40" s="1">
        <f t="shared" si="18"/>
        <v>248800</v>
      </c>
      <c r="G40" s="1">
        <f t="shared" si="19"/>
        <v>2042950</v>
      </c>
      <c r="H40" s="1">
        <f t="shared" si="20"/>
        <v>25300</v>
      </c>
      <c r="I40" s="1">
        <f t="shared" si="21"/>
        <v>900</v>
      </c>
      <c r="J40">
        <v>560</v>
      </c>
      <c r="K40">
        <f t="shared" si="16"/>
        <v>912</v>
      </c>
      <c r="L40" s="14">
        <f t="shared" si="17"/>
        <v>0.60526315789473684</v>
      </c>
      <c r="M40">
        <v>320</v>
      </c>
      <c r="N40">
        <f t="shared" si="23"/>
        <v>3853</v>
      </c>
      <c r="O40">
        <f t="shared" si="24"/>
        <v>2592</v>
      </c>
      <c r="P40">
        <f t="shared" si="25"/>
        <v>142</v>
      </c>
    </row>
    <row r="41" spans="3:16" x14ac:dyDescent="0.4">
      <c r="C41" s="2">
        <f t="shared" si="22"/>
        <v>37</v>
      </c>
      <c r="D41" s="1">
        <v>17300</v>
      </c>
      <c r="E41" s="1">
        <f>2503000*(100+$U$7)/100</f>
        <v>2503000</v>
      </c>
      <c r="F41" s="1">
        <f t="shared" si="18"/>
        <v>276000</v>
      </c>
      <c r="G41" s="1">
        <f t="shared" si="19"/>
        <v>2318950</v>
      </c>
      <c r="H41" s="1">
        <f t="shared" si="20"/>
        <v>27200</v>
      </c>
      <c r="I41" s="1">
        <f t="shared" si="21"/>
        <v>1000</v>
      </c>
      <c r="J41">
        <v>570</v>
      </c>
      <c r="K41">
        <f t="shared" si="16"/>
        <v>922</v>
      </c>
      <c r="L41" s="14">
        <f t="shared" si="17"/>
        <v>0.59869848156182215</v>
      </c>
      <c r="M41">
        <v>340</v>
      </c>
      <c r="N41">
        <f t="shared" si="23"/>
        <v>4193</v>
      </c>
      <c r="O41">
        <f t="shared" si="24"/>
        <v>2738</v>
      </c>
      <c r="P41">
        <f t="shared" si="25"/>
        <v>146</v>
      </c>
    </row>
    <row r="42" spans="3:16" x14ac:dyDescent="0.4">
      <c r="C42" s="2">
        <f t="shared" si="22"/>
        <v>38</v>
      </c>
      <c r="D42" s="1">
        <v>18400</v>
      </c>
      <c r="E42" s="1">
        <f>2825500*(100+$U$7)/100</f>
        <v>2825500</v>
      </c>
      <c r="F42" s="1">
        <f t="shared" si="18"/>
        <v>305200</v>
      </c>
      <c r="G42" s="1">
        <f t="shared" si="19"/>
        <v>2624150</v>
      </c>
      <c r="H42" s="1">
        <f t="shared" si="20"/>
        <v>29200</v>
      </c>
      <c r="I42" s="1">
        <f t="shared" si="21"/>
        <v>1000</v>
      </c>
      <c r="J42">
        <v>580</v>
      </c>
      <c r="K42">
        <f t="shared" si="16"/>
        <v>932</v>
      </c>
      <c r="L42" s="14">
        <f t="shared" si="17"/>
        <v>0.59227467811158796</v>
      </c>
      <c r="M42">
        <v>360</v>
      </c>
      <c r="N42">
        <f t="shared" si="23"/>
        <v>4553</v>
      </c>
      <c r="O42">
        <f t="shared" si="24"/>
        <v>2888</v>
      </c>
      <c r="P42">
        <f t="shared" si="25"/>
        <v>150</v>
      </c>
    </row>
    <row r="43" spans="3:16" x14ac:dyDescent="0.4">
      <c r="C43" s="2">
        <f t="shared" si="22"/>
        <v>39</v>
      </c>
      <c r="D43" s="1">
        <v>19500</v>
      </c>
      <c r="E43" s="1">
        <f>3180300*(100+$U$7)/100</f>
        <v>3180300</v>
      </c>
      <c r="F43" s="1">
        <f t="shared" si="18"/>
        <v>336400</v>
      </c>
      <c r="G43" s="1">
        <f t="shared" si="19"/>
        <v>2960550</v>
      </c>
      <c r="H43" s="1">
        <f t="shared" si="20"/>
        <v>31200</v>
      </c>
      <c r="I43" s="1">
        <f t="shared" si="21"/>
        <v>1000</v>
      </c>
      <c r="J43">
        <v>590</v>
      </c>
      <c r="K43">
        <f t="shared" si="16"/>
        <v>942</v>
      </c>
      <c r="L43" s="14">
        <f t="shared" si="17"/>
        <v>0.5859872611464968</v>
      </c>
      <c r="M43">
        <v>380</v>
      </c>
      <c r="N43">
        <f t="shared" si="23"/>
        <v>4933</v>
      </c>
      <c r="O43">
        <f t="shared" si="24"/>
        <v>3042</v>
      </c>
      <c r="P43">
        <f t="shared" si="25"/>
        <v>154</v>
      </c>
    </row>
    <row r="44" spans="3:16" x14ac:dyDescent="0.4">
      <c r="C44" s="2">
        <f t="shared" si="22"/>
        <v>40</v>
      </c>
      <c r="D44" s="6">
        <v>0</v>
      </c>
      <c r="E44" s="6">
        <v>0</v>
      </c>
      <c r="F44" s="6" t="s">
        <v>14</v>
      </c>
      <c r="G44" s="6" t="s">
        <v>14</v>
      </c>
      <c r="H44" s="6" t="s">
        <v>14</v>
      </c>
      <c r="I44" s="6" t="s">
        <v>14</v>
      </c>
      <c r="J44" s="6" t="s">
        <v>15</v>
      </c>
      <c r="K44" s="6" t="s">
        <v>15</v>
      </c>
      <c r="L44" s="15">
        <v>0.5</v>
      </c>
      <c r="M44" s="10">
        <v>500</v>
      </c>
      <c r="N44">
        <f t="shared" si="23"/>
        <v>5433</v>
      </c>
      <c r="O44">
        <f t="shared" si="24"/>
        <v>3200</v>
      </c>
      <c r="P44">
        <f t="shared" si="25"/>
        <v>158</v>
      </c>
    </row>
    <row r="45" spans="3:16" x14ac:dyDescent="0.4">
      <c r="C45" s="2">
        <f t="shared" si="22"/>
        <v>41</v>
      </c>
      <c r="D45" s="1">
        <v>30000</v>
      </c>
      <c r="E45" s="1">
        <f>3800000*(100+$U$7)/100</f>
        <v>3800000</v>
      </c>
      <c r="F45" s="1">
        <f>E45-D43-E43</f>
        <v>600200</v>
      </c>
      <c r="G45" s="1">
        <f>F45+G43</f>
        <v>3560750</v>
      </c>
      <c r="H45" s="1">
        <f>F45-F43</f>
        <v>263800</v>
      </c>
      <c r="I45" s="1">
        <v>0</v>
      </c>
      <c r="J45">
        <v>620</v>
      </c>
      <c r="K45">
        <f t="shared" ref="K45:K54" si="26">$J45-$S$7+$R$7</f>
        <v>972</v>
      </c>
      <c r="L45" s="14">
        <f t="shared" ref="L45:L54" si="27">IF($R$4+$R$7&gt;=$K45,100%,($R$4+$R$7)/$K45)</f>
        <v>0.5679012345679012</v>
      </c>
      <c r="M45">
        <v>550</v>
      </c>
      <c r="N45">
        <f t="shared" si="23"/>
        <v>5983</v>
      </c>
      <c r="O45">
        <f t="shared" si="24"/>
        <v>3362</v>
      </c>
      <c r="P45">
        <f t="shared" si="25"/>
        <v>162</v>
      </c>
    </row>
    <row r="46" spans="3:16" x14ac:dyDescent="0.4">
      <c r="C46" s="2">
        <f t="shared" si="22"/>
        <v>42</v>
      </c>
      <c r="D46" s="1">
        <v>33000</v>
      </c>
      <c r="E46" s="1">
        <f>4200100*(100+$U$7)/100</f>
        <v>4200100</v>
      </c>
      <c r="F46" s="1">
        <f t="shared" ref="F46:F54" si="28">E46-D45-E45</f>
        <v>370100</v>
      </c>
      <c r="G46" s="1">
        <f t="shared" ref="G46:G54" si="29">F46+G45</f>
        <v>3930850</v>
      </c>
      <c r="H46" s="1">
        <f>F46-F43</f>
        <v>33700</v>
      </c>
      <c r="I46" s="1">
        <f>H46-H43-I43</f>
        <v>1500</v>
      </c>
      <c r="J46">
        <v>640</v>
      </c>
      <c r="K46">
        <f t="shared" si="26"/>
        <v>992</v>
      </c>
      <c r="L46" s="14">
        <f t="shared" si="27"/>
        <v>0.55645161290322576</v>
      </c>
      <c r="M46">
        <v>600</v>
      </c>
      <c r="N46">
        <f t="shared" si="23"/>
        <v>6583</v>
      </c>
      <c r="O46">
        <f t="shared" si="24"/>
        <v>3528</v>
      </c>
      <c r="P46">
        <f t="shared" si="25"/>
        <v>166</v>
      </c>
    </row>
    <row r="47" spans="3:16" x14ac:dyDescent="0.4">
      <c r="C47" s="2">
        <f t="shared" si="22"/>
        <v>43</v>
      </c>
      <c r="D47" s="1">
        <v>36000</v>
      </c>
      <c r="E47" s="1">
        <f>4640000*(100+$U$7)/100</f>
        <v>4640000</v>
      </c>
      <c r="F47" s="1">
        <f t="shared" si="28"/>
        <v>406900</v>
      </c>
      <c r="G47" s="1">
        <f t="shared" si="29"/>
        <v>4337750</v>
      </c>
      <c r="H47" s="1">
        <f t="shared" ref="H47:H54" si="30">F47-F46</f>
        <v>36800</v>
      </c>
      <c r="I47" s="1">
        <f>H47-H46-I46</f>
        <v>1600</v>
      </c>
      <c r="J47">
        <v>660</v>
      </c>
      <c r="K47">
        <f t="shared" si="26"/>
        <v>1012</v>
      </c>
      <c r="L47" s="14">
        <f t="shared" si="27"/>
        <v>0.54545454545454541</v>
      </c>
      <c r="M47">
        <v>650</v>
      </c>
      <c r="N47">
        <f t="shared" si="23"/>
        <v>7233</v>
      </c>
      <c r="O47">
        <f t="shared" si="24"/>
        <v>3698</v>
      </c>
      <c r="P47">
        <f t="shared" si="25"/>
        <v>170</v>
      </c>
    </row>
    <row r="48" spans="3:16" x14ac:dyDescent="0.4">
      <c r="C48" s="2">
        <f t="shared" si="22"/>
        <v>44</v>
      </c>
      <c r="D48" s="1">
        <v>39000</v>
      </c>
      <c r="E48" s="1">
        <f>5123000*(100+$U$7)/100</f>
        <v>5123000</v>
      </c>
      <c r="F48" s="1">
        <f t="shared" si="28"/>
        <v>447000</v>
      </c>
      <c r="G48" s="1">
        <f t="shared" si="29"/>
        <v>4784750</v>
      </c>
      <c r="H48" s="1">
        <f t="shared" si="30"/>
        <v>40100</v>
      </c>
      <c r="I48" s="1">
        <f t="shared" ref="I48:I54" si="31">H48-H47-I47</f>
        <v>1700</v>
      </c>
      <c r="J48">
        <v>680</v>
      </c>
      <c r="K48">
        <f t="shared" si="26"/>
        <v>1032</v>
      </c>
      <c r="L48" s="14">
        <f t="shared" si="27"/>
        <v>0.53488372093023251</v>
      </c>
      <c r="M48">
        <v>700</v>
      </c>
      <c r="N48">
        <f t="shared" si="23"/>
        <v>7933</v>
      </c>
      <c r="O48">
        <f t="shared" si="24"/>
        <v>3872</v>
      </c>
      <c r="P48">
        <f t="shared" si="25"/>
        <v>174</v>
      </c>
    </row>
    <row r="49" spans="3:25" x14ac:dyDescent="0.4">
      <c r="C49" s="2">
        <f t="shared" si="22"/>
        <v>45</v>
      </c>
      <c r="D49" s="1">
        <v>42000</v>
      </c>
      <c r="E49" s="1">
        <f>5652600*(100+$U$7)/100</f>
        <v>5652600</v>
      </c>
      <c r="F49" s="1">
        <f t="shared" si="28"/>
        <v>490600</v>
      </c>
      <c r="G49" s="1">
        <f t="shared" si="29"/>
        <v>5275350</v>
      </c>
      <c r="H49" s="1">
        <f t="shared" si="30"/>
        <v>43600</v>
      </c>
      <c r="I49" s="1">
        <f t="shared" si="31"/>
        <v>1800</v>
      </c>
      <c r="J49">
        <v>700</v>
      </c>
      <c r="K49">
        <f t="shared" si="26"/>
        <v>1052</v>
      </c>
      <c r="L49" s="14">
        <f t="shared" si="27"/>
        <v>0.52471482889733845</v>
      </c>
      <c r="M49">
        <v>750</v>
      </c>
      <c r="N49">
        <f t="shared" si="23"/>
        <v>8683</v>
      </c>
      <c r="O49">
        <f t="shared" si="24"/>
        <v>4050</v>
      </c>
      <c r="P49">
        <f t="shared" si="25"/>
        <v>178</v>
      </c>
    </row>
    <row r="50" spans="3:25" x14ac:dyDescent="0.4">
      <c r="C50" s="2">
        <f t="shared" si="22"/>
        <v>46</v>
      </c>
      <c r="D50" s="1">
        <v>45000</v>
      </c>
      <c r="E50" s="1">
        <f>6232500*(100+$U$7)/100</f>
        <v>6232500</v>
      </c>
      <c r="F50" s="1">
        <f t="shared" si="28"/>
        <v>537900</v>
      </c>
      <c r="G50" s="1">
        <f t="shared" si="29"/>
        <v>5813250</v>
      </c>
      <c r="H50" s="1">
        <f t="shared" si="30"/>
        <v>47300</v>
      </c>
      <c r="I50" s="1">
        <f t="shared" si="31"/>
        <v>1900</v>
      </c>
      <c r="J50">
        <v>720</v>
      </c>
      <c r="K50">
        <f t="shared" si="26"/>
        <v>1072</v>
      </c>
      <c r="L50" s="14">
        <f t="shared" si="27"/>
        <v>0.5149253731343284</v>
      </c>
      <c r="M50">
        <v>800</v>
      </c>
      <c r="N50">
        <f t="shared" si="23"/>
        <v>9483</v>
      </c>
      <c r="O50">
        <f t="shared" si="24"/>
        <v>4232</v>
      </c>
      <c r="P50">
        <f t="shared" si="25"/>
        <v>182</v>
      </c>
    </row>
    <row r="51" spans="3:25" x14ac:dyDescent="0.4">
      <c r="C51" s="2">
        <f t="shared" si="22"/>
        <v>47</v>
      </c>
      <c r="D51" s="1">
        <v>50000</v>
      </c>
      <c r="E51" s="1">
        <f>6866600*(100+$U$7)/100</f>
        <v>6866600</v>
      </c>
      <c r="F51" s="1">
        <f t="shared" si="28"/>
        <v>589100</v>
      </c>
      <c r="G51" s="1">
        <f t="shared" si="29"/>
        <v>6402350</v>
      </c>
      <c r="H51" s="1">
        <f t="shared" si="30"/>
        <v>51200</v>
      </c>
      <c r="I51" s="1">
        <f t="shared" si="31"/>
        <v>2000</v>
      </c>
      <c r="J51">
        <v>740</v>
      </c>
      <c r="K51">
        <f t="shared" si="26"/>
        <v>1092</v>
      </c>
      <c r="L51" s="14">
        <f t="shared" si="27"/>
        <v>0.50549450549450547</v>
      </c>
      <c r="M51">
        <v>850</v>
      </c>
      <c r="N51">
        <f t="shared" si="23"/>
        <v>10333</v>
      </c>
      <c r="O51">
        <f t="shared" si="24"/>
        <v>4418</v>
      </c>
      <c r="P51">
        <f t="shared" si="25"/>
        <v>186</v>
      </c>
    </row>
    <row r="52" spans="3:25" x14ac:dyDescent="0.4">
      <c r="C52" s="2">
        <f t="shared" si="22"/>
        <v>48</v>
      </c>
      <c r="D52" s="1">
        <v>55000</v>
      </c>
      <c r="E52" s="1">
        <f>7561000*(100+$U$7)/100</f>
        <v>7561000</v>
      </c>
      <c r="F52" s="1">
        <f t="shared" si="28"/>
        <v>644400</v>
      </c>
      <c r="G52" s="1">
        <f t="shared" si="29"/>
        <v>7046750</v>
      </c>
      <c r="H52" s="1">
        <f t="shared" si="30"/>
        <v>55300</v>
      </c>
      <c r="I52" s="1">
        <f t="shared" si="31"/>
        <v>2100</v>
      </c>
      <c r="J52">
        <v>760</v>
      </c>
      <c r="K52">
        <f t="shared" si="26"/>
        <v>1112</v>
      </c>
      <c r="L52" s="14">
        <f t="shared" si="27"/>
        <v>0.49640287769784175</v>
      </c>
      <c r="M52">
        <v>900</v>
      </c>
      <c r="N52">
        <f t="shared" si="23"/>
        <v>11233</v>
      </c>
      <c r="O52">
        <f t="shared" si="24"/>
        <v>4608</v>
      </c>
      <c r="P52">
        <f t="shared" si="25"/>
        <v>190</v>
      </c>
    </row>
    <row r="53" spans="3:25" x14ac:dyDescent="0.4">
      <c r="C53" s="2">
        <f t="shared" si="22"/>
        <v>49</v>
      </c>
      <c r="D53" s="1">
        <v>60000</v>
      </c>
      <c r="E53" s="1">
        <f>8320000*(100+$U$7)/100</f>
        <v>8320000</v>
      </c>
      <c r="F53" s="1">
        <f t="shared" si="28"/>
        <v>704000</v>
      </c>
      <c r="G53" s="1">
        <f t="shared" si="29"/>
        <v>7750750</v>
      </c>
      <c r="H53" s="1">
        <f t="shared" si="30"/>
        <v>59600</v>
      </c>
      <c r="I53" s="1">
        <f t="shared" si="31"/>
        <v>2200</v>
      </c>
      <c r="J53">
        <v>780</v>
      </c>
      <c r="K53">
        <f t="shared" si="26"/>
        <v>1132</v>
      </c>
      <c r="L53" s="14">
        <f t="shared" si="27"/>
        <v>0.48763250883392228</v>
      </c>
      <c r="M53">
        <v>950</v>
      </c>
      <c r="N53">
        <f t="shared" si="23"/>
        <v>12183</v>
      </c>
      <c r="O53">
        <f t="shared" si="24"/>
        <v>4802</v>
      </c>
      <c r="P53">
        <f t="shared" si="25"/>
        <v>194</v>
      </c>
    </row>
    <row r="54" spans="3:25" x14ac:dyDescent="0.4">
      <c r="C54" s="2">
        <f t="shared" si="22"/>
        <v>50</v>
      </c>
      <c r="D54" s="1">
        <v>100</v>
      </c>
      <c r="E54" s="1">
        <f>9148100*(100+$U$7)/100</f>
        <v>9148100</v>
      </c>
      <c r="F54" s="1">
        <f t="shared" si="28"/>
        <v>768100</v>
      </c>
      <c r="G54" s="1">
        <f t="shared" si="29"/>
        <v>8518850</v>
      </c>
      <c r="H54" s="1">
        <f t="shared" si="30"/>
        <v>64100</v>
      </c>
      <c r="I54" s="1">
        <f t="shared" si="31"/>
        <v>2300</v>
      </c>
      <c r="J54">
        <v>800</v>
      </c>
      <c r="K54">
        <f t="shared" si="26"/>
        <v>1152</v>
      </c>
      <c r="L54" s="14">
        <f t="shared" si="27"/>
        <v>0.47916666666666669</v>
      </c>
      <c r="M54" s="10">
        <v>1000</v>
      </c>
      <c r="N54">
        <f t="shared" si="23"/>
        <v>13183</v>
      </c>
      <c r="O54">
        <f t="shared" si="24"/>
        <v>5000</v>
      </c>
      <c r="P54">
        <f t="shared" si="25"/>
        <v>198</v>
      </c>
      <c r="Y54" t="s">
        <v>36</v>
      </c>
    </row>
  </sheetData>
  <phoneticPr fontId="3" type="noConversion"/>
  <conditionalFormatting sqref="C4:C23 C25:C29">
    <cfRule type="colorScale" priority="242">
      <colorScale>
        <cfvo type="min"/>
        <cfvo type="max"/>
        <color theme="4" tint="0.59999389629810485"/>
        <color rgb="FFF97B7B"/>
      </colorScale>
    </cfRule>
  </conditionalFormatting>
  <conditionalFormatting sqref="G4:G23 G25:G29">
    <cfRule type="colorScale" priority="240">
      <colorScale>
        <cfvo type="min"/>
        <cfvo type="max"/>
        <color theme="0"/>
        <color rgb="FFFFFF93"/>
      </colorScale>
    </cfRule>
  </conditionalFormatting>
  <conditionalFormatting sqref="F4:F23 F25:F29">
    <cfRule type="colorScale" priority="239">
      <colorScale>
        <cfvo type="min"/>
        <cfvo type="max"/>
        <color theme="0"/>
        <color rgb="FF4E79C6"/>
      </colorScale>
    </cfRule>
  </conditionalFormatting>
  <conditionalFormatting sqref="H5">
    <cfRule type="cellIs" dxfId="96" priority="238" operator="lessThan">
      <formula>0</formula>
    </cfRule>
  </conditionalFormatting>
  <conditionalFormatting sqref="H6">
    <cfRule type="cellIs" dxfId="95" priority="213" operator="lessThan">
      <formula>0+$H$4</formula>
    </cfRule>
  </conditionalFormatting>
  <conditionalFormatting sqref="H7">
    <cfRule type="cellIs" dxfId="94" priority="212" operator="lessThan">
      <formula>0+$H$4</formula>
    </cfRule>
  </conditionalFormatting>
  <conditionalFormatting sqref="H8">
    <cfRule type="cellIs" dxfId="93" priority="211" operator="lessThan">
      <formula>0+$H$4</formula>
    </cfRule>
  </conditionalFormatting>
  <conditionalFormatting sqref="H9">
    <cfRule type="cellIs" dxfId="92" priority="210" operator="lessThan">
      <formula>0+$H$4</formula>
    </cfRule>
  </conditionalFormatting>
  <conditionalFormatting sqref="H10">
    <cfRule type="cellIs" dxfId="91" priority="209" operator="lessThan">
      <formula>0+$H$4</formula>
    </cfRule>
  </conditionalFormatting>
  <conditionalFormatting sqref="H11">
    <cfRule type="cellIs" dxfId="90" priority="208" operator="lessThan">
      <formula>0+$H$4</formula>
    </cfRule>
  </conditionalFormatting>
  <conditionalFormatting sqref="H12">
    <cfRule type="cellIs" dxfId="89" priority="207" operator="lessThan">
      <formula>0+$H$4</formula>
    </cfRule>
  </conditionalFormatting>
  <conditionalFormatting sqref="H13">
    <cfRule type="cellIs" dxfId="88" priority="206" operator="lessThan">
      <formula>0+$H$4</formula>
    </cfRule>
  </conditionalFormatting>
  <conditionalFormatting sqref="H14">
    <cfRule type="cellIs" dxfId="87" priority="205" operator="lessThan">
      <formula>0+$H$4</formula>
    </cfRule>
  </conditionalFormatting>
  <conditionalFormatting sqref="H15">
    <cfRule type="cellIs" dxfId="86" priority="204" operator="lessThan">
      <formula>0+$H$4</formula>
    </cfRule>
  </conditionalFormatting>
  <conditionalFormatting sqref="H16">
    <cfRule type="cellIs" dxfId="85" priority="203" operator="lessThan">
      <formula>0+$H$4</formula>
    </cfRule>
  </conditionalFormatting>
  <conditionalFormatting sqref="H17">
    <cfRule type="cellIs" dxfId="84" priority="202" operator="lessThan">
      <formula>0+$H$4</formula>
    </cfRule>
  </conditionalFormatting>
  <conditionalFormatting sqref="H18">
    <cfRule type="cellIs" dxfId="83" priority="201" operator="lessThan">
      <formula>0+$H$4</formula>
    </cfRule>
  </conditionalFormatting>
  <conditionalFormatting sqref="H19">
    <cfRule type="cellIs" dxfId="82" priority="200" operator="lessThan">
      <formula>0+$H$4</formula>
    </cfRule>
  </conditionalFormatting>
  <conditionalFormatting sqref="H20">
    <cfRule type="cellIs" dxfId="81" priority="199" operator="lessThan">
      <formula>0+$H$4</formula>
    </cfRule>
  </conditionalFormatting>
  <conditionalFormatting sqref="H21">
    <cfRule type="cellIs" dxfId="80" priority="198" operator="lessThan">
      <formula>0+$H$4</formula>
    </cfRule>
  </conditionalFormatting>
  <conditionalFormatting sqref="H22">
    <cfRule type="cellIs" dxfId="79" priority="197" operator="lessThan">
      <formula>0+$H$4</formula>
    </cfRule>
  </conditionalFormatting>
  <conditionalFormatting sqref="H23">
    <cfRule type="cellIs" dxfId="78" priority="196" operator="lessThan">
      <formula>0+$H$4</formula>
    </cfRule>
  </conditionalFormatting>
  <conditionalFormatting sqref="H25">
    <cfRule type="cellIs" dxfId="77" priority="194" operator="lessThan">
      <formula>0+$H$4</formula>
    </cfRule>
  </conditionalFormatting>
  <conditionalFormatting sqref="H26">
    <cfRule type="cellIs" dxfId="76" priority="193" operator="lessThan">
      <formula>0+$H$4</formula>
    </cfRule>
  </conditionalFormatting>
  <conditionalFormatting sqref="H27">
    <cfRule type="cellIs" dxfId="75" priority="192" operator="lessThan">
      <formula>0+$H$4</formula>
    </cfRule>
  </conditionalFormatting>
  <conditionalFormatting sqref="H28">
    <cfRule type="cellIs" dxfId="74" priority="191" operator="lessThan">
      <formula>0+$H$4</formula>
    </cfRule>
  </conditionalFormatting>
  <conditionalFormatting sqref="H29">
    <cfRule type="cellIs" dxfId="73" priority="190" operator="lessThan">
      <formula>0+$H$4</formula>
    </cfRule>
  </conditionalFormatting>
  <conditionalFormatting sqref="I6">
    <cfRule type="cellIs" dxfId="72" priority="188" operator="lessThan">
      <formula>0</formula>
    </cfRule>
  </conditionalFormatting>
  <conditionalFormatting sqref="I7">
    <cfRule type="cellIs" dxfId="71" priority="140" operator="lessThan">
      <formula>0</formula>
    </cfRule>
  </conditionalFormatting>
  <conditionalFormatting sqref="I8">
    <cfRule type="cellIs" dxfId="70" priority="139" operator="lessThan">
      <formula>0</formula>
    </cfRule>
  </conditionalFormatting>
  <conditionalFormatting sqref="I9">
    <cfRule type="cellIs" dxfId="69" priority="138" operator="lessThan">
      <formula>0</formula>
    </cfRule>
  </conditionalFormatting>
  <conditionalFormatting sqref="I10">
    <cfRule type="cellIs" dxfId="68" priority="137" operator="lessThan">
      <formula>0</formula>
    </cfRule>
  </conditionalFormatting>
  <conditionalFormatting sqref="I11">
    <cfRule type="cellIs" dxfId="67" priority="136" operator="lessThan">
      <formula>0</formula>
    </cfRule>
  </conditionalFormatting>
  <conditionalFormatting sqref="I12">
    <cfRule type="cellIs" dxfId="66" priority="135" operator="lessThan">
      <formula>0</formula>
    </cfRule>
  </conditionalFormatting>
  <conditionalFormatting sqref="I13">
    <cfRule type="cellIs" dxfId="65" priority="134" operator="lessThan">
      <formula>0</formula>
    </cfRule>
  </conditionalFormatting>
  <conditionalFormatting sqref="I14">
    <cfRule type="cellIs" dxfId="64" priority="133" operator="lessThan">
      <formula>0</formula>
    </cfRule>
  </conditionalFormatting>
  <conditionalFormatting sqref="I15">
    <cfRule type="cellIs" dxfId="63" priority="132" operator="lessThan">
      <formula>0</formula>
    </cfRule>
  </conditionalFormatting>
  <conditionalFormatting sqref="I16">
    <cfRule type="cellIs" dxfId="62" priority="131" operator="lessThan">
      <formula>0</formula>
    </cfRule>
  </conditionalFormatting>
  <conditionalFormatting sqref="I17">
    <cfRule type="cellIs" dxfId="61" priority="130" operator="lessThan">
      <formula>0</formula>
    </cfRule>
  </conditionalFormatting>
  <conditionalFormatting sqref="I18">
    <cfRule type="cellIs" dxfId="60" priority="129" operator="lessThan">
      <formula>0</formula>
    </cfRule>
  </conditionalFormatting>
  <conditionalFormatting sqref="I19">
    <cfRule type="cellIs" dxfId="59" priority="128" operator="lessThan">
      <formula>0</formula>
    </cfRule>
  </conditionalFormatting>
  <conditionalFormatting sqref="I20">
    <cfRule type="cellIs" dxfId="58" priority="127" operator="lessThan">
      <formula>0</formula>
    </cfRule>
  </conditionalFormatting>
  <conditionalFormatting sqref="I21">
    <cfRule type="cellIs" dxfId="57" priority="126" operator="lessThan">
      <formula>0</formula>
    </cfRule>
  </conditionalFormatting>
  <conditionalFormatting sqref="I22">
    <cfRule type="cellIs" dxfId="56" priority="125" operator="lessThan">
      <formula>0</formula>
    </cfRule>
  </conditionalFormatting>
  <conditionalFormatting sqref="I23">
    <cfRule type="cellIs" dxfId="55" priority="124" operator="lessThan">
      <formula>0</formula>
    </cfRule>
  </conditionalFormatting>
  <conditionalFormatting sqref="I25">
    <cfRule type="cellIs" dxfId="54" priority="122" operator="lessThan">
      <formula>0</formula>
    </cfRule>
  </conditionalFormatting>
  <conditionalFormatting sqref="I26">
    <cfRule type="cellIs" dxfId="53" priority="121" operator="lessThan">
      <formula>0</formula>
    </cfRule>
  </conditionalFormatting>
  <conditionalFormatting sqref="I27">
    <cfRule type="cellIs" dxfId="52" priority="120" operator="lessThan">
      <formula>0</formula>
    </cfRule>
  </conditionalFormatting>
  <conditionalFormatting sqref="I28">
    <cfRule type="cellIs" dxfId="51" priority="119" operator="lessThan">
      <formula>0</formula>
    </cfRule>
  </conditionalFormatting>
  <conditionalFormatting sqref="I29">
    <cfRule type="cellIs" dxfId="50" priority="118" operator="lessThan">
      <formula>0</formula>
    </cfRule>
  </conditionalFormatting>
  <conditionalFormatting sqref="C30:C34">
    <cfRule type="colorScale" priority="117">
      <colorScale>
        <cfvo type="min"/>
        <cfvo type="max"/>
        <color theme="4" tint="0.59999389629810485"/>
        <color rgb="FFF97B7B"/>
      </colorScale>
    </cfRule>
  </conditionalFormatting>
  <conditionalFormatting sqref="G30:G34">
    <cfRule type="colorScale" priority="116">
      <colorScale>
        <cfvo type="min"/>
        <cfvo type="max"/>
        <color theme="0"/>
        <color rgb="FFFFFF93"/>
      </colorScale>
    </cfRule>
  </conditionalFormatting>
  <conditionalFormatting sqref="F30:F34">
    <cfRule type="colorScale" priority="115">
      <colorScale>
        <cfvo type="min"/>
        <cfvo type="max"/>
        <color theme="0"/>
        <color rgb="FF4E79C6"/>
      </colorScale>
    </cfRule>
  </conditionalFormatting>
  <conditionalFormatting sqref="H30">
    <cfRule type="cellIs" dxfId="49" priority="114" operator="lessThan">
      <formula>0+$H$4</formula>
    </cfRule>
  </conditionalFormatting>
  <conditionalFormatting sqref="H31">
    <cfRule type="cellIs" dxfId="48" priority="113" operator="lessThan">
      <formula>0+$H$4</formula>
    </cfRule>
  </conditionalFormatting>
  <conditionalFormatting sqref="H32">
    <cfRule type="cellIs" dxfId="47" priority="112" operator="lessThan">
      <formula>0+$H$4</formula>
    </cfRule>
  </conditionalFormatting>
  <conditionalFormatting sqref="H33">
    <cfRule type="cellIs" dxfId="46" priority="111" operator="lessThan">
      <formula>0+$H$4</formula>
    </cfRule>
  </conditionalFormatting>
  <conditionalFormatting sqref="H34">
    <cfRule type="cellIs" dxfId="45" priority="110" operator="lessThan">
      <formula>0+$H$4</formula>
    </cfRule>
  </conditionalFormatting>
  <conditionalFormatting sqref="I30">
    <cfRule type="cellIs" dxfId="44" priority="109" operator="lessThan">
      <formula>0</formula>
    </cfRule>
  </conditionalFormatting>
  <conditionalFormatting sqref="I31">
    <cfRule type="cellIs" dxfId="43" priority="108" operator="lessThan">
      <formula>0</formula>
    </cfRule>
  </conditionalFormatting>
  <conditionalFormatting sqref="I32">
    <cfRule type="cellIs" dxfId="42" priority="107" operator="lessThan">
      <formula>0</formula>
    </cfRule>
  </conditionalFormatting>
  <conditionalFormatting sqref="I33">
    <cfRule type="cellIs" dxfId="41" priority="106" operator="lessThan">
      <formula>0</formula>
    </cfRule>
  </conditionalFormatting>
  <conditionalFormatting sqref="I34">
    <cfRule type="cellIs" dxfId="40" priority="105" operator="lessThan">
      <formula>0</formula>
    </cfRule>
  </conditionalFormatting>
  <conditionalFormatting sqref="C35:C39">
    <cfRule type="colorScale" priority="104">
      <colorScale>
        <cfvo type="min"/>
        <cfvo type="max"/>
        <color theme="4" tint="0.59999389629810485"/>
        <color rgb="FFF97B7B"/>
      </colorScale>
    </cfRule>
  </conditionalFormatting>
  <conditionalFormatting sqref="G35:G39">
    <cfRule type="colorScale" priority="103">
      <colorScale>
        <cfvo type="min"/>
        <cfvo type="max"/>
        <color theme="0"/>
        <color rgb="FFFFFF93"/>
      </colorScale>
    </cfRule>
  </conditionalFormatting>
  <conditionalFormatting sqref="F35:F39">
    <cfRule type="colorScale" priority="102">
      <colorScale>
        <cfvo type="min"/>
        <cfvo type="max"/>
        <color theme="0"/>
        <color rgb="FF4E79C6"/>
      </colorScale>
    </cfRule>
  </conditionalFormatting>
  <conditionalFormatting sqref="H35">
    <cfRule type="cellIs" dxfId="39" priority="101" operator="lessThan">
      <formula>0+$H$4</formula>
    </cfRule>
  </conditionalFormatting>
  <conditionalFormatting sqref="H36">
    <cfRule type="cellIs" dxfId="38" priority="100" operator="lessThan">
      <formula>0+$H$4</formula>
    </cfRule>
  </conditionalFormatting>
  <conditionalFormatting sqref="H37">
    <cfRule type="cellIs" dxfId="37" priority="99" operator="lessThan">
      <formula>0+$H$4</formula>
    </cfRule>
  </conditionalFormatting>
  <conditionalFormatting sqref="H38">
    <cfRule type="cellIs" dxfId="36" priority="98" operator="lessThan">
      <formula>0+$H$4</formula>
    </cfRule>
  </conditionalFormatting>
  <conditionalFormatting sqref="H39">
    <cfRule type="cellIs" dxfId="35" priority="97" operator="lessThan">
      <formula>0+$H$4</formula>
    </cfRule>
  </conditionalFormatting>
  <conditionalFormatting sqref="I35">
    <cfRule type="cellIs" dxfId="34" priority="96" operator="lessThan">
      <formula>0</formula>
    </cfRule>
  </conditionalFormatting>
  <conditionalFormatting sqref="I36">
    <cfRule type="cellIs" dxfId="33" priority="95" operator="lessThan">
      <formula>0</formula>
    </cfRule>
  </conditionalFormatting>
  <conditionalFormatting sqref="I37">
    <cfRule type="cellIs" dxfId="32" priority="94" operator="lessThan">
      <formula>0</formula>
    </cfRule>
  </conditionalFormatting>
  <conditionalFormatting sqref="I38">
    <cfRule type="cellIs" dxfId="31" priority="93" operator="lessThan">
      <formula>0</formula>
    </cfRule>
  </conditionalFormatting>
  <conditionalFormatting sqref="I39">
    <cfRule type="cellIs" dxfId="30" priority="92" operator="lessThan">
      <formula>0</formula>
    </cfRule>
  </conditionalFormatting>
  <conditionalFormatting sqref="C40:C44">
    <cfRule type="colorScale" priority="91">
      <colorScale>
        <cfvo type="min"/>
        <cfvo type="max"/>
        <color theme="4" tint="0.59999389629810485"/>
        <color rgb="FFF97B7B"/>
      </colorScale>
    </cfRule>
  </conditionalFormatting>
  <conditionalFormatting sqref="G40:G43">
    <cfRule type="colorScale" priority="90">
      <colorScale>
        <cfvo type="min"/>
        <cfvo type="max"/>
        <color theme="0"/>
        <color rgb="FFFFFF93"/>
      </colorScale>
    </cfRule>
  </conditionalFormatting>
  <conditionalFormatting sqref="F40:F43">
    <cfRule type="colorScale" priority="89">
      <colorScale>
        <cfvo type="min"/>
        <cfvo type="max"/>
        <color theme="0"/>
        <color rgb="FF4E79C6"/>
      </colorScale>
    </cfRule>
  </conditionalFormatting>
  <conditionalFormatting sqref="H40">
    <cfRule type="cellIs" dxfId="29" priority="88" operator="lessThan">
      <formula>0+$H$4</formula>
    </cfRule>
  </conditionalFormatting>
  <conditionalFormatting sqref="H41">
    <cfRule type="cellIs" dxfId="28" priority="87" operator="lessThan">
      <formula>0+$H$4</formula>
    </cfRule>
  </conditionalFormatting>
  <conditionalFormatting sqref="H42">
    <cfRule type="cellIs" dxfId="27" priority="86" operator="lessThan">
      <formula>0+$H$4</formula>
    </cfRule>
  </conditionalFormatting>
  <conditionalFormatting sqref="H43">
    <cfRule type="cellIs" dxfId="26" priority="85" operator="lessThan">
      <formula>0+$H$4</formula>
    </cfRule>
  </conditionalFormatting>
  <conditionalFormatting sqref="I40">
    <cfRule type="cellIs" dxfId="25" priority="83" operator="lessThan">
      <formula>0</formula>
    </cfRule>
  </conditionalFormatting>
  <conditionalFormatting sqref="I41">
    <cfRule type="cellIs" dxfId="24" priority="82" operator="lessThan">
      <formula>0</formula>
    </cfRule>
  </conditionalFormatting>
  <conditionalFormatting sqref="I42">
    <cfRule type="cellIs" dxfId="23" priority="81" operator="lessThan">
      <formula>0</formula>
    </cfRule>
  </conditionalFormatting>
  <conditionalFormatting sqref="I43">
    <cfRule type="cellIs" dxfId="22" priority="80" operator="lessThan">
      <formula>0</formula>
    </cfRule>
  </conditionalFormatting>
  <conditionalFormatting sqref="C45:C49">
    <cfRule type="colorScale" priority="78">
      <colorScale>
        <cfvo type="min"/>
        <cfvo type="max"/>
        <color theme="4" tint="0.59999389629810485"/>
        <color rgb="FFF97B7B"/>
      </colorScale>
    </cfRule>
  </conditionalFormatting>
  <conditionalFormatting sqref="G45:G49">
    <cfRule type="colorScale" priority="77">
      <colorScale>
        <cfvo type="min"/>
        <cfvo type="max"/>
        <color theme="0"/>
        <color rgb="FFFFFF93"/>
      </colorScale>
    </cfRule>
  </conditionalFormatting>
  <conditionalFormatting sqref="F45:F49">
    <cfRule type="colorScale" priority="76">
      <colorScale>
        <cfvo type="min"/>
        <cfvo type="max"/>
        <color theme="0"/>
        <color rgb="FF4E79C6"/>
      </colorScale>
    </cfRule>
  </conditionalFormatting>
  <conditionalFormatting sqref="H45">
    <cfRule type="cellIs" dxfId="21" priority="75" operator="lessThan">
      <formula>0+$H$4</formula>
    </cfRule>
  </conditionalFormatting>
  <conditionalFormatting sqref="H46">
    <cfRule type="cellIs" dxfId="20" priority="74" operator="lessThan">
      <formula>0+$H$4</formula>
    </cfRule>
  </conditionalFormatting>
  <conditionalFormatting sqref="H47">
    <cfRule type="cellIs" dxfId="19" priority="73" operator="lessThan">
      <formula>0+$H$4</formula>
    </cfRule>
  </conditionalFormatting>
  <conditionalFormatting sqref="H48">
    <cfRule type="cellIs" dxfId="18" priority="72" operator="lessThan">
      <formula>0+$H$4</formula>
    </cfRule>
  </conditionalFormatting>
  <conditionalFormatting sqref="H49">
    <cfRule type="cellIs" dxfId="17" priority="71" operator="lessThan">
      <formula>0+$H$4</formula>
    </cfRule>
  </conditionalFormatting>
  <conditionalFormatting sqref="I45">
    <cfRule type="cellIs" dxfId="16" priority="70" operator="lessThan">
      <formula>0</formula>
    </cfRule>
  </conditionalFormatting>
  <conditionalFormatting sqref="I46">
    <cfRule type="cellIs" dxfId="15" priority="69" operator="lessThan">
      <formula>0</formula>
    </cfRule>
  </conditionalFormatting>
  <conditionalFormatting sqref="I47">
    <cfRule type="cellIs" dxfId="14" priority="68" operator="lessThan">
      <formula>0</formula>
    </cfRule>
  </conditionalFormatting>
  <conditionalFormatting sqref="I48">
    <cfRule type="cellIs" dxfId="13" priority="67" operator="lessThan">
      <formula>0</formula>
    </cfRule>
  </conditionalFormatting>
  <conditionalFormatting sqref="I49">
    <cfRule type="cellIs" dxfId="12" priority="66" operator="lessThan">
      <formula>0</formula>
    </cfRule>
  </conditionalFormatting>
  <conditionalFormatting sqref="C50:C54">
    <cfRule type="colorScale" priority="65">
      <colorScale>
        <cfvo type="min"/>
        <cfvo type="max"/>
        <color theme="4" tint="0.59999389629810485"/>
        <color rgb="FFF97B7B"/>
      </colorScale>
    </cfRule>
  </conditionalFormatting>
  <conditionalFormatting sqref="G50:G54">
    <cfRule type="colorScale" priority="64">
      <colorScale>
        <cfvo type="min"/>
        <cfvo type="max"/>
        <color theme="0"/>
        <color rgb="FFFFFF93"/>
      </colorScale>
    </cfRule>
  </conditionalFormatting>
  <conditionalFormatting sqref="F50:F54">
    <cfRule type="colorScale" priority="63">
      <colorScale>
        <cfvo type="min"/>
        <cfvo type="max"/>
        <color theme="0"/>
        <color rgb="FF4E79C6"/>
      </colorScale>
    </cfRule>
  </conditionalFormatting>
  <conditionalFormatting sqref="H50">
    <cfRule type="cellIs" dxfId="11" priority="62" operator="lessThan">
      <formula>0+$H$4</formula>
    </cfRule>
  </conditionalFormatting>
  <conditionalFormatting sqref="H51">
    <cfRule type="cellIs" dxfId="10" priority="61" operator="lessThan">
      <formula>0+$H$4</formula>
    </cfRule>
  </conditionalFormatting>
  <conditionalFormatting sqref="H52">
    <cfRule type="cellIs" dxfId="9" priority="60" operator="lessThan">
      <formula>0+$H$4</formula>
    </cfRule>
  </conditionalFormatting>
  <conditionalFormatting sqref="H53">
    <cfRule type="cellIs" dxfId="8" priority="59" operator="lessThan">
      <formula>0+$H$4</formula>
    </cfRule>
  </conditionalFormatting>
  <conditionalFormatting sqref="H54">
    <cfRule type="cellIs" dxfId="7" priority="58" operator="lessThan">
      <formula>0+$H$4</formula>
    </cfRule>
  </conditionalFormatting>
  <conditionalFormatting sqref="I50">
    <cfRule type="cellIs" dxfId="6" priority="57" operator="lessThan">
      <formula>0</formula>
    </cfRule>
  </conditionalFormatting>
  <conditionalFormatting sqref="I51">
    <cfRule type="cellIs" dxfId="5" priority="56" operator="lessThan">
      <formula>0</formula>
    </cfRule>
  </conditionalFormatting>
  <conditionalFormatting sqref="I52">
    <cfRule type="cellIs" dxfId="4" priority="55" operator="lessThan">
      <formula>0</formula>
    </cfRule>
  </conditionalFormatting>
  <conditionalFormatting sqref="I53">
    <cfRule type="cellIs" dxfId="3" priority="54" operator="lessThan">
      <formula>0</formula>
    </cfRule>
  </conditionalFormatting>
  <conditionalFormatting sqref="I54">
    <cfRule type="cellIs" dxfId="2" priority="53" operator="lessThan">
      <formula>0</formula>
    </cfRule>
  </conditionalFormatting>
  <conditionalFormatting sqref="C4:C54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:F43 F45:F54">
    <cfRule type="colorScale" priority="51">
      <colorScale>
        <cfvo type="min"/>
        <cfvo type="max"/>
        <color theme="0"/>
        <color rgb="FF4E79C6"/>
      </colorScale>
    </cfRule>
  </conditionalFormatting>
  <conditionalFormatting sqref="G4:G43 G45:G54">
    <cfRule type="colorScale" priority="50">
      <colorScale>
        <cfvo type="min"/>
        <cfvo type="max"/>
        <color theme="0"/>
        <color rgb="FFFFFF93"/>
      </colorScale>
    </cfRule>
  </conditionalFormatting>
  <conditionalFormatting sqref="H4:H43 H45:H54">
    <cfRule type="cellIs" dxfId="1" priority="49" operator="lessThan">
      <formula>0</formula>
    </cfRule>
  </conditionalFormatting>
  <conditionalFormatting sqref="I4:I43 I45:I54">
    <cfRule type="cellIs" dxfId="0" priority="48" operator="lessThan">
      <formula>0</formula>
    </cfRule>
  </conditionalFormatting>
  <conditionalFormatting sqref="Z4:Z23">
    <cfRule type="colorScale" priority="47">
      <colorScale>
        <cfvo type="min"/>
        <cfvo type="max"/>
        <color theme="4" tint="0.59999389629810485"/>
        <color rgb="FFF97B7B"/>
      </colorScale>
    </cfRule>
  </conditionalFormatting>
  <conditionalFormatting sqref="Z4:Z2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4:AL23">
    <cfRule type="colorScale" priority="2">
      <colorScale>
        <cfvo type="min"/>
        <cfvo type="max"/>
        <color theme="4" tint="0.59999389629810485"/>
        <color rgb="FFF97B7B"/>
      </colorScale>
    </cfRule>
  </conditionalFormatting>
  <conditionalFormatting sqref="AL4:AL2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2023-06-06T14:38:26Z</dcterms:created>
  <dcterms:modified xsi:type="dcterms:W3CDTF">2023-07-22T07:25:05Z</dcterms:modified>
</cp:coreProperties>
</file>