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f22dee754c163/ESCOLA/EEC3/1º Semestre/Instalações Elétricas/TP FINAL/calculations/"/>
    </mc:Choice>
  </mc:AlternateContent>
  <xr:revisionPtr revIDLastSave="2" documentId="8_{8791DFC6-84D1-4AC4-8B3D-350C61339579}" xr6:coauthVersionLast="47" xr6:coauthVersionMax="47" xr10:uidLastSave="{4F90EFAB-62EE-4084-9511-13A762165E1F}"/>
  <bookViews>
    <workbookView xWindow="-98" yWindow="-98" windowWidth="24196" windowHeight="15196" xr2:uid="{9562D6E2-07C7-46A5-B96F-53B7430DE0DA}"/>
  </bookViews>
  <sheets>
    <sheet name="Dimensionamento" sheetId="1" r:id="rId1"/>
    <sheet name="Auxiliares-D" sheetId="2" r:id="rId2"/>
  </sheets>
  <definedNames>
    <definedName name="Método_A">'Auxiliares-D'!$U$4:$U$8</definedName>
    <definedName name="Método_A2">'Auxiliares-D'!$V$4:$V$5</definedName>
    <definedName name="Método_B">'Auxiliares-D'!$W$4:$W$16</definedName>
    <definedName name="Método_B2">'Auxiliares-D'!$X$4:$X$12</definedName>
    <definedName name="Método_C">'Auxiliares-D'!$Y$4:$Y$9</definedName>
    <definedName name="Método_D">'Auxiliares-D'!$Z$4:$Z$6</definedName>
    <definedName name="Método_E">'Auxiliares-D'!$AA$4:$AA$8</definedName>
    <definedName name="Método_F">'Auxiliares-D'!$AB$4:$AB$7</definedName>
    <definedName name="Método_G">'Auxiliares-D'!$AC$4:$AC$8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0" i="1"/>
  <c r="N11" i="1"/>
  <c r="N12" i="1"/>
  <c r="N13" i="1"/>
  <c r="N14" i="1"/>
  <c r="N15" i="1"/>
  <c r="N24" i="1"/>
  <c r="N34" i="1"/>
  <c r="F11" i="1"/>
  <c r="F10" i="1"/>
  <c r="F12" i="1"/>
  <c r="F13" i="1"/>
  <c r="F14" i="1"/>
  <c r="F15" i="1"/>
  <c r="F24" i="1"/>
  <c r="F34" i="1"/>
  <c r="J48" i="1" l="1"/>
  <c r="J11" i="1" l="1"/>
  <c r="H12" i="1"/>
  <c r="J12" i="1" s="1"/>
  <c r="H13" i="1"/>
  <c r="H24" i="1"/>
  <c r="J10" i="1"/>
  <c r="J13" i="1"/>
  <c r="J14" i="1"/>
  <c r="J15" i="1"/>
  <c r="H14" i="1"/>
  <c r="H15" i="1"/>
  <c r="AY11" i="1"/>
  <c r="AY14" i="1"/>
  <c r="AY15" i="1"/>
  <c r="AY16" i="1"/>
  <c r="AY17" i="1"/>
  <c r="AY20" i="1"/>
  <c r="AY23" i="1"/>
  <c r="AY26" i="1"/>
  <c r="AY27" i="1"/>
  <c r="AY28" i="1"/>
  <c r="AY29" i="1"/>
  <c r="AY30" i="1"/>
  <c r="AY31" i="1"/>
  <c r="AY35" i="1"/>
  <c r="AY36" i="1"/>
  <c r="AY37" i="1"/>
  <c r="AY38" i="1"/>
  <c r="AY39" i="1"/>
  <c r="AY40" i="1"/>
  <c r="AY41" i="1"/>
  <c r="AX11" i="1"/>
  <c r="AX12" i="1"/>
  <c r="AY12" i="1" s="1"/>
  <c r="AX13" i="1"/>
  <c r="AY13" i="1" s="1"/>
  <c r="AX14" i="1"/>
  <c r="AX15" i="1"/>
  <c r="AX16" i="1"/>
  <c r="AX17" i="1"/>
  <c r="AX18" i="1"/>
  <c r="AY18" i="1" s="1"/>
  <c r="AX19" i="1"/>
  <c r="AY19" i="1" s="1"/>
  <c r="AX20" i="1"/>
  <c r="AX21" i="1"/>
  <c r="AY21" i="1" s="1"/>
  <c r="AX22" i="1"/>
  <c r="AY22" i="1" s="1"/>
  <c r="AX23" i="1"/>
  <c r="AX24" i="1"/>
  <c r="AY24" i="1" s="1"/>
  <c r="AX25" i="1"/>
  <c r="AY25" i="1" s="1"/>
  <c r="AX26" i="1"/>
  <c r="AX27" i="1"/>
  <c r="AX28" i="1"/>
  <c r="AX29" i="1"/>
  <c r="AX30" i="1"/>
  <c r="AX31" i="1"/>
  <c r="AX32" i="1"/>
  <c r="AY32" i="1" s="1"/>
  <c r="AX33" i="1"/>
  <c r="AY33" i="1" s="1"/>
  <c r="AX34" i="1"/>
  <c r="AY34" i="1" s="1"/>
  <c r="AX35" i="1"/>
  <c r="AX36" i="1"/>
  <c r="AX37" i="1"/>
  <c r="AX38" i="1"/>
  <c r="AX39" i="1"/>
  <c r="AX40" i="1"/>
  <c r="AX41" i="1"/>
  <c r="AX10" i="1"/>
  <c r="AY10" i="1" s="1"/>
  <c r="AG26" i="1"/>
  <c r="AZ10" i="1"/>
  <c r="AW10" i="1"/>
  <c r="AI10" i="1"/>
  <c r="AN10" i="1" s="1"/>
  <c r="AQ10" i="1" s="1"/>
  <c r="AG10" i="1"/>
  <c r="AH10" i="1"/>
  <c r="S10" i="1"/>
  <c r="AP10" i="1" s="1"/>
  <c r="O10" i="1"/>
  <c r="AO10" i="1" s="1"/>
  <c r="AG12" i="2"/>
  <c r="AG11" i="2"/>
  <c r="AG10" i="2"/>
  <c r="AG9" i="2"/>
  <c r="AG8" i="2"/>
  <c r="AG7" i="2"/>
  <c r="AG6" i="2"/>
  <c r="AG5" i="2"/>
  <c r="AG4" i="2"/>
  <c r="T10" i="1" l="1" a="1"/>
  <c r="T10" i="1" s="1"/>
  <c r="AS10" i="1" s="1"/>
  <c r="BB10" i="1"/>
  <c r="BC10" i="1" s="1"/>
  <c r="AT10" i="1"/>
  <c r="AR10" i="1"/>
  <c r="BD10" i="1" l="1"/>
  <c r="BE10" i="1"/>
  <c r="BF10" i="1" s="1"/>
  <c r="AU10" i="1"/>
  <c r="S11" i="1" l="1"/>
  <c r="T11" i="1" s="1" a="1"/>
  <c r="T11" i="1" s="1"/>
  <c r="H26" i="1"/>
  <c r="N26" i="1" s="1"/>
  <c r="O26" i="1" s="1"/>
  <c r="AO26" i="1" s="1"/>
  <c r="H27" i="1"/>
  <c r="N27" i="1" s="1"/>
  <c r="O27" i="1" s="1"/>
  <c r="AO27" i="1" s="1"/>
  <c r="H28" i="1"/>
  <c r="N28" i="1" s="1"/>
  <c r="O28" i="1" s="1"/>
  <c r="AO28" i="1" s="1"/>
  <c r="H29" i="1"/>
  <c r="N29" i="1" s="1"/>
  <c r="O29" i="1" s="1"/>
  <c r="AO29" i="1" s="1"/>
  <c r="H30" i="1"/>
  <c r="N30" i="1" s="1"/>
  <c r="O30" i="1" s="1"/>
  <c r="AO30" i="1" s="1"/>
  <c r="H31" i="1"/>
  <c r="N31" i="1" s="1"/>
  <c r="O31" i="1" s="1"/>
  <c r="AO31" i="1" s="1"/>
  <c r="H32" i="1"/>
  <c r="N32" i="1" s="1"/>
  <c r="O32" i="1" s="1"/>
  <c r="AO32" i="1" s="1"/>
  <c r="H33" i="1"/>
  <c r="N33" i="1" s="1"/>
  <c r="O33" i="1" s="1"/>
  <c r="AO33" i="1" s="1"/>
  <c r="H25" i="1"/>
  <c r="N25" i="1" s="1"/>
  <c r="O25" i="1" s="1"/>
  <c r="AO25" i="1" s="1"/>
  <c r="H17" i="1"/>
  <c r="O17" i="1" s="1"/>
  <c r="AO17" i="1" s="1"/>
  <c r="H18" i="1"/>
  <c r="N18" i="1" s="1"/>
  <c r="O18" i="1" s="1"/>
  <c r="AO18" i="1" s="1"/>
  <c r="H19" i="1"/>
  <c r="N19" i="1" s="1"/>
  <c r="O19" i="1" s="1"/>
  <c r="AO19" i="1" s="1"/>
  <c r="H20" i="1"/>
  <c r="N20" i="1" s="1"/>
  <c r="O20" i="1" s="1"/>
  <c r="AO20" i="1" s="1"/>
  <c r="H21" i="1"/>
  <c r="N21" i="1" s="1"/>
  <c r="O21" i="1" s="1"/>
  <c r="AO21" i="1" s="1"/>
  <c r="H22" i="1"/>
  <c r="N22" i="1" s="1"/>
  <c r="O22" i="1" s="1"/>
  <c r="AO22" i="1" s="1"/>
  <c r="H23" i="1"/>
  <c r="N23" i="1" s="1"/>
  <c r="O23" i="1" s="1"/>
  <c r="AO23" i="1" s="1"/>
  <c r="H16" i="1"/>
  <c r="N16" i="1" s="1"/>
  <c r="H39" i="1"/>
  <c r="H40" i="1"/>
  <c r="N40" i="1" s="1"/>
  <c r="O40" i="1" s="1"/>
  <c r="AO40" i="1" s="1"/>
  <c r="H41" i="1"/>
  <c r="N41" i="1" s="1"/>
  <c r="O41" i="1" s="1"/>
  <c r="AO41" i="1" s="1"/>
  <c r="H36" i="1"/>
  <c r="N36" i="1" s="1"/>
  <c r="O36" i="1" s="1"/>
  <c r="AO36" i="1" s="1"/>
  <c r="H35" i="1"/>
  <c r="N35" i="1" s="1"/>
  <c r="O35" i="1" s="1"/>
  <c r="AO35" i="1" s="1"/>
  <c r="N39" i="1" l="1"/>
  <c r="O39" i="1" s="1"/>
  <c r="AO39" i="1" s="1"/>
  <c r="O16" i="1"/>
  <c r="AO16" i="1" s="1"/>
  <c r="O12" i="1"/>
  <c r="AO12" i="1" s="1"/>
  <c r="O15" i="1"/>
  <c r="AO15" i="1" s="1"/>
  <c r="O13" i="1"/>
  <c r="AO13" i="1" s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BB36" i="1" s="1"/>
  <c r="BC36" i="1" s="1"/>
  <c r="AZ37" i="1"/>
  <c r="AZ38" i="1"/>
  <c r="AZ39" i="1"/>
  <c r="AZ40" i="1"/>
  <c r="AZ41" i="1"/>
  <c r="AZ11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I13" i="1"/>
  <c r="AN13" i="1" s="1"/>
  <c r="AI14" i="1"/>
  <c r="AN14" i="1" s="1"/>
  <c r="AI15" i="1"/>
  <c r="AN15" i="1" s="1"/>
  <c r="AI16" i="1"/>
  <c r="AN16" i="1" s="1"/>
  <c r="AI17" i="1"/>
  <c r="AN17" i="1" s="1"/>
  <c r="AI18" i="1"/>
  <c r="AN18" i="1" s="1"/>
  <c r="AI19" i="1"/>
  <c r="AN19" i="1" s="1"/>
  <c r="AI20" i="1"/>
  <c r="AN20" i="1" s="1"/>
  <c r="AI21" i="1"/>
  <c r="AN21" i="1" s="1"/>
  <c r="AI22" i="1"/>
  <c r="AN22" i="1" s="1"/>
  <c r="AI23" i="1"/>
  <c r="AN23" i="1" s="1"/>
  <c r="AI24" i="1"/>
  <c r="AN24" i="1" s="1"/>
  <c r="AI25" i="1"/>
  <c r="AN25" i="1" s="1"/>
  <c r="AI26" i="1"/>
  <c r="AN26" i="1" s="1"/>
  <c r="AI27" i="1"/>
  <c r="AN27" i="1" s="1"/>
  <c r="AI28" i="1"/>
  <c r="AN28" i="1" s="1"/>
  <c r="AI29" i="1"/>
  <c r="AN29" i="1" s="1"/>
  <c r="AI30" i="1"/>
  <c r="AN30" i="1" s="1"/>
  <c r="AI31" i="1"/>
  <c r="AN31" i="1" s="1"/>
  <c r="AI32" i="1"/>
  <c r="AN32" i="1" s="1"/>
  <c r="AI33" i="1"/>
  <c r="AN33" i="1" s="1"/>
  <c r="AI34" i="1"/>
  <c r="AN34" i="1" s="1"/>
  <c r="AI35" i="1"/>
  <c r="AN35" i="1" s="1"/>
  <c r="AI36" i="1"/>
  <c r="AN36" i="1" s="1"/>
  <c r="AI37" i="1"/>
  <c r="AN37" i="1" s="1"/>
  <c r="AI38" i="1"/>
  <c r="AN38" i="1" s="1"/>
  <c r="AI39" i="1"/>
  <c r="AN39" i="1" s="1"/>
  <c r="AI40" i="1"/>
  <c r="AN40" i="1" s="1"/>
  <c r="AI41" i="1"/>
  <c r="AN41" i="1" s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S13" i="1"/>
  <c r="T13" i="1" s="1"/>
  <c r="AS13" i="1" s="1"/>
  <c r="S14" i="1"/>
  <c r="T14" i="1" s="1"/>
  <c r="AS14" i="1" s="1"/>
  <c r="S15" i="1"/>
  <c r="T15" i="1" s="1"/>
  <c r="AS15" i="1" s="1"/>
  <c r="S16" i="1"/>
  <c r="T16" i="1" s="1"/>
  <c r="AS16" i="1" s="1"/>
  <c r="S17" i="1"/>
  <c r="T17" i="1" s="1"/>
  <c r="AS17" i="1" s="1"/>
  <c r="S18" i="1"/>
  <c r="T18" i="1" s="1"/>
  <c r="AS18" i="1" s="1"/>
  <c r="S19" i="1"/>
  <c r="T19" i="1" s="1"/>
  <c r="AS19" i="1" s="1"/>
  <c r="S20" i="1"/>
  <c r="T20" i="1" s="1"/>
  <c r="AS20" i="1" s="1"/>
  <c r="S21" i="1"/>
  <c r="T21" i="1" s="1"/>
  <c r="AS21" i="1" s="1"/>
  <c r="S22" i="1"/>
  <c r="T22" i="1" s="1"/>
  <c r="AS22" i="1" s="1"/>
  <c r="S23" i="1"/>
  <c r="T23" i="1" s="1"/>
  <c r="AS23" i="1" s="1"/>
  <c r="S24" i="1"/>
  <c r="T24" i="1" s="1"/>
  <c r="AS24" i="1" s="1"/>
  <c r="S25" i="1"/>
  <c r="T25" i="1" s="1"/>
  <c r="AS25" i="1" s="1"/>
  <c r="S26" i="1"/>
  <c r="T26" i="1" s="1"/>
  <c r="AS26" i="1" s="1"/>
  <c r="S27" i="1"/>
  <c r="T27" i="1" s="1"/>
  <c r="AS27" i="1" s="1"/>
  <c r="S28" i="1"/>
  <c r="T28" i="1" s="1"/>
  <c r="AS28" i="1" s="1"/>
  <c r="S29" i="1"/>
  <c r="T29" i="1" s="1"/>
  <c r="AS29" i="1" s="1"/>
  <c r="S30" i="1"/>
  <c r="T30" i="1" s="1"/>
  <c r="AS30" i="1" s="1"/>
  <c r="S31" i="1"/>
  <c r="T31" i="1" s="1"/>
  <c r="AS31" i="1" s="1"/>
  <c r="S32" i="1"/>
  <c r="T32" i="1" s="1"/>
  <c r="AS32" i="1" s="1"/>
  <c r="S33" i="1"/>
  <c r="T33" i="1" s="1"/>
  <c r="AS33" i="1" s="1"/>
  <c r="S34" i="1"/>
  <c r="T34" i="1" s="1"/>
  <c r="AS34" i="1" s="1"/>
  <c r="S35" i="1"/>
  <c r="T35" i="1" s="1"/>
  <c r="AS35" i="1" s="1"/>
  <c r="S36" i="1"/>
  <c r="T36" i="1" s="1"/>
  <c r="AS36" i="1" s="1"/>
  <c r="S37" i="1"/>
  <c r="T37" i="1" s="1"/>
  <c r="AS37" i="1" s="1"/>
  <c r="S38" i="1"/>
  <c r="T38" i="1" s="1"/>
  <c r="AS38" i="1" s="1"/>
  <c r="S39" i="1"/>
  <c r="T39" i="1" s="1"/>
  <c r="AS39" i="1" s="1"/>
  <c r="S40" i="1"/>
  <c r="T40" i="1" s="1"/>
  <c r="AS40" i="1" s="1"/>
  <c r="S41" i="1"/>
  <c r="T41" i="1" s="1"/>
  <c r="AS41" i="1" s="1"/>
  <c r="J16" i="1"/>
  <c r="J17" i="1"/>
  <c r="J18" i="1"/>
  <c r="J19" i="1"/>
  <c r="J20" i="1"/>
  <c r="J21" i="1"/>
  <c r="J22" i="1"/>
  <c r="J23" i="1"/>
  <c r="J25" i="1"/>
  <c r="J30" i="1"/>
  <c r="J32" i="1"/>
  <c r="J33" i="1"/>
  <c r="J39" i="1"/>
  <c r="J40" i="1"/>
  <c r="J41" i="1"/>
  <c r="H38" i="1"/>
  <c r="H37" i="1"/>
  <c r="N37" i="1" s="1"/>
  <c r="O37" i="1" s="1"/>
  <c r="AO37" i="1" s="1"/>
  <c r="J36" i="1"/>
  <c r="J31" i="1"/>
  <c r="J29" i="1"/>
  <c r="J28" i="1"/>
  <c r="J27" i="1"/>
  <c r="BB35" i="1" l="1"/>
  <c r="BC35" i="1" s="1"/>
  <c r="BB37" i="1"/>
  <c r="BC37" i="1" s="1"/>
  <c r="H34" i="1"/>
  <c r="BB39" i="1"/>
  <c r="BC39" i="1" s="1"/>
  <c r="BB23" i="1"/>
  <c r="BC23" i="1" s="1"/>
  <c r="BB22" i="1"/>
  <c r="BC22" i="1" s="1"/>
  <c r="BB21" i="1"/>
  <c r="BC21" i="1" s="1"/>
  <c r="BB20" i="1"/>
  <c r="BC20" i="1" s="1"/>
  <c r="BB19" i="1"/>
  <c r="BC19" i="1" s="1"/>
  <c r="AQ15" i="1"/>
  <c r="BB16" i="1"/>
  <c r="BC16" i="1" s="1"/>
  <c r="AQ31" i="1"/>
  <c r="AQ29" i="1"/>
  <c r="BB31" i="1"/>
  <c r="BC31" i="1" s="1"/>
  <c r="BB15" i="1"/>
  <c r="BC15" i="1" s="1"/>
  <c r="AQ28" i="1"/>
  <c r="AQ25" i="1"/>
  <c r="BB17" i="1"/>
  <c r="BC17" i="1" s="1"/>
  <c r="AQ40" i="1"/>
  <c r="AT40" i="1" s="1"/>
  <c r="AU40" i="1" s="1"/>
  <c r="AQ23" i="1"/>
  <c r="BB30" i="1"/>
  <c r="BC30" i="1" s="1"/>
  <c r="AQ27" i="1"/>
  <c r="BB18" i="1"/>
  <c r="BC18" i="1" s="1"/>
  <c r="BB33" i="1"/>
  <c r="BC33" i="1" s="1"/>
  <c r="AQ38" i="1"/>
  <c r="AT38" i="1" s="1"/>
  <c r="AU38" i="1" s="1"/>
  <c r="AQ22" i="1"/>
  <c r="AQ37" i="1"/>
  <c r="AT37" i="1" s="1"/>
  <c r="AU37" i="1" s="1"/>
  <c r="AQ21" i="1"/>
  <c r="AT21" i="1" s="1"/>
  <c r="AU21" i="1" s="1"/>
  <c r="BB29" i="1"/>
  <c r="BC29" i="1" s="1"/>
  <c r="BB13" i="1"/>
  <c r="BC13" i="1" s="1"/>
  <c r="AQ36" i="1"/>
  <c r="AQ20" i="1"/>
  <c r="BB28" i="1"/>
  <c r="BC28" i="1" s="1"/>
  <c r="AQ13" i="1"/>
  <c r="AT13" i="1" s="1"/>
  <c r="AU13" i="1" s="1"/>
  <c r="BB27" i="1"/>
  <c r="BC27" i="1" s="1"/>
  <c r="BB26" i="1"/>
  <c r="BC26" i="1" s="1"/>
  <c r="AQ33" i="1"/>
  <c r="BB41" i="1"/>
  <c r="BC41" i="1" s="1"/>
  <c r="BB25" i="1"/>
  <c r="BC25" i="1" s="1"/>
  <c r="AQ30" i="1"/>
  <c r="AQ26" i="1"/>
  <c r="AT26" i="1" s="1"/>
  <c r="AU26" i="1" s="1"/>
  <c r="AQ41" i="1"/>
  <c r="AQ24" i="1"/>
  <c r="AT24" i="1" s="1"/>
  <c r="AU24" i="1" s="1"/>
  <c r="BB32" i="1"/>
  <c r="BC32" i="1" s="1"/>
  <c r="AQ39" i="1"/>
  <c r="AQ35" i="1"/>
  <c r="AT35" i="1" s="1"/>
  <c r="AU35" i="1" s="1"/>
  <c r="AQ19" i="1"/>
  <c r="AT19" i="1" s="1"/>
  <c r="AU19" i="1" s="1"/>
  <c r="AQ18" i="1"/>
  <c r="AQ17" i="1"/>
  <c r="AQ32" i="1"/>
  <c r="AQ16" i="1"/>
  <c r="BB40" i="1"/>
  <c r="BC40" i="1" s="1"/>
  <c r="AQ14" i="1"/>
  <c r="AT14" i="1" s="1"/>
  <c r="AU14" i="1" s="1"/>
  <c r="AQ34" i="1"/>
  <c r="AT34" i="1" s="1"/>
  <c r="AU34" i="1" s="1"/>
  <c r="O24" i="1"/>
  <c r="AO24" i="1" s="1"/>
  <c r="BB24" i="1" s="1"/>
  <c r="BC24" i="1" s="1"/>
  <c r="J38" i="1"/>
  <c r="N38" i="1"/>
  <c r="O38" i="1" s="1"/>
  <c r="AO38" i="1" s="1"/>
  <c r="BB38" i="1" s="1"/>
  <c r="BC38" i="1" s="1"/>
  <c r="J37" i="1"/>
  <c r="J26" i="1"/>
  <c r="J35" i="1"/>
  <c r="AT27" i="1" l="1"/>
  <c r="AU27" i="1" s="1"/>
  <c r="AR27" i="1"/>
  <c r="AT36" i="1"/>
  <c r="AU36" i="1" s="1"/>
  <c r="AR36" i="1"/>
  <c r="AT29" i="1"/>
  <c r="AU29" i="1" s="1"/>
  <c r="AR29" i="1"/>
  <c r="AT31" i="1"/>
  <c r="AU31" i="1" s="1"/>
  <c r="AR31" i="1"/>
  <c r="AR40" i="1"/>
  <c r="AT18" i="1"/>
  <c r="AU18" i="1" s="1"/>
  <c r="AR18" i="1"/>
  <c r="AT23" i="1"/>
  <c r="AU23" i="1" s="1"/>
  <c r="AR23" i="1"/>
  <c r="AT20" i="1"/>
  <c r="AU20" i="1" s="1"/>
  <c r="AR20" i="1"/>
  <c r="AT39" i="1"/>
  <c r="AU39" i="1" s="1"/>
  <c r="AR39" i="1"/>
  <c r="AT25" i="1"/>
  <c r="AU25" i="1" s="1"/>
  <c r="AR25" i="1"/>
  <c r="AT28" i="1"/>
  <c r="AU28" i="1" s="1"/>
  <c r="AR28" i="1"/>
  <c r="AT30" i="1"/>
  <c r="AU30" i="1" s="1"/>
  <c r="AR30" i="1"/>
  <c r="AT16" i="1"/>
  <c r="AU16" i="1" s="1"/>
  <c r="AR16" i="1"/>
  <c r="AT32" i="1"/>
  <c r="AU32" i="1" s="1"/>
  <c r="AR32" i="1"/>
  <c r="AT41" i="1"/>
  <c r="AU41" i="1" s="1"/>
  <c r="AR41" i="1"/>
  <c r="AT22" i="1"/>
  <c r="AU22" i="1" s="1"/>
  <c r="AR22" i="1"/>
  <c r="AT33" i="1"/>
  <c r="AU33" i="1" s="1"/>
  <c r="AR33" i="1"/>
  <c r="AT17" i="1"/>
  <c r="AU17" i="1" s="1"/>
  <c r="AR17" i="1"/>
  <c r="AT15" i="1"/>
  <c r="AU15" i="1" s="1"/>
  <c r="AR15" i="1"/>
  <c r="AR19" i="1"/>
  <c r="AR37" i="1"/>
  <c r="AR21" i="1"/>
  <c r="AR38" i="1"/>
  <c r="O34" i="1"/>
  <c r="AO34" i="1" s="1"/>
  <c r="BD39" i="1"/>
  <c r="BD38" i="1"/>
  <c r="BD15" i="1"/>
  <c r="BD16" i="1"/>
  <c r="BD17" i="1"/>
  <c r="BD33" i="1"/>
  <c r="BD41" i="1"/>
  <c r="BD18" i="1"/>
  <c r="BD19" i="1"/>
  <c r="BD36" i="1"/>
  <c r="BD20" i="1"/>
  <c r="BD31" i="1"/>
  <c r="BD27" i="1"/>
  <c r="BD32" i="1"/>
  <c r="BD21" i="1"/>
  <c r="BD30" i="1"/>
  <c r="BD40" i="1"/>
  <c r="BD29" i="1"/>
  <c r="BD25" i="1"/>
  <c r="BD22" i="1"/>
  <c r="BD28" i="1"/>
  <c r="BD23" i="1"/>
  <c r="J34" i="1"/>
  <c r="J24" i="1"/>
  <c r="AR24" i="1" s="1"/>
  <c r="AR26" i="1"/>
  <c r="AR35" i="1"/>
  <c r="AR13" i="1"/>
  <c r="BB34" i="1" l="1"/>
  <c r="O11" i="1"/>
  <c r="AO11" i="1" s="1"/>
  <c r="AR34" i="1"/>
  <c r="BD13" i="1"/>
  <c r="BD24" i="1"/>
  <c r="BD26" i="1"/>
  <c r="BD35" i="1"/>
  <c r="BD37" i="1"/>
  <c r="AW12" i="1"/>
  <c r="AI12" i="1"/>
  <c r="AN12" i="1" s="1"/>
  <c r="AG12" i="1"/>
  <c r="AH12" i="1"/>
  <c r="AH11" i="1"/>
  <c r="AG11" i="1"/>
  <c r="AI11" i="1"/>
  <c r="AN11" i="1" s="1"/>
  <c r="AW11" i="1"/>
  <c r="BC34" i="1" l="1"/>
  <c r="BD34" i="1" s="1"/>
  <c r="BB11" i="1"/>
  <c r="BC11" i="1" s="1"/>
  <c r="BB12" i="1"/>
  <c r="BC12" i="1" s="1"/>
  <c r="O14" i="1"/>
  <c r="AO14" i="1" s="1"/>
  <c r="AR14" i="1" s="1"/>
  <c r="AQ11" i="1"/>
  <c r="AT11" i="1" s="1"/>
  <c r="AP12" i="1"/>
  <c r="AQ12" i="1"/>
  <c r="AT12" i="1" s="1"/>
  <c r="S12" i="1"/>
  <c r="T12" i="1" s="1"/>
  <c r="AS12" i="1" s="1"/>
  <c r="BE11" i="1" l="1"/>
  <c r="BB14" i="1"/>
  <c r="BC14" i="1" s="1"/>
  <c r="AU12" i="1"/>
  <c r="AR12" i="1"/>
  <c r="AS11" i="1"/>
  <c r="AU11" i="1" s="1"/>
  <c r="AP11" i="1"/>
  <c r="AR11" i="1" s="1"/>
  <c r="BE15" i="1" l="1"/>
  <c r="BE14" i="1"/>
  <c r="BF14" i="1" s="1"/>
  <c r="BE13" i="1"/>
  <c r="BE12" i="1"/>
  <c r="BF11" i="1"/>
  <c r="BD14" i="1"/>
  <c r="BD12" i="1"/>
  <c r="BD11" i="1"/>
  <c r="BE21" i="1" l="1"/>
  <c r="BF21" i="1" s="1"/>
  <c r="BE17" i="1"/>
  <c r="BF17" i="1" s="1"/>
  <c r="BE18" i="1"/>
  <c r="BF18" i="1" s="1"/>
  <c r="BE16" i="1"/>
  <c r="BF16" i="1" s="1"/>
  <c r="BE19" i="1"/>
  <c r="BF19" i="1" s="1"/>
  <c r="BE20" i="1"/>
  <c r="BF20" i="1" s="1"/>
  <c r="BF12" i="1"/>
  <c r="BE22" i="1"/>
  <c r="BF22" i="1" s="1"/>
  <c r="BE24" i="1"/>
  <c r="BE23" i="1"/>
  <c r="BF23" i="1" s="1"/>
  <c r="BF13" i="1"/>
  <c r="BE34" i="1"/>
  <c r="BE33" i="1"/>
  <c r="BF33" i="1" s="1"/>
  <c r="BE32" i="1"/>
  <c r="BF32" i="1" s="1"/>
  <c r="BE41" i="1"/>
  <c r="BF41" i="1" s="1"/>
  <c r="BE40" i="1"/>
  <c r="BF40" i="1" s="1"/>
  <c r="BF15" i="1"/>
  <c r="BE39" i="1" l="1"/>
  <c r="BF39" i="1" s="1"/>
  <c r="BE37" i="1"/>
  <c r="BF37" i="1" s="1"/>
  <c r="BE38" i="1"/>
  <c r="BF38" i="1" s="1"/>
  <c r="BE35" i="1"/>
  <c r="BF35" i="1" s="1"/>
  <c r="BE36" i="1"/>
  <c r="BF36" i="1" s="1"/>
  <c r="BF34" i="1"/>
  <c r="BE31" i="1"/>
  <c r="BF31" i="1" s="1"/>
  <c r="BE30" i="1"/>
  <c r="BF30" i="1" s="1"/>
  <c r="BE29" i="1"/>
  <c r="BF29" i="1" s="1"/>
  <c r="BE28" i="1"/>
  <c r="BF28" i="1" s="1"/>
  <c r="BE26" i="1"/>
  <c r="BF26" i="1" s="1"/>
  <c r="BE25" i="1"/>
  <c r="BF25" i="1" s="1"/>
  <c r="BE27" i="1"/>
  <c r="BF27" i="1" s="1"/>
  <c r="BF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azevedo</author>
  </authors>
  <commentList>
    <comment ref="AJ9" authorId="0" shapeId="0" xr:uid="{076EBFC0-7223-4B45-B34C-9DCCD5F1E03E}">
      <text>
        <r>
          <rPr>
            <b/>
            <sz val="9"/>
            <color indexed="81"/>
            <rFont val="Tahoma"/>
            <family val="2"/>
          </rPr>
          <t>Pag.393 - 394</t>
        </r>
      </text>
    </comment>
    <comment ref="AK9" authorId="0" shapeId="0" xr:uid="{B66B679F-29F3-44F8-BD2F-A91C77F49E69}">
      <text>
        <r>
          <rPr>
            <b/>
            <sz val="9"/>
            <color indexed="81"/>
            <rFont val="Tahoma"/>
            <family val="2"/>
          </rPr>
          <t>Pag.394 - 397</t>
        </r>
      </text>
    </comment>
    <comment ref="AL9" authorId="0" shapeId="0" xr:uid="{72D1E957-D04F-412D-A2EC-5DAA3DD77792}">
      <text>
        <r>
          <rPr>
            <b/>
            <sz val="9"/>
            <color indexed="81"/>
            <rFont val="Tahoma"/>
            <family val="2"/>
          </rPr>
          <t>Pag. 398</t>
        </r>
      </text>
    </comment>
    <comment ref="AM9" authorId="0" shapeId="0" xr:uid="{9F947AB7-D0E7-4DFB-9CB4-A0752EAB4498}">
      <text>
        <r>
          <rPr>
            <b/>
            <sz val="9"/>
            <color indexed="81"/>
            <rFont val="Tahoma"/>
            <family val="2"/>
          </rPr>
          <t>METODO: 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<sst xmlns="http://schemas.openxmlformats.org/spreadsheetml/2006/main" count="416" uniqueCount="160">
  <si>
    <t>S (kVA)</t>
  </si>
  <si>
    <t>P (kW)</t>
  </si>
  <si>
    <t>Tensão (V)</t>
  </si>
  <si>
    <t>Ku</t>
  </si>
  <si>
    <t>Ks</t>
  </si>
  <si>
    <t>Ke</t>
  </si>
  <si>
    <t>S' (kVA)</t>
  </si>
  <si>
    <r>
      <t>I</t>
    </r>
    <r>
      <rPr>
        <b/>
        <sz val="8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(A)</t>
    </r>
  </si>
  <si>
    <t>I'B (A)</t>
  </si>
  <si>
    <t>Circuito</t>
  </si>
  <si>
    <t>Corrente de Serviço</t>
  </si>
  <si>
    <t>Origem</t>
  </si>
  <si>
    <t>Destino</t>
  </si>
  <si>
    <t xml:space="preserve">cos φ </t>
  </si>
  <si>
    <t>Tensões</t>
  </si>
  <si>
    <t>In</t>
  </si>
  <si>
    <t>Proteção</t>
  </si>
  <si>
    <t>Tipo</t>
  </si>
  <si>
    <t>I2</t>
  </si>
  <si>
    <t>D</t>
  </si>
  <si>
    <t>DR</t>
  </si>
  <si>
    <t>F</t>
  </si>
  <si>
    <t>&gt; 16</t>
  </si>
  <si>
    <t>&lt;= 16</t>
  </si>
  <si>
    <t>&lt;= 4</t>
  </si>
  <si>
    <t>1.45  * IN</t>
  </si>
  <si>
    <t>1.3 * IN</t>
  </si>
  <si>
    <t>2.1 * IN</t>
  </si>
  <si>
    <t>1.9 * IN</t>
  </si>
  <si>
    <t>1.6 * IN</t>
  </si>
  <si>
    <t>Metodo de referencia e modo de instalação</t>
  </si>
  <si>
    <t>Cabo</t>
  </si>
  <si>
    <t>L (m)</t>
  </si>
  <si>
    <t>Material</t>
  </si>
  <si>
    <t>Isolamento</t>
  </si>
  <si>
    <t>Dimensionamento de Canalizações Elétricas</t>
  </si>
  <si>
    <t>Correntes Admissiveis (Iz)</t>
  </si>
  <si>
    <t>S (mm2)</t>
  </si>
  <si>
    <t>Iz' (A)</t>
  </si>
  <si>
    <t>Verificação das condições proteção</t>
  </si>
  <si>
    <t>Tipo de instalação</t>
  </si>
  <si>
    <t>Tipo Instalações</t>
  </si>
  <si>
    <t>%</t>
  </si>
  <si>
    <t>Al</t>
  </si>
  <si>
    <t>Cu</t>
  </si>
  <si>
    <t>Resistividade</t>
  </si>
  <si>
    <t>A</t>
  </si>
  <si>
    <t>B</t>
  </si>
  <si>
    <t>E</t>
  </si>
  <si>
    <t>G</t>
  </si>
  <si>
    <t>PVC</t>
  </si>
  <si>
    <t>11A</t>
  </si>
  <si>
    <t>33A</t>
  </si>
  <si>
    <t>34A</t>
  </si>
  <si>
    <t>Métodos e Ref. Méodos  (pag.250)</t>
  </si>
  <si>
    <t>Semi-condutores</t>
  </si>
  <si>
    <t>Natureza</t>
  </si>
  <si>
    <t>Isolamentos</t>
  </si>
  <si>
    <t>XLPE/EPR</t>
  </si>
  <si>
    <t>Mineral</t>
  </si>
  <si>
    <t>Nº Condutores 
Carregados</t>
  </si>
  <si>
    <t>Ref. 
Modo de instalação (52H)</t>
  </si>
  <si>
    <t>S (mm2) total 
[fases]</t>
  </si>
  <si>
    <t>S (mm2) total
 [neutro]</t>
  </si>
  <si>
    <t>[N] Cabos 
Paralelo</t>
  </si>
  <si>
    <t>[F] Cabos 
Paralelos</t>
  </si>
  <si>
    <r>
      <t>I</t>
    </r>
    <r>
      <rPr>
        <b/>
        <sz val="8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</si>
  <si>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</si>
  <si>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/ I</t>
    </r>
    <r>
      <rPr>
        <b/>
        <sz val="8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9"/>
        <color theme="1"/>
        <rFont val="Aptos Narrow"/>
        <family val="2"/>
        <scheme val="minor"/>
      </rPr>
      <t>(Percentagem regulada)</t>
    </r>
  </si>
  <si>
    <r>
      <t>I</t>
    </r>
    <r>
      <rPr>
        <b/>
        <sz val="8"/>
        <color theme="1"/>
        <rFont val="Aptos Narrow"/>
        <family val="2"/>
        <scheme val="minor"/>
      </rPr>
      <t>Z</t>
    </r>
    <r>
      <rPr>
        <b/>
        <sz val="11"/>
        <color theme="1"/>
        <rFont val="Aptos Narrow"/>
        <family val="2"/>
        <scheme val="minor"/>
      </rPr>
      <t xml:space="preserve"> (A)</t>
    </r>
  </si>
  <si>
    <r>
      <t>I</t>
    </r>
    <r>
      <rPr>
        <b/>
        <sz val="8"/>
        <color theme="1"/>
        <rFont val="Aptos Narrow"/>
        <family val="2"/>
        <scheme val="minor"/>
      </rPr>
      <t>Z</t>
    </r>
    <r>
      <rPr>
        <b/>
        <sz val="11"/>
        <color theme="1"/>
        <rFont val="Aptos Narrow"/>
        <family val="2"/>
        <scheme val="minor"/>
      </rPr>
      <t xml:space="preserve"> (A) Total</t>
    </r>
  </si>
  <si>
    <r>
      <t>I</t>
    </r>
    <r>
      <rPr>
        <b/>
        <sz val="8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>&lt;=I</t>
    </r>
    <r>
      <rPr>
        <b/>
        <sz val="8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&lt;=Iz</t>
    </r>
  </si>
  <si>
    <r>
      <t>I</t>
    </r>
    <r>
      <rPr>
        <b/>
        <sz val="8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&lt;= 1.45*Iz'</t>
    </r>
  </si>
  <si>
    <r>
      <rPr>
        <b/>
        <sz val="11"/>
        <color theme="1"/>
        <rFont val="Aptos Narrow"/>
        <family val="2"/>
      </rPr>
      <t xml:space="preserve">ρ </t>
    </r>
    <r>
      <rPr>
        <sz val="8"/>
        <color theme="1"/>
        <rFont val="Aptos Narrow"/>
        <family val="2"/>
        <scheme val="minor"/>
      </rPr>
      <t>(resistividade)</t>
    </r>
    <r>
      <rPr>
        <b/>
        <sz val="8"/>
        <color theme="1"/>
        <rFont val="Aptos Narrow"/>
        <family val="2"/>
        <scheme val="minor"/>
      </rPr>
      <t xml:space="preserve">
</t>
    </r>
    <r>
      <rPr>
        <b/>
        <sz val="9"/>
        <color theme="1"/>
        <rFont val="Aptos Narrow"/>
        <family val="2"/>
        <scheme val="minor"/>
      </rPr>
      <t>[</t>
    </r>
    <r>
      <rPr>
        <b/>
        <sz val="9"/>
        <color theme="1"/>
        <rFont val="Aptos Narrow"/>
        <family val="2"/>
      </rPr>
      <t>Ωmm2/m</t>
    </r>
    <r>
      <rPr>
        <b/>
        <sz val="9"/>
        <color theme="1"/>
        <rFont val="Aptos Narrow"/>
        <family val="2"/>
        <scheme val="minor"/>
      </rPr>
      <t>]</t>
    </r>
  </si>
  <si>
    <t>1.45*Iz' (A)</t>
  </si>
  <si>
    <t>Δu(%)</t>
  </si>
  <si>
    <r>
      <rPr>
        <b/>
        <sz val="11"/>
        <color theme="1"/>
        <rFont val="Aptos Narrow"/>
        <family val="2"/>
      </rPr>
      <t>Δu</t>
    </r>
    <r>
      <rPr>
        <b/>
        <sz val="8"/>
        <color theme="1"/>
        <rFont val="Aptos Narrow"/>
        <family val="2"/>
        <scheme val="minor"/>
      </rPr>
      <t>max</t>
    </r>
    <r>
      <rPr>
        <b/>
        <sz val="11"/>
        <color theme="1"/>
        <rFont val="Aptos Narrow"/>
        <family val="2"/>
        <scheme val="minor"/>
      </rPr>
      <t xml:space="preserve"> (%)</t>
    </r>
  </si>
  <si>
    <t>u(V)</t>
  </si>
  <si>
    <r>
      <t>Δu &lt; Δu</t>
    </r>
    <r>
      <rPr>
        <b/>
        <sz val="8"/>
        <color theme="1"/>
        <rFont val="Aptos Narrow"/>
        <family val="2"/>
        <scheme val="minor"/>
      </rPr>
      <t xml:space="preserve">max </t>
    </r>
  </si>
  <si>
    <t>A2_</t>
  </si>
  <si>
    <t>B2_</t>
  </si>
  <si>
    <t>C_</t>
  </si>
  <si>
    <t>Instalação coletiva - coluna</t>
  </si>
  <si>
    <t>Secção 
(Corrente Admissível)</t>
  </si>
  <si>
    <t>Tipos de 
proteção</t>
  </si>
  <si>
    <r>
      <t xml:space="preserve">Quadro RTIEBT
</t>
    </r>
    <r>
      <rPr>
        <sz val="8"/>
        <color theme="1"/>
        <rFont val="Aptos Narrow"/>
        <family val="2"/>
        <scheme val="minor"/>
      </rPr>
      <t>(pag. 378 - 392)</t>
    </r>
  </si>
  <si>
    <r>
      <t xml:space="preserve">Método Referencia
</t>
    </r>
    <r>
      <rPr>
        <sz val="8"/>
        <color theme="1"/>
        <rFont val="Aptos Narrow"/>
        <family val="2"/>
        <scheme val="minor"/>
      </rPr>
      <t>(pag.250 - 255)</t>
    </r>
  </si>
  <si>
    <r>
      <t>I</t>
    </r>
    <r>
      <rPr>
        <b/>
        <sz val="8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(A)  
</t>
    </r>
    <r>
      <rPr>
        <sz val="9"/>
        <color theme="1"/>
        <rFont val="Aptos Narrow"/>
        <family val="2"/>
        <scheme val="minor"/>
      </rPr>
      <t xml:space="preserve">(novo </t>
    </r>
    <r>
      <rPr>
        <b/>
        <sz val="9"/>
        <color theme="1"/>
        <rFont val="Aptos Narrow"/>
        <family val="2"/>
        <scheme val="minor"/>
      </rPr>
      <t>IN</t>
    </r>
    <r>
      <rPr>
        <sz val="9"/>
        <color theme="1"/>
        <rFont val="Aptos Narrow"/>
        <family val="2"/>
        <scheme val="minor"/>
      </rPr>
      <t>)</t>
    </r>
  </si>
  <si>
    <r>
      <t xml:space="preserve">Queda de tensão
</t>
    </r>
    <r>
      <rPr>
        <sz val="8"/>
        <color theme="1"/>
        <rFont val="Aptos Narrow"/>
        <family val="2"/>
        <scheme val="minor"/>
      </rPr>
      <t>(pag.270)</t>
    </r>
  </si>
  <si>
    <r>
      <t xml:space="preserve">cos </t>
    </r>
    <r>
      <rPr>
        <b/>
        <sz val="11"/>
        <color theme="1"/>
        <rFont val="Aptos Narrow"/>
        <family val="2"/>
      </rPr>
      <t>Φ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8"/>
        <color theme="1"/>
        <rFont val="Aptos Narrow"/>
        <family val="2"/>
        <scheme val="minor"/>
      </rPr>
      <t>(default = 0,8)</t>
    </r>
  </si>
  <si>
    <r>
      <t xml:space="preserve">sin Φ
</t>
    </r>
    <r>
      <rPr>
        <sz val="8"/>
        <color theme="1"/>
        <rFont val="Aptos Narrow"/>
        <family val="2"/>
        <scheme val="minor"/>
      </rPr>
      <t>(default = 0,6)</t>
    </r>
  </si>
  <si>
    <r>
      <rPr>
        <b/>
        <sz val="11"/>
        <color theme="1"/>
        <rFont val="Aptos Narrow"/>
        <family val="2"/>
      </rPr>
      <t>λ fase</t>
    </r>
    <r>
      <rPr>
        <sz val="8"/>
        <color theme="1"/>
        <rFont val="Aptos Narrow"/>
        <family val="2"/>
      </rPr>
      <t xml:space="preserve"> (</t>
    </r>
    <r>
      <rPr>
        <sz val="8"/>
        <color theme="1"/>
        <rFont val="Aptos Narrow"/>
        <family val="2"/>
        <scheme val="minor"/>
      </rPr>
      <t xml:space="preserve">reatancia linear) 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9"/>
        <color theme="1"/>
        <rFont val="Aptos Narrow"/>
        <family val="2"/>
        <scheme val="minor"/>
      </rPr>
      <t>[Ω/m]</t>
    </r>
    <r>
      <rPr>
        <sz val="8"/>
        <color theme="1"/>
        <rFont val="Aptos Narrow"/>
        <family val="2"/>
        <scheme val="minor"/>
      </rPr>
      <t xml:space="preserve"> (default = 0,00008)</t>
    </r>
  </si>
  <si>
    <t>Referencia 
Cabo</t>
  </si>
  <si>
    <t>Instalação Media Tensão (iluminação)</t>
  </si>
  <si>
    <t>Instalação Baixa Tensão (iluminação)</t>
  </si>
  <si>
    <t>Instalação coletiva - entrada</t>
  </si>
  <si>
    <t>Entrada individual - portinhola</t>
  </si>
  <si>
    <t>Instalação Baixa Tensão (outros usos)</t>
  </si>
  <si>
    <t>Instalação Media Tensão (outros usos)</t>
  </si>
  <si>
    <t>Tabelas 52-C</t>
  </si>
  <si>
    <t>QGBT</t>
  </si>
  <si>
    <t>QE</t>
  </si>
  <si>
    <t>QP-SA</t>
  </si>
  <si>
    <t>QP-AP1</t>
  </si>
  <si>
    <t>QP-AP2</t>
  </si>
  <si>
    <t>QP-CD</t>
  </si>
  <si>
    <t>QE-G</t>
  </si>
  <si>
    <t>QE-A.AF</t>
  </si>
  <si>
    <t>QE-S.R</t>
  </si>
  <si>
    <t>QE-AC</t>
  </si>
  <si>
    <t>QE-P</t>
  </si>
  <si>
    <t>QE-A.L</t>
  </si>
  <si>
    <t>QE-PIN</t>
  </si>
  <si>
    <t>QE-SEC</t>
  </si>
  <si>
    <t>QE-AP1</t>
  </si>
  <si>
    <t>QE-AVAC.1</t>
  </si>
  <si>
    <t>QE-M1</t>
  </si>
  <si>
    <t>QE-M2</t>
  </si>
  <si>
    <t>QE-M3</t>
  </si>
  <si>
    <t>QE-M4</t>
  </si>
  <si>
    <t>QE-M5</t>
  </si>
  <si>
    <t>QE-M6</t>
  </si>
  <si>
    <t>QE-A.P</t>
  </si>
  <si>
    <t>QE-A.M</t>
  </si>
  <si>
    <t>QE-AP2</t>
  </si>
  <si>
    <t>QE-M7</t>
  </si>
  <si>
    <t>QE-M8</t>
  </si>
  <si>
    <t>QE-M9</t>
  </si>
  <si>
    <t>QE-M10</t>
  </si>
  <si>
    <t>QE-AVAC.2</t>
  </si>
  <si>
    <t>QE-CD</t>
  </si>
  <si>
    <t>QE-B</t>
  </si>
  <si>
    <t>52-C11</t>
  </si>
  <si>
    <t xml:space="preserve">Balanço de potência </t>
  </si>
  <si>
    <t>Δu(%) acumulado</t>
  </si>
  <si>
    <t xml:space="preserve">Δu(%) acumulado &lt; Δumax(%) </t>
  </si>
  <si>
    <t>Temperatura</t>
  </si>
  <si>
    <t>Enterrados e colocados dentro 
de tubos ou de travessias</t>
  </si>
  <si>
    <t>Agrupamento 
de cabos</t>
  </si>
  <si>
    <t>Resistividade 
térmica do solo</t>
  </si>
  <si>
    <t>Fator Correção</t>
  </si>
  <si>
    <t>Ref.</t>
  </si>
  <si>
    <t>Quadros</t>
  </si>
  <si>
    <t>PT</t>
  </si>
  <si>
    <t>52-C30</t>
  </si>
  <si>
    <t>52-C4</t>
  </si>
  <si>
    <t>Evolução</t>
  </si>
  <si>
    <t>Limite Carga Máxima</t>
  </si>
  <si>
    <t>Potência Total</t>
  </si>
  <si>
    <t>Valor  Transformador (kVA)</t>
  </si>
  <si>
    <t>Transformador (kVA)</t>
  </si>
  <si>
    <t>Transformador</t>
  </si>
  <si>
    <t>2x (XV-5G120)</t>
  </si>
  <si>
    <t>2x  (XV-5G70)</t>
  </si>
  <si>
    <t>XV-5G4</t>
  </si>
  <si>
    <t>XV-5G25</t>
  </si>
  <si>
    <t>XV-5G16</t>
  </si>
  <si>
    <t>XV-5G10</t>
  </si>
  <si>
    <t>XV-5G6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</si>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</sst>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rgb="FF1B1C1D"/>
      <name val="Aptos Narrow"/>
      <family val="2"/>
      <scheme val="minor"/>
    </font>
    <font>
      <sz val="11"/>
      <color rgb="FF1B1C1D"/>
      <name val="Aptos Narrow"/>
      <family val="2"/>
      <scheme val="minor"/>
    </font>
    <font>
      <sz val="11"/>
      <color theme="1"/>
      <name val="Aptos Narrow"/>
      <family val="2"/>
    </font>
    <font>
      <b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9" borderId="1" xfId="0" applyFill="1" applyBorder="1" applyAlignment="1">
      <alignment horizontal="center" vertical="center"/>
    </xf>
    <xf numFmtId="0" fontId="0" fillId="11" borderId="1" xfId="0" applyFill="1" applyBorder="1"/>
    <xf numFmtId="0" fontId="1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2" fontId="0" fillId="7" borderId="19" xfId="0" applyNumberFormat="1" applyFill="1" applyBorder="1" applyAlignment="1">
      <alignment horizontal="center" vertical="center"/>
    </xf>
    <xf numFmtId="2" fontId="0" fillId="7" borderId="34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right"/>
    </xf>
    <xf numFmtId="0" fontId="0" fillId="13" borderId="10" xfId="0" applyFill="1" applyBorder="1"/>
    <xf numFmtId="0" fontId="0" fillId="13" borderId="6" xfId="0" applyFill="1" applyBorder="1"/>
    <xf numFmtId="0" fontId="0" fillId="7" borderId="9" xfId="0" applyFill="1" applyBorder="1"/>
    <xf numFmtId="0" fontId="0" fillId="7" borderId="37" xfId="0" applyFill="1" applyBorder="1"/>
    <xf numFmtId="0" fontId="0" fillId="7" borderId="4" xfId="0" applyFill="1" applyBorder="1"/>
    <xf numFmtId="0" fontId="0" fillId="7" borderId="5" xfId="0" applyFill="1" applyBorder="1"/>
    <xf numFmtId="0" fontId="1" fillId="1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0" fillId="7" borderId="3" xfId="0" applyFill="1" applyBorder="1" applyAlignment="1">
      <alignment vertical="center"/>
    </xf>
    <xf numFmtId="0" fontId="0" fillId="7" borderId="38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2" fontId="0" fillId="7" borderId="8" xfId="0" applyNumberFormat="1" applyFill="1" applyBorder="1" applyAlignment="1">
      <alignment horizontal="center" vertical="center"/>
    </xf>
    <xf numFmtId="0" fontId="0" fillId="7" borderId="37" xfId="0" applyFill="1" applyBorder="1" applyAlignment="1">
      <alignment horizontal="left" vertical="center"/>
    </xf>
    <xf numFmtId="0" fontId="1" fillId="13" borderId="5" xfId="0" applyFont="1" applyFill="1" applyBorder="1" applyAlignment="1">
      <alignment horizontal="center" vertical="center"/>
    </xf>
    <xf numFmtId="0" fontId="0" fillId="7" borderId="35" xfId="0" applyFill="1" applyBorder="1" applyAlignment="1">
      <alignment horizontal="left" vertical="center"/>
    </xf>
    <xf numFmtId="0" fontId="0" fillId="7" borderId="34" xfId="0" applyFill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right" vertical="center"/>
    </xf>
    <xf numFmtId="0" fontId="0" fillId="4" borderId="20" xfId="0" applyFill="1" applyBorder="1" applyAlignment="1">
      <alignment horizontal="center" vertical="center"/>
    </xf>
    <xf numFmtId="2" fontId="0" fillId="7" borderId="28" xfId="0" applyNumberForma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7" borderId="17" xfId="0" applyNumberFormat="1" applyFill="1" applyBorder="1" applyAlignment="1">
      <alignment horizontal="center" vertical="center"/>
    </xf>
    <xf numFmtId="2" fontId="0" fillId="4" borderId="43" xfId="0" applyNumberFormat="1" applyFill="1" applyBorder="1" applyAlignment="1">
      <alignment horizontal="center" vertical="center"/>
    </xf>
    <xf numFmtId="2" fontId="0" fillId="4" borderId="42" xfId="0" applyNumberForma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23" borderId="17" xfId="0" applyFont="1" applyFill="1" applyBorder="1" applyAlignment="1">
      <alignment horizontal="center" vertical="center"/>
    </xf>
    <xf numFmtId="0" fontId="16" fillId="24" borderId="14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16" fillId="24" borderId="17" xfId="0" applyFont="1" applyFill="1" applyBorder="1" applyAlignment="1">
      <alignment horizontal="center" vertical="center"/>
    </xf>
    <xf numFmtId="2" fontId="16" fillId="24" borderId="1" xfId="0" applyNumberFormat="1" applyFont="1" applyFill="1" applyBorder="1" applyAlignment="1">
      <alignment horizontal="center" vertical="center"/>
    </xf>
    <xf numFmtId="2" fontId="16" fillId="24" borderId="17" xfId="0" applyNumberFormat="1" applyFont="1" applyFill="1" applyBorder="1" applyAlignment="1">
      <alignment horizontal="center" vertical="center"/>
    </xf>
    <xf numFmtId="164" fontId="16" fillId="24" borderId="1" xfId="0" applyNumberFormat="1" applyFont="1" applyFill="1" applyBorder="1" applyAlignment="1">
      <alignment horizontal="center" vertical="center"/>
    </xf>
    <xf numFmtId="2" fontId="16" fillId="24" borderId="14" xfId="0" applyNumberFormat="1" applyFont="1" applyFill="1" applyBorder="1" applyAlignment="1">
      <alignment horizontal="center" vertical="center"/>
    </xf>
    <xf numFmtId="2" fontId="16" fillId="24" borderId="16" xfId="0" applyNumberFormat="1" applyFont="1" applyFill="1" applyBorder="1" applyAlignment="1">
      <alignment horizontal="center" vertical="center"/>
    </xf>
    <xf numFmtId="0" fontId="16" fillId="24" borderId="20" xfId="0" applyFont="1" applyFill="1" applyBorder="1" applyAlignment="1">
      <alignment horizontal="center" vertical="center"/>
    </xf>
    <xf numFmtId="0" fontId="16" fillId="24" borderId="15" xfId="0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2" fontId="16" fillId="25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0" fontId="0" fillId="4" borderId="17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4" borderId="48" xfId="0" applyNumberFormat="1" applyFill="1" applyBorder="1" applyAlignment="1">
      <alignment horizontal="center" vertical="center"/>
    </xf>
    <xf numFmtId="0" fontId="0" fillId="15" borderId="43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16" fillId="27" borderId="15" xfId="0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16" fillId="27" borderId="18" xfId="0" applyFont="1" applyFill="1" applyBorder="1" applyAlignment="1">
      <alignment horizontal="center" vertical="center"/>
    </xf>
    <xf numFmtId="2" fontId="0" fillId="4" borderId="27" xfId="0" applyNumberFormat="1" applyFill="1" applyBorder="1" applyAlignment="1">
      <alignment horizontal="center" vertical="center"/>
    </xf>
    <xf numFmtId="0" fontId="16" fillId="23" borderId="9" xfId="0" applyFont="1" applyFill="1" applyBorder="1" applyAlignment="1">
      <alignment horizontal="center" vertical="center"/>
    </xf>
    <xf numFmtId="0" fontId="16" fillId="23" borderId="21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22" borderId="34" xfId="0" applyFont="1" applyFill="1" applyBorder="1" applyAlignment="1">
      <alignment horizontal="center" vertical="center"/>
    </xf>
    <xf numFmtId="0" fontId="1" fillId="22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1"/>
    </xf>
    <xf numFmtId="16" fontId="15" fillId="0" borderId="0" xfId="0" applyNumberFormat="1" applyFont="1" applyAlignment="1">
      <alignment horizontal="center" vertical="center" wrapText="1" readingOrder="1"/>
    </xf>
    <xf numFmtId="0" fontId="5" fillId="1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 readingOrder="1"/>
    </xf>
    <xf numFmtId="0" fontId="0" fillId="7" borderId="3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center" vertical="center"/>
    </xf>
    <xf numFmtId="2" fontId="0" fillId="7" borderId="20" xfId="0" applyNumberFormat="1" applyFill="1" applyBorder="1" applyAlignment="1">
      <alignment horizontal="center" vertical="center"/>
    </xf>
    <xf numFmtId="2" fontId="0" fillId="7" borderId="33" xfId="0" applyNumberFormat="1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5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1" fontId="0" fillId="7" borderId="48" xfId="0" applyNumberFormat="1" applyFill="1" applyBorder="1" applyAlignment="1">
      <alignment horizontal="center" vertical="center"/>
    </xf>
    <xf numFmtId="1" fontId="0" fillId="7" borderId="43" xfId="0" applyNumberFormat="1" applyFill="1" applyBorder="1" applyAlignment="1">
      <alignment horizontal="center" vertical="center"/>
    </xf>
    <xf numFmtId="1" fontId="0" fillId="7" borderId="27" xfId="0" applyNumberFormat="1" applyFill="1" applyBorder="1" applyAlignment="1">
      <alignment horizontal="center" vertical="center"/>
    </xf>
    <xf numFmtId="0" fontId="0" fillId="15" borderId="48" xfId="0" applyFill="1" applyBorder="1" applyAlignment="1">
      <alignment horizontal="center" vertical="center"/>
    </xf>
    <xf numFmtId="0" fontId="1" fillId="22" borderId="33" xfId="0" applyFont="1" applyFill="1" applyBorder="1" applyAlignment="1">
      <alignment horizontal="center" vertical="center" wrapText="1"/>
    </xf>
    <xf numFmtId="0" fontId="16" fillId="24" borderId="33" xfId="0" applyFont="1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2" fontId="0" fillId="7" borderId="14" xfId="0" applyNumberFormat="1" applyFill="1" applyBorder="1" applyAlignment="1">
      <alignment horizontal="center" vertical="center"/>
    </xf>
    <xf numFmtId="0" fontId="0" fillId="19" borderId="15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0" fillId="7" borderId="14" xfId="0" applyFill="1" applyBorder="1" applyAlignment="1">
      <alignment horizontal="left" vertical="center"/>
    </xf>
    <xf numFmtId="0" fontId="0" fillId="9" borderId="20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2" fontId="0" fillId="7" borderId="1" xfId="0" applyNumberFormat="1" applyFill="1" applyBorder="1"/>
    <xf numFmtId="0" fontId="1" fillId="26" borderId="51" xfId="0" applyFont="1" applyFill="1" applyBorder="1"/>
    <xf numFmtId="0" fontId="1" fillId="26" borderId="52" xfId="0" applyFont="1" applyFill="1" applyBorder="1"/>
    <xf numFmtId="0" fontId="1" fillId="26" borderId="53" xfId="0" applyFont="1" applyFill="1" applyBorder="1"/>
    <xf numFmtId="0" fontId="1" fillId="26" borderId="44" xfId="0" applyFont="1" applyFill="1" applyBorder="1"/>
    <xf numFmtId="0" fontId="0" fillId="7" borderId="16" xfId="0" applyFill="1" applyBorder="1" applyAlignment="1">
      <alignment horizontal="left" vertical="center"/>
    </xf>
    <xf numFmtId="164" fontId="16" fillId="24" borderId="17" xfId="0" applyNumberFormat="1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3" fillId="16" borderId="30" xfId="0" applyFont="1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/>
    </xf>
    <xf numFmtId="0" fontId="3" fillId="16" borderId="23" xfId="0" applyFont="1" applyFill="1" applyBorder="1" applyAlignment="1">
      <alignment horizontal="center" vertical="center"/>
    </xf>
    <xf numFmtId="0" fontId="3" fillId="16" borderId="29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6" borderId="24" xfId="0" applyFont="1" applyFill="1" applyBorder="1" applyAlignment="1">
      <alignment horizontal="center" vertical="center"/>
    </xf>
    <xf numFmtId="0" fontId="3" fillId="16" borderId="26" xfId="0" applyFont="1" applyFill="1" applyBorder="1" applyAlignment="1">
      <alignment horizontal="center" vertical="center"/>
    </xf>
    <xf numFmtId="0" fontId="3" fillId="16" borderId="31" xfId="0" applyFont="1" applyFill="1" applyBorder="1" applyAlignment="1">
      <alignment horizontal="center" vertical="center"/>
    </xf>
    <xf numFmtId="0" fontId="3" fillId="16" borderId="32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0" fontId="1" fillId="14" borderId="47" xfId="0" applyFont="1" applyFill="1" applyBorder="1" applyAlignment="1">
      <alignment horizontal="center" vertical="center"/>
    </xf>
    <xf numFmtId="0" fontId="1" fillId="14" borderId="4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6" fillId="21" borderId="14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23" borderId="15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3" fillId="18" borderId="30" xfId="0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/>
    </xf>
    <xf numFmtId="0" fontId="3" fillId="18" borderId="29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26" xfId="0" applyFont="1" applyFill="1" applyBorder="1" applyAlignment="1">
      <alignment horizontal="center" vertical="center"/>
    </xf>
    <xf numFmtId="0" fontId="3" fillId="18" borderId="3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center" vertical="center"/>
    </xf>
    <xf numFmtId="0" fontId="3" fillId="17" borderId="40" xfId="0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 vertical="center"/>
    </xf>
    <xf numFmtId="0" fontId="3" fillId="17" borderId="16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17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17" borderId="18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26" borderId="41" xfId="0" applyFont="1" applyFill="1" applyBorder="1" applyAlignment="1">
      <alignment horizontal="center" vertical="center" wrapText="1"/>
    </xf>
    <xf numFmtId="0" fontId="1" fillId="26" borderId="42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6" fillId="21" borderId="17" xfId="0" applyFont="1" applyFill="1" applyBorder="1" applyAlignment="1">
      <alignment horizontal="center" vertical="center"/>
    </xf>
    <xf numFmtId="0" fontId="16" fillId="23" borderId="17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3" fillId="5" borderId="30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 wrapText="1"/>
    </xf>
    <xf numFmtId="0" fontId="3" fillId="20" borderId="12" xfId="0" applyFont="1" applyFill="1" applyBorder="1" applyAlignment="1">
      <alignment horizontal="center" vertical="center" wrapText="1"/>
    </xf>
    <xf numFmtId="0" fontId="3" fillId="20" borderId="13" xfId="0" applyFont="1" applyFill="1" applyBorder="1" applyAlignment="1">
      <alignment horizontal="center" vertical="center" wrapText="1"/>
    </xf>
    <xf numFmtId="0" fontId="3" fillId="20" borderId="14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0" borderId="15" xfId="0" applyFont="1" applyFill="1" applyBorder="1" applyAlignment="1">
      <alignment horizontal="center" vertical="center" wrapText="1"/>
    </xf>
    <xf numFmtId="0" fontId="3" fillId="20" borderId="16" xfId="0" applyFont="1" applyFill="1" applyBorder="1" applyAlignment="1">
      <alignment horizontal="center" vertical="center" wrapText="1"/>
    </xf>
    <xf numFmtId="0" fontId="3" fillId="20" borderId="17" xfId="0" applyFont="1" applyFill="1" applyBorder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/>
    </xf>
    <xf numFmtId="0" fontId="1" fillId="28" borderId="44" xfId="0" applyFont="1" applyFill="1" applyBorder="1" applyAlignment="1">
      <alignment horizontal="center" vertical="center" wrapText="1"/>
    </xf>
    <xf numFmtId="0" fontId="1" fillId="28" borderId="45" xfId="0" applyFont="1" applyFill="1" applyBorder="1" applyAlignment="1">
      <alignment horizontal="center" vertical="center" wrapText="1"/>
    </xf>
    <xf numFmtId="0" fontId="1" fillId="28" borderId="46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FFCC00"/>
      <color rgb="FF669900"/>
      <color rgb="FFCC9900"/>
      <color rgb="FFCCFF33"/>
      <color rgb="FFFFE7E7"/>
      <color rgb="FFFFCCCC"/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268852</xdr:colOff>
      <xdr:row>42</xdr:row>
      <xdr:rowOff>92178</xdr:rowOff>
    </xdr:from>
    <xdr:to>
      <xdr:col>51</xdr:col>
      <xdr:colOff>359194</xdr:colOff>
      <xdr:row>44</xdr:row>
      <xdr:rowOff>149842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58FC8F-9295-408F-97DB-A25521B44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73408" y="8180747"/>
          <a:ext cx="1818670" cy="426374"/>
        </a:xfrm>
        <a:prstGeom prst="rect">
          <a:avLst/>
        </a:prstGeom>
      </xdr:spPr>
    </xdr:pic>
    <xdr:clientData/>
  </xdr:twoCellAnchor>
  <xdr:twoCellAnchor editAs="oneCell">
    <xdr:from>
      <xdr:col>1</xdr:col>
      <xdr:colOff>829596</xdr:colOff>
      <xdr:row>51</xdr:row>
      <xdr:rowOff>176673</xdr:rowOff>
    </xdr:from>
    <xdr:to>
      <xdr:col>8</xdr:col>
      <xdr:colOff>965390</xdr:colOff>
      <xdr:row>66</xdr:row>
      <xdr:rowOff>66609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754987-1A86-4579-81B7-324462CCE7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337" t="5455" r="6670" b="19091"/>
        <a:stretch>
          <a:fillRect/>
        </a:stretch>
      </xdr:blipFill>
      <xdr:spPr>
        <a:xfrm>
          <a:off x="1129173" y="9924436"/>
          <a:ext cx="6065875" cy="2655258"/>
        </a:xfrm>
        <a:prstGeom prst="rect">
          <a:avLst/>
        </a:prstGeom>
      </xdr:spPr>
    </xdr:pic>
    <xdr:clientData/>
  </xdr:twoCellAnchor>
  <xdr:twoCellAnchor editAs="oneCell">
    <xdr:from>
      <xdr:col>2</xdr:col>
      <xdr:colOff>2159</xdr:colOff>
      <xdr:row>68</xdr:row>
      <xdr:rowOff>35750</xdr:rowOff>
    </xdr:from>
    <xdr:to>
      <xdr:col>7</xdr:col>
      <xdr:colOff>1214572</xdr:colOff>
      <xdr:row>80</xdr:row>
      <xdr:rowOff>133719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A694727-3B84-4335-AFF7-9B96AB1E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6696" y="12917545"/>
          <a:ext cx="4922553" cy="2310227"/>
        </a:xfrm>
        <a:prstGeom prst="rect">
          <a:avLst/>
        </a:prstGeom>
      </xdr:spPr>
    </xdr:pic>
    <xdr:clientData/>
  </xdr:twoCellAnchor>
  <xdr:twoCellAnchor editAs="oneCell">
    <xdr:from>
      <xdr:col>1</xdr:col>
      <xdr:colOff>820741</xdr:colOff>
      <xdr:row>82</xdr:row>
      <xdr:rowOff>4664</xdr:rowOff>
    </xdr:from>
    <xdr:to>
      <xdr:col>11</xdr:col>
      <xdr:colOff>166686</xdr:colOff>
      <xdr:row>130</xdr:row>
      <xdr:rowOff>71331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BB13B08-A821-48B6-87AA-1A53B4CFE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8399" y="15077977"/>
          <a:ext cx="9299570" cy="8639167"/>
        </a:xfrm>
        <a:prstGeom prst="rect">
          <a:avLst/>
        </a:prstGeom>
      </xdr:spPr>
    </xdr:pic>
    <xdr:clientData/>
  </xdr:twoCellAnchor>
  <xdr:twoCellAnchor editAs="oneCell">
    <xdr:from>
      <xdr:col>1</xdr:col>
      <xdr:colOff>819431</xdr:colOff>
      <xdr:row>133</xdr:row>
      <xdr:rowOff>46217</xdr:rowOff>
    </xdr:from>
    <xdr:to>
      <xdr:col>7</xdr:col>
      <xdr:colOff>974026</xdr:colOff>
      <xdr:row>170</xdr:row>
      <xdr:rowOff>11895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EEFD98E-81E6-8A04-11BD-F4140978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089" y="24227812"/>
          <a:ext cx="4714687" cy="6573646"/>
        </a:xfrm>
        <a:prstGeom prst="rect">
          <a:avLst/>
        </a:prstGeom>
      </xdr:spPr>
    </xdr:pic>
    <xdr:clientData/>
  </xdr:twoCellAnchor>
  <xdr:twoCellAnchor editAs="oneCell">
    <xdr:from>
      <xdr:col>8</xdr:col>
      <xdr:colOff>11905</xdr:colOff>
      <xdr:row>133</xdr:row>
      <xdr:rowOff>35708</xdr:rowOff>
    </xdr:from>
    <xdr:to>
      <xdr:col>11</xdr:col>
      <xdr:colOff>571498</xdr:colOff>
      <xdr:row>149</xdr:row>
      <xdr:rowOff>24167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C5F21F9-A5E9-DA22-581E-666CFF100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38875" y="24217303"/>
          <a:ext cx="4583906" cy="28459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80D28-0793-4932-9F84-E00976331C1B}" name="A" displayName="A" ref="U3:U8" totalsRowShown="0" headerRowDxfId="61" dataDxfId="59" headerRowBorderDxfId="60" tableBorderDxfId="58" totalsRowBorderDxfId="57">
  <autoFilter ref="U3:U8" xr:uid="{FE980D28-0793-4932-9F84-E00976331C1B}"/>
  <tableColumns count="1">
    <tableColumn id="1" xr3:uid="{3D97F461-B902-42E7-A346-56A19753AF43}" name="A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241D0D-A2F4-4584-BDB4-E488F1CBFEDB}" name="A2_" displayName="A2_" ref="V3:V5" totalsRowShown="0" headerRowDxfId="55" dataDxfId="53" headerRowBorderDxfId="54" tableBorderDxfId="52" totalsRowBorderDxfId="51">
  <autoFilter ref="V3:V5" xr:uid="{B8241D0D-A2F4-4584-BDB4-E488F1CBFEDB}"/>
  <tableColumns count="1">
    <tableColumn id="1" xr3:uid="{F89A011C-4AEA-4089-A7A3-C2E8624D5D68}" name="A2_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67AB12-AB0A-4080-84DD-D5BD8D37FC04}" name="B" displayName="B" ref="W3:W16" totalsRowShown="0" headerRowDxfId="49" dataDxfId="47" headerRowBorderDxfId="48" tableBorderDxfId="46" totalsRowBorderDxfId="45">
  <autoFilter ref="W3:W16" xr:uid="{6F67AB12-AB0A-4080-84DD-D5BD8D37FC04}"/>
  <tableColumns count="1">
    <tableColumn id="1" xr3:uid="{ADD75A34-D2F9-47B7-A5AF-D3F81D7FA313}" name="B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C8F501-ACE2-48FE-9ED4-56B1622B06D7}" name="B2_" displayName="B2_" ref="X3:X12" totalsRowShown="0" headerRowDxfId="43" dataDxfId="41" headerRowBorderDxfId="42" tableBorderDxfId="40" totalsRowBorderDxfId="39">
  <autoFilter ref="X3:X12" xr:uid="{73C8F501-ACE2-48FE-9ED4-56B1622B06D7}"/>
  <tableColumns count="1">
    <tableColumn id="1" xr3:uid="{E0130924-33CB-4ACC-8D74-BE7B98B7FB71}" name="B2_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6E5687-5AAE-4C07-AD3B-D4C2B9ED8573}" name="C_" displayName="C_" ref="Y3:Y9" totalsRowShown="0" headerRowDxfId="37" dataDxfId="35" headerRowBorderDxfId="36" tableBorderDxfId="34" totalsRowBorderDxfId="33">
  <autoFilter ref="Y3:Y9" xr:uid="{626E5687-5AAE-4C07-AD3B-D4C2B9ED8573}"/>
  <tableColumns count="1">
    <tableColumn id="1" xr3:uid="{24380F5D-658B-41AD-958C-7E5DAF82A5E9}" name="C_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9CDF4D-D7C5-47BC-981C-E4D28BB36132}" name="D" displayName="D" ref="Z3:Z6" totalsRowShown="0" headerRowDxfId="31" dataDxfId="29" headerRowBorderDxfId="30" tableBorderDxfId="28" totalsRowBorderDxfId="27">
  <autoFilter ref="Z3:Z6" xr:uid="{E79CDF4D-D7C5-47BC-981C-E4D28BB36132}"/>
  <tableColumns count="1">
    <tableColumn id="1" xr3:uid="{596CA041-888B-47AA-93C6-A930DA6FE9BD}" name="D" data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B72B0F-BEB5-46C6-9761-DF9F605C9D8F}" name="E" displayName="E" ref="AA3:AA8" totalsRowShown="0" headerRowDxfId="25" dataDxfId="23" headerRowBorderDxfId="24" tableBorderDxfId="22" totalsRowBorderDxfId="21">
  <autoFilter ref="AA3:AA8" xr:uid="{95B72B0F-BEB5-46C6-9761-DF9F605C9D8F}"/>
  <tableColumns count="1">
    <tableColumn id="1" xr3:uid="{07991659-6643-44B0-96A6-5E5E7F7A2577}" name="E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FA475F-2554-467A-A175-2D0E5EE7820B}" name="F" displayName="F" ref="AB3:AB7" totalsRowShown="0" headerRowDxfId="19" dataDxfId="17" headerRowBorderDxfId="18" tableBorderDxfId="16" totalsRowBorderDxfId="15">
  <autoFilter ref="AB3:AB7" xr:uid="{18FA475F-2554-467A-A175-2D0E5EE7820B}"/>
  <tableColumns count="1">
    <tableColumn id="1" xr3:uid="{D0818125-0B4D-46CF-8186-6F21D830C5FF}" name="F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375729-8D13-4197-AF6D-CA5BC2A99DE8}" name="G" displayName="G" ref="AC3:AC8" totalsRowShown="0" headerRowDxfId="13" dataDxfId="11" headerRowBorderDxfId="12" tableBorderDxfId="10" totalsRowBorderDxfId="9">
  <autoFilter ref="AC3:AC8" xr:uid="{84375729-8D13-4197-AF6D-CA5BC2A99DE8}"/>
  <tableColumns count="1">
    <tableColumn id="1" xr3:uid="{2021120F-027A-46AB-83B3-D45C3F7D36A5}" name="G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B931-EB9C-4B62-A90A-C1B97741C675}">
  <dimension ref="B1:BF82"/>
  <sheetViews>
    <sheetView tabSelected="1" topLeftCell="B1" zoomScale="40" zoomScaleNormal="40" workbookViewId="0">
      <selection activeCell="R132" sqref="R131:R132"/>
    </sheetView>
  </sheetViews>
  <sheetFormatPr defaultRowHeight="14.25" x14ac:dyDescent="0.45"/>
  <cols>
    <col min="1" max="1" width="4.19921875" customWidth="1"/>
    <col min="2" max="2" width="11.796875" customWidth="1"/>
    <col min="3" max="3" width="7" customWidth="1"/>
    <col min="4" max="4" width="10.53125" customWidth="1"/>
    <col min="5" max="5" width="7.796875" customWidth="1"/>
    <col min="6" max="6" width="13.796875" customWidth="1"/>
    <col min="7" max="7" width="12.796875" customWidth="1"/>
    <col min="8" max="8" width="19.19921875" customWidth="1"/>
    <col min="9" max="9" width="13.53125" customWidth="1"/>
    <col min="10" max="10" width="23.53125" customWidth="1"/>
    <col min="11" max="11" width="19.3984375" customWidth="1"/>
    <col min="12" max="15" width="13.46484375" customWidth="1"/>
    <col min="16" max="16" width="13.796875" customWidth="1"/>
    <col min="17" max="17" width="10.46484375" customWidth="1"/>
    <col min="18" max="18" width="22.46484375" customWidth="1"/>
    <col min="19" max="19" width="16.1328125" customWidth="1"/>
    <col min="20" max="20" width="15.1328125" customWidth="1"/>
    <col min="21" max="22" width="11.1328125" customWidth="1"/>
    <col min="23" max="23" width="12.46484375" customWidth="1"/>
    <col min="24" max="24" width="14.1328125" customWidth="1"/>
    <col min="25" max="25" width="19.86328125" customWidth="1"/>
    <col min="26" max="26" width="26.86328125" customWidth="1"/>
    <col min="27" max="27" width="15.46484375" customWidth="1"/>
    <col min="28" max="28" width="16.86328125" customWidth="1"/>
    <col min="29" max="29" width="11.86328125" bestFit="1" customWidth="1"/>
    <col min="30" max="30" width="12.796875" customWidth="1"/>
    <col min="31" max="31" width="12.1328125" customWidth="1"/>
    <col min="32" max="32" width="13.1328125" customWidth="1"/>
    <col min="33" max="33" width="16.46484375" customWidth="1"/>
    <col min="34" max="34" width="20.19921875" customWidth="1"/>
    <col min="35" max="35" width="13.46484375" customWidth="1"/>
    <col min="36" max="36" width="14.1328125" customWidth="1"/>
    <col min="37" max="37" width="16.1328125" customWidth="1"/>
    <col min="38" max="38" width="16.46484375" customWidth="1"/>
    <col min="39" max="39" width="29.46484375" customWidth="1"/>
    <col min="40" max="40" width="11.796875" customWidth="1"/>
    <col min="41" max="41" width="9.796875" customWidth="1"/>
    <col min="44" max="44" width="11.796875" customWidth="1"/>
    <col min="45" max="45" width="9.19921875" customWidth="1"/>
    <col min="46" max="46" width="13.53125" customWidth="1"/>
    <col min="47" max="47" width="13.19921875" customWidth="1"/>
    <col min="48" max="48" width="34.796875" customWidth="1"/>
    <col min="49" max="49" width="14.86328125" customWidth="1"/>
    <col min="50" max="50" width="12" customWidth="1"/>
    <col min="51" max="51" width="12.19921875" customWidth="1"/>
    <col min="52" max="52" width="13.1328125" customWidth="1"/>
    <col min="53" max="53" width="20.53125" customWidth="1"/>
    <col min="55" max="55" width="10" customWidth="1"/>
    <col min="56" max="56" width="13.1328125" customWidth="1"/>
    <col min="57" max="57" width="17" customWidth="1"/>
    <col min="58" max="58" width="27.46484375" customWidth="1"/>
  </cols>
  <sheetData>
    <row r="1" spans="2:58" x14ac:dyDescent="0.45">
      <c r="B1" s="14"/>
      <c r="C1" s="15"/>
      <c r="D1" s="15"/>
      <c r="E1" s="15"/>
      <c r="F1" s="15"/>
      <c r="G1" s="16"/>
      <c r="H1" s="15"/>
      <c r="I1" s="15"/>
      <c r="J1" s="15"/>
      <c r="K1" s="15"/>
      <c r="L1" s="15"/>
      <c r="M1" s="15"/>
      <c r="N1" s="15"/>
      <c r="O1" s="15"/>
      <c r="P1" s="15"/>
      <c r="Q1" s="15"/>
      <c r="R1" s="17"/>
    </row>
    <row r="2" spans="2:58" ht="14.45" customHeight="1" x14ac:dyDescent="0.45">
      <c r="B2" s="222" t="s">
        <v>35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</row>
    <row r="3" spans="2:58" ht="14.45" customHeight="1" x14ac:dyDescent="0.45"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</row>
    <row r="4" spans="2:58" ht="14.45" customHeight="1" thickBot="1" x14ac:dyDescent="0.5"/>
    <row r="5" spans="2:58" ht="14.45" customHeight="1" x14ac:dyDescent="0.45">
      <c r="B5" s="248" t="s">
        <v>9</v>
      </c>
      <c r="C5" s="249"/>
      <c r="D5" s="249"/>
      <c r="E5" s="250"/>
      <c r="F5" s="257" t="s">
        <v>10</v>
      </c>
      <c r="G5" s="258"/>
      <c r="H5" s="258"/>
      <c r="I5" s="258"/>
      <c r="J5" s="259"/>
      <c r="K5" s="223" t="s">
        <v>133</v>
      </c>
      <c r="L5" s="224"/>
      <c r="M5" s="224"/>
      <c r="N5" s="224"/>
      <c r="O5" s="225"/>
      <c r="P5" s="266" t="s">
        <v>16</v>
      </c>
      <c r="Q5" s="267"/>
      <c r="R5" s="267"/>
      <c r="S5" s="267"/>
      <c r="T5" s="268"/>
      <c r="U5" s="152" t="s">
        <v>31</v>
      </c>
      <c r="V5" s="153"/>
      <c r="W5" s="153"/>
      <c r="X5" s="154"/>
      <c r="Y5" s="141" t="s">
        <v>30</v>
      </c>
      <c r="Z5" s="142"/>
      <c r="AA5" s="143"/>
      <c r="AB5" s="193" t="s">
        <v>36</v>
      </c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5"/>
      <c r="AN5" s="196"/>
      <c r="AO5" s="182" t="s">
        <v>39</v>
      </c>
      <c r="AP5" s="183"/>
      <c r="AQ5" s="183"/>
      <c r="AR5" s="183"/>
      <c r="AS5" s="183"/>
      <c r="AT5" s="183"/>
      <c r="AU5" s="183"/>
      <c r="AV5" s="233" t="s">
        <v>88</v>
      </c>
      <c r="AW5" s="234"/>
      <c r="AX5" s="234"/>
      <c r="AY5" s="234"/>
      <c r="AZ5" s="234"/>
      <c r="BA5" s="234"/>
      <c r="BB5" s="234"/>
      <c r="BC5" s="234"/>
      <c r="BD5" s="234"/>
      <c r="BE5" s="234"/>
      <c r="BF5" s="235"/>
    </row>
    <row r="6" spans="2:58" ht="15" customHeight="1" x14ac:dyDescent="0.45">
      <c r="B6" s="251"/>
      <c r="C6" s="252"/>
      <c r="D6" s="252"/>
      <c r="E6" s="253"/>
      <c r="F6" s="260"/>
      <c r="G6" s="261"/>
      <c r="H6" s="261"/>
      <c r="I6" s="261"/>
      <c r="J6" s="262"/>
      <c r="K6" s="226"/>
      <c r="L6" s="227"/>
      <c r="M6" s="227"/>
      <c r="N6" s="227"/>
      <c r="O6" s="228"/>
      <c r="P6" s="269"/>
      <c r="Q6" s="270"/>
      <c r="R6" s="270"/>
      <c r="S6" s="270"/>
      <c r="T6" s="271"/>
      <c r="U6" s="155"/>
      <c r="V6" s="156"/>
      <c r="W6" s="156"/>
      <c r="X6" s="157"/>
      <c r="Y6" s="144"/>
      <c r="Z6" s="145"/>
      <c r="AA6" s="146"/>
      <c r="AB6" s="197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9"/>
      <c r="AN6" s="200"/>
      <c r="AO6" s="184"/>
      <c r="AP6" s="185"/>
      <c r="AQ6" s="185"/>
      <c r="AR6" s="185"/>
      <c r="AS6" s="185"/>
      <c r="AT6" s="185"/>
      <c r="AU6" s="185"/>
      <c r="AV6" s="236"/>
      <c r="AW6" s="237"/>
      <c r="AX6" s="237"/>
      <c r="AY6" s="237"/>
      <c r="AZ6" s="237"/>
      <c r="BA6" s="237"/>
      <c r="BB6" s="237"/>
      <c r="BC6" s="237"/>
      <c r="BD6" s="237"/>
      <c r="BE6" s="237"/>
      <c r="BF6" s="238"/>
    </row>
    <row r="7" spans="2:58" ht="14.65" thickBot="1" x14ac:dyDescent="0.5">
      <c r="B7" s="254"/>
      <c r="C7" s="255"/>
      <c r="D7" s="255"/>
      <c r="E7" s="256"/>
      <c r="F7" s="263"/>
      <c r="G7" s="264"/>
      <c r="H7" s="264"/>
      <c r="I7" s="264"/>
      <c r="J7" s="265"/>
      <c r="K7" s="226"/>
      <c r="L7" s="227"/>
      <c r="M7" s="227"/>
      <c r="N7" s="227"/>
      <c r="O7" s="228"/>
      <c r="P7" s="272"/>
      <c r="Q7" s="273"/>
      <c r="R7" s="273"/>
      <c r="S7" s="273"/>
      <c r="T7" s="274"/>
      <c r="U7" s="158"/>
      <c r="V7" s="159"/>
      <c r="W7" s="159"/>
      <c r="X7" s="160"/>
      <c r="Y7" s="147"/>
      <c r="Z7" s="148"/>
      <c r="AA7" s="149"/>
      <c r="AB7" s="201"/>
      <c r="AC7" s="202"/>
      <c r="AD7" s="202"/>
      <c r="AE7" s="203"/>
      <c r="AF7" s="203"/>
      <c r="AG7" s="203"/>
      <c r="AH7" s="203"/>
      <c r="AI7" s="203"/>
      <c r="AJ7" s="203"/>
      <c r="AK7" s="203"/>
      <c r="AL7" s="203"/>
      <c r="AM7" s="204"/>
      <c r="AN7" s="205"/>
      <c r="AO7" s="186"/>
      <c r="AP7" s="187"/>
      <c r="AQ7" s="187"/>
      <c r="AR7" s="187"/>
      <c r="AS7" s="187"/>
      <c r="AT7" s="187"/>
      <c r="AU7" s="187"/>
      <c r="AV7" s="239"/>
      <c r="AW7" s="240"/>
      <c r="AX7" s="240"/>
      <c r="AY7" s="240"/>
      <c r="AZ7" s="240"/>
      <c r="BA7" s="240"/>
      <c r="BB7" s="240"/>
      <c r="BC7" s="240"/>
      <c r="BD7" s="240"/>
      <c r="BE7" s="240"/>
      <c r="BF7" s="241"/>
    </row>
    <row r="8" spans="2:58" ht="25.25" customHeight="1" thickBot="1" x14ac:dyDescent="0.5">
      <c r="B8" s="170" t="s">
        <v>11</v>
      </c>
      <c r="C8" s="171"/>
      <c r="D8" s="168" t="s">
        <v>12</v>
      </c>
      <c r="E8" s="174"/>
      <c r="F8" s="150" t="s">
        <v>1</v>
      </c>
      <c r="G8" s="151" t="s">
        <v>13</v>
      </c>
      <c r="H8" s="151" t="s">
        <v>0</v>
      </c>
      <c r="I8" s="163" t="s">
        <v>2</v>
      </c>
      <c r="J8" s="164" t="s">
        <v>7</v>
      </c>
      <c r="K8" s="208" t="s">
        <v>3</v>
      </c>
      <c r="L8" s="229" t="s">
        <v>4</v>
      </c>
      <c r="M8" s="229" t="s">
        <v>5</v>
      </c>
      <c r="N8" s="163" t="s">
        <v>6</v>
      </c>
      <c r="O8" s="164" t="s">
        <v>8</v>
      </c>
      <c r="P8" s="166" t="s">
        <v>17</v>
      </c>
      <c r="Q8" s="168" t="s">
        <v>67</v>
      </c>
      <c r="R8" s="161" t="s">
        <v>68</v>
      </c>
      <c r="S8" s="246" t="s">
        <v>87</v>
      </c>
      <c r="T8" s="190" t="s">
        <v>66</v>
      </c>
      <c r="U8" s="150" t="s">
        <v>32</v>
      </c>
      <c r="V8" s="151" t="s">
        <v>33</v>
      </c>
      <c r="W8" s="151" t="s">
        <v>34</v>
      </c>
      <c r="X8" s="139" t="s">
        <v>92</v>
      </c>
      <c r="Y8" s="135" t="s">
        <v>86</v>
      </c>
      <c r="Z8" s="137" t="s">
        <v>61</v>
      </c>
      <c r="AA8" s="139" t="s">
        <v>85</v>
      </c>
      <c r="AB8" s="206" t="s">
        <v>60</v>
      </c>
      <c r="AC8" s="208" t="s">
        <v>37</v>
      </c>
      <c r="AD8" s="210" t="s">
        <v>69</v>
      </c>
      <c r="AE8" s="135" t="s">
        <v>65</v>
      </c>
      <c r="AF8" s="137" t="s">
        <v>64</v>
      </c>
      <c r="AG8" s="137" t="s">
        <v>62</v>
      </c>
      <c r="AH8" s="139" t="s">
        <v>63</v>
      </c>
      <c r="AI8" s="212" t="s">
        <v>70</v>
      </c>
      <c r="AJ8" s="243" t="s">
        <v>140</v>
      </c>
      <c r="AK8" s="244"/>
      <c r="AL8" s="244"/>
      <c r="AM8" s="245"/>
      <c r="AN8" s="164" t="s">
        <v>38</v>
      </c>
      <c r="AO8" s="150" t="s">
        <v>7</v>
      </c>
      <c r="AP8" s="151" t="s">
        <v>67</v>
      </c>
      <c r="AQ8" s="151" t="s">
        <v>38</v>
      </c>
      <c r="AR8" s="188" t="s">
        <v>71</v>
      </c>
      <c r="AS8" s="151" t="s">
        <v>66</v>
      </c>
      <c r="AT8" s="151" t="s">
        <v>74</v>
      </c>
      <c r="AU8" s="190" t="s">
        <v>72</v>
      </c>
      <c r="AV8" s="231" t="s">
        <v>40</v>
      </c>
      <c r="AW8" s="180" t="s">
        <v>76</v>
      </c>
      <c r="AX8" s="192" t="s">
        <v>89</v>
      </c>
      <c r="AY8" s="192" t="s">
        <v>90</v>
      </c>
      <c r="AZ8" s="192" t="s">
        <v>73</v>
      </c>
      <c r="BA8" s="192" t="s">
        <v>91</v>
      </c>
      <c r="BB8" s="180" t="s">
        <v>77</v>
      </c>
      <c r="BC8" s="180" t="s">
        <v>75</v>
      </c>
      <c r="BD8" s="188" t="s">
        <v>78</v>
      </c>
      <c r="BE8" s="188" t="s">
        <v>134</v>
      </c>
      <c r="BF8" s="190" t="s">
        <v>135</v>
      </c>
    </row>
    <row r="9" spans="2:58" ht="28.9" thickBot="1" x14ac:dyDescent="0.5">
      <c r="B9" s="172"/>
      <c r="C9" s="173"/>
      <c r="D9" s="169"/>
      <c r="E9" s="175"/>
      <c r="F9" s="136"/>
      <c r="G9" s="138"/>
      <c r="H9" s="138"/>
      <c r="I9" s="140"/>
      <c r="J9" s="165"/>
      <c r="K9" s="209"/>
      <c r="L9" s="230"/>
      <c r="M9" s="230"/>
      <c r="N9" s="140"/>
      <c r="O9" s="165"/>
      <c r="P9" s="167"/>
      <c r="Q9" s="169"/>
      <c r="R9" s="162"/>
      <c r="S9" s="247"/>
      <c r="T9" s="191"/>
      <c r="U9" s="136"/>
      <c r="V9" s="138"/>
      <c r="W9" s="138"/>
      <c r="X9" s="140"/>
      <c r="Y9" s="136"/>
      <c r="Z9" s="138"/>
      <c r="AA9" s="140"/>
      <c r="AB9" s="207"/>
      <c r="AC9" s="209"/>
      <c r="AD9" s="211"/>
      <c r="AE9" s="136"/>
      <c r="AF9" s="138"/>
      <c r="AG9" s="138"/>
      <c r="AH9" s="140"/>
      <c r="AI9" s="213"/>
      <c r="AJ9" s="89" t="s">
        <v>136</v>
      </c>
      <c r="AK9" s="90" t="s">
        <v>138</v>
      </c>
      <c r="AL9" s="90" t="s">
        <v>139</v>
      </c>
      <c r="AM9" s="115" t="s">
        <v>137</v>
      </c>
      <c r="AN9" s="165"/>
      <c r="AO9" s="136"/>
      <c r="AP9" s="138"/>
      <c r="AQ9" s="138"/>
      <c r="AR9" s="189"/>
      <c r="AS9" s="138"/>
      <c r="AT9" s="138"/>
      <c r="AU9" s="191"/>
      <c r="AV9" s="232"/>
      <c r="AW9" s="181"/>
      <c r="AX9" s="181"/>
      <c r="AY9" s="181"/>
      <c r="AZ9" s="181"/>
      <c r="BA9" s="181"/>
      <c r="BB9" s="181"/>
      <c r="BC9" s="181"/>
      <c r="BD9" s="189"/>
      <c r="BE9" s="189"/>
      <c r="BF9" s="242"/>
    </row>
    <row r="10" spans="2:58" x14ac:dyDescent="0.45">
      <c r="B10" s="218" t="s">
        <v>143</v>
      </c>
      <c r="C10" s="219"/>
      <c r="D10" s="220" t="s">
        <v>100</v>
      </c>
      <c r="E10" s="221"/>
      <c r="F10" s="52">
        <f>H10*G10</f>
        <v>320</v>
      </c>
      <c r="G10" s="7">
        <v>0.8</v>
      </c>
      <c r="H10" s="35">
        <v>400</v>
      </c>
      <c r="I10" s="62">
        <v>400</v>
      </c>
      <c r="J10" s="75">
        <f t="shared" ref="J10:J15" si="0">IF(I10 = 400,(H10*1000)/(SQRT(3)*400),(H10*1000)/(230))</f>
        <v>577.35026918962581</v>
      </c>
      <c r="K10" s="12">
        <v>1</v>
      </c>
      <c r="L10" s="8">
        <v>1</v>
      </c>
      <c r="M10" s="8">
        <v>1</v>
      </c>
      <c r="N10" s="102">
        <f>H10*K10*L10*M10</f>
        <v>400</v>
      </c>
      <c r="O10" s="75">
        <f>IF(I10=400,(N10*1000)/(SQRT(3)*400),(N10*1000)/230)</f>
        <v>577.35026918962581</v>
      </c>
      <c r="P10" s="105" t="s">
        <v>19</v>
      </c>
      <c r="Q10" s="50">
        <v>630</v>
      </c>
      <c r="R10" s="124">
        <v>1</v>
      </c>
      <c r="S10" s="87">
        <f>Q10*R10</f>
        <v>630</v>
      </c>
      <c r="T10" s="108" cm="1">
        <f t="array" ref="T10">IF(P10 ="D",1.45*S10,IF(P10 ="DR",1.3*S10,IF(E[](P10="F",S10&lt;=4),2.1*S10,IF(E[](P10="F",E[](S10&gt;4,S10&lt;=16)),1.9*S10,IF(E[](P10="F",S10&gt;16),1.6*S10)))))</f>
        <v>913.5</v>
      </c>
      <c r="U10" s="9">
        <v>3</v>
      </c>
      <c r="V10" s="6" t="s">
        <v>44</v>
      </c>
      <c r="W10" s="6" t="s">
        <v>58</v>
      </c>
      <c r="X10" s="11" t="s">
        <v>152</v>
      </c>
      <c r="Y10" s="110" t="s">
        <v>19</v>
      </c>
      <c r="Z10" s="6">
        <v>61</v>
      </c>
      <c r="AA10" s="11" t="s">
        <v>144</v>
      </c>
      <c r="AB10" s="125">
        <v>3</v>
      </c>
      <c r="AC10" s="80">
        <v>95</v>
      </c>
      <c r="AD10" s="123">
        <v>301</v>
      </c>
      <c r="AE10" s="9">
        <v>3</v>
      </c>
      <c r="AF10" s="7">
        <v>3</v>
      </c>
      <c r="AG10" s="6">
        <f>AC10*AE10</f>
        <v>285</v>
      </c>
      <c r="AH10" s="109">
        <f>AC10*AF10</f>
        <v>285</v>
      </c>
      <c r="AI10" s="114">
        <f>AD10*AE10</f>
        <v>903</v>
      </c>
      <c r="AJ10" s="9">
        <v>1</v>
      </c>
      <c r="AK10" s="126">
        <v>1</v>
      </c>
      <c r="AL10" s="126">
        <v>1</v>
      </c>
      <c r="AM10" s="127">
        <v>0.8</v>
      </c>
      <c r="AN10" s="117">
        <f t="shared" ref="AN10:AN41" si="1">AI10*AJ10*AK10*AL10*AM10</f>
        <v>722.40000000000009</v>
      </c>
      <c r="AO10" s="118">
        <f t="shared" ref="AO10:AO41" si="2">O10</f>
        <v>577.35026918962581</v>
      </c>
      <c r="AP10" s="6">
        <f>S10</f>
        <v>630</v>
      </c>
      <c r="AQ10" s="6">
        <f>AN10</f>
        <v>722.40000000000009</v>
      </c>
      <c r="AR10" s="6" t="str">
        <f>IF(AND(AO10&lt;=AP10, AP10&lt;=AQ10), "ok", "nok")</f>
        <v>ok</v>
      </c>
      <c r="AS10" s="6">
        <f t="shared" ref="AS10:AS41" si="3">T10</f>
        <v>913.5</v>
      </c>
      <c r="AT10" s="46">
        <f>1.45*AQ10</f>
        <v>1047.48</v>
      </c>
      <c r="AU10" s="119" t="str">
        <f>IF(AS10&lt;=AT10, "ok", "nok")</f>
        <v>ok</v>
      </c>
      <c r="AV10" s="122" t="s">
        <v>97</v>
      </c>
      <c r="AW10" s="6">
        <f xml:space="preserve"> IF(AV10="Instalação Media Tensão (iluminação)",6, IF(AV10="Instalação Media Tensão (outros usos)",8, IF(AV10="Instalação Baixa Tensão (iluminação)",3, IF(AV10="Instalação Baixa Tensão (outros usos)",5, IF(AV10="Instalação coletiva - coluna",1, IF(AV10="Instalação coletiva - entrada",0.5, IF(AV10="Entrada individual - portinhola",1.5)))))))</f>
        <v>5</v>
      </c>
      <c r="AX10" s="56">
        <f>G10</f>
        <v>0.8</v>
      </c>
      <c r="AY10" s="58">
        <f xml:space="preserve"> SQRT(1-AX10^2)</f>
        <v>0.59999999999999987</v>
      </c>
      <c r="AZ10" s="6">
        <f t="shared" ref="AZ10:AZ41" si="4">IF(V10="Cu",0.0225, IF(V10="Al",0.036,0))</f>
        <v>2.2499999999999999E-2</v>
      </c>
      <c r="BA10" s="6">
        <v>8.0000000000000007E-5</v>
      </c>
      <c r="BB10" s="46">
        <f t="shared" ref="BB10:BB41" si="5">IF(I10=400, (AZ10*(U10/AG10)*AX10+BA10*U10*AY10)*AO10, 2*(AZ10*(U10/AG10)*AX10+BA10*U10*AY10)*AO10)</f>
        <v>0.19253112134660361</v>
      </c>
      <c r="BC10" s="46">
        <f>(BB10/230)*100</f>
        <v>8.3709183194175488E-2</v>
      </c>
      <c r="BD10" s="67" t="str">
        <f>IF(BC10&lt;AW10,"ok","nok")</f>
        <v>ok</v>
      </c>
      <c r="BE10" s="68">
        <f>BC10</f>
        <v>8.3709183194175488E-2</v>
      </c>
      <c r="BF10" s="100" t="str">
        <f>IF(BE10&lt;AW10,"ok","nok")</f>
        <v>ok</v>
      </c>
    </row>
    <row r="11" spans="2:58" x14ac:dyDescent="0.45">
      <c r="B11" s="176" t="s">
        <v>100</v>
      </c>
      <c r="C11" s="177"/>
      <c r="D11" s="178" t="s">
        <v>101</v>
      </c>
      <c r="E11" s="179"/>
      <c r="F11" s="52">
        <f>H11*G11</f>
        <v>320</v>
      </c>
      <c r="G11" s="53">
        <v>0.8</v>
      </c>
      <c r="H11" s="66">
        <v>400</v>
      </c>
      <c r="I11" s="62">
        <v>400</v>
      </c>
      <c r="J11" s="75">
        <f t="shared" si="0"/>
        <v>577.35026918962581</v>
      </c>
      <c r="K11" s="80">
        <v>1</v>
      </c>
      <c r="L11" s="3">
        <v>0.8</v>
      </c>
      <c r="M11" s="3">
        <v>1</v>
      </c>
      <c r="N11" s="101">
        <f>H11*K11*L11*M11</f>
        <v>320</v>
      </c>
      <c r="O11" s="75">
        <f>IF(I11=400,(N11*1000)/(SQRT(3)*400),(N11*1000)/230)</f>
        <v>461.8802153517006</v>
      </c>
      <c r="P11" s="105" t="s">
        <v>19</v>
      </c>
      <c r="Q11" s="50">
        <v>500</v>
      </c>
      <c r="R11" s="85">
        <v>1</v>
      </c>
      <c r="S11" s="87">
        <f>Q11*R11</f>
        <v>500</v>
      </c>
      <c r="T11" s="108" cm="1">
        <f t="array" ref="T11">IF(P11 ="D",1.45*S11,IF(P11 ="DR",1.3*S11,IF(E[](P11="F",S11&lt;=4),2.1*S11,IF(E[](P11="F",E[](S11&gt;4,S11&lt;=16)),1.9*S11,IF(E[](P11="F",S11&gt;16),1.6*S11)))))</f>
        <v>725</v>
      </c>
      <c r="U11" s="52">
        <v>27</v>
      </c>
      <c r="V11" s="6" t="s">
        <v>44</v>
      </c>
      <c r="W11" s="6" t="s">
        <v>58</v>
      </c>
      <c r="X11" s="11" t="s">
        <v>153</v>
      </c>
      <c r="Y11" s="110" t="s">
        <v>21</v>
      </c>
      <c r="Z11" s="6">
        <v>13</v>
      </c>
      <c r="AA11" s="62" t="s">
        <v>132</v>
      </c>
      <c r="AB11" s="111">
        <v>3</v>
      </c>
      <c r="AC11" s="80">
        <v>95</v>
      </c>
      <c r="AD11" s="81">
        <v>328</v>
      </c>
      <c r="AE11" s="110">
        <v>2</v>
      </c>
      <c r="AF11" s="6">
        <v>2</v>
      </c>
      <c r="AG11" s="6">
        <f>AC11*AE11</f>
        <v>190</v>
      </c>
      <c r="AH11" s="109">
        <f>AC11*AF11</f>
        <v>190</v>
      </c>
      <c r="AI11" s="114">
        <f>AD11*AE11</f>
        <v>656</v>
      </c>
      <c r="AJ11" s="110">
        <v>1</v>
      </c>
      <c r="AK11" s="53">
        <v>0.85</v>
      </c>
      <c r="AL11" s="53">
        <v>1</v>
      </c>
      <c r="AM11" s="62">
        <v>1</v>
      </c>
      <c r="AN11" s="117">
        <f t="shared" si="1"/>
        <v>557.6</v>
      </c>
      <c r="AO11" s="118">
        <f t="shared" si="2"/>
        <v>461.8802153517006</v>
      </c>
      <c r="AP11" s="6">
        <f>S11</f>
        <v>500</v>
      </c>
      <c r="AQ11" s="6">
        <f>AN11</f>
        <v>557.6</v>
      </c>
      <c r="AR11" s="6" t="str">
        <f>IF(AND(AO11&lt;=AP11, AP11&lt;=AQ11), "ok", "nok")</f>
        <v>ok</v>
      </c>
      <c r="AS11" s="6">
        <f t="shared" si="3"/>
        <v>725</v>
      </c>
      <c r="AT11" s="46">
        <f>1.45*AQ11</f>
        <v>808.52</v>
      </c>
      <c r="AU11" s="119" t="str">
        <f>IF(AS11&lt;=AT11, "ok", "nok")</f>
        <v>ok</v>
      </c>
      <c r="AV11" s="122" t="s">
        <v>97</v>
      </c>
      <c r="AW11" s="6">
        <f xml:space="preserve"> IF(AV11="Instalação Media Tensão (iluminação)",6, IF(AV11="Instalação Media Tensão (outros usos)",8, IF(AV11="Instalação Baixa Tensão (iluminação)",3, IF(AV11="Instalação Baixa Tensão (outros usos)",5, IF(AV11="Instalação coletiva - coluna",1, IF(AV11="Instalação coletiva - entrada",0.5, IF(AV11="Entrada individual - portinhola",1.5)))))))</f>
        <v>5</v>
      </c>
      <c r="AX11" s="56">
        <f t="shared" ref="AX11:AX41" si="6">G11</f>
        <v>0.8</v>
      </c>
      <c r="AY11" s="58">
        <f t="shared" ref="AY11:AY41" si="7" xml:space="preserve"> SQRT(1-AX11^2)</f>
        <v>0.59999999999999987</v>
      </c>
      <c r="AZ11" s="6">
        <f t="shared" si="4"/>
        <v>2.2499999999999999E-2</v>
      </c>
      <c r="BA11" s="6">
        <v>8.0000000000000007E-5</v>
      </c>
      <c r="BB11" s="46">
        <f t="shared" si="5"/>
        <v>1.780037730995417</v>
      </c>
      <c r="BC11" s="46">
        <f t="shared" ref="BC11:BC41" si="8">(BB11/230)*100</f>
        <v>0.77392944825887688</v>
      </c>
      <c r="BD11" s="67" t="str">
        <f>IF(BC11&lt;AW11,"ok","nok")</f>
        <v>ok</v>
      </c>
      <c r="BE11" s="68">
        <f>BC11+BE10</f>
        <v>0.85763863145305241</v>
      </c>
      <c r="BF11" s="100" t="str">
        <f>IF(BE11&lt;AW11,"ok","nok")</f>
        <v>ok</v>
      </c>
    </row>
    <row r="12" spans="2:58" x14ac:dyDescent="0.45">
      <c r="B12" s="176" t="s">
        <v>101</v>
      </c>
      <c r="C12" s="177"/>
      <c r="D12" s="178" t="s">
        <v>102</v>
      </c>
      <c r="E12" s="179"/>
      <c r="F12" s="52">
        <f t="shared" ref="F12:F14" si="9">H12*G12</f>
        <v>29.900000000000002</v>
      </c>
      <c r="G12" s="53">
        <v>0.8</v>
      </c>
      <c r="H12" s="66">
        <f>H21+H20+H19+H18+H17+H16</f>
        <v>37.375</v>
      </c>
      <c r="I12" s="62">
        <v>400</v>
      </c>
      <c r="J12" s="75">
        <f t="shared" si="0"/>
        <v>53.94616577740566</v>
      </c>
      <c r="K12" s="12">
        <v>1</v>
      </c>
      <c r="L12" s="8">
        <v>0.7</v>
      </c>
      <c r="M12" s="8">
        <v>1</v>
      </c>
      <c r="N12" s="102">
        <f>H12*M12*L12*K12</f>
        <v>26.162499999999998</v>
      </c>
      <c r="O12" s="48">
        <f t="shared" ref="O12:O41" si="10">IF(I12=400,(N12*1000)/(SQRT(3)*400),(N12*1000)/230)</f>
        <v>37.762316044183954</v>
      </c>
      <c r="P12" s="106" t="s">
        <v>19</v>
      </c>
      <c r="Q12" s="50">
        <v>40</v>
      </c>
      <c r="R12" s="85">
        <v>1</v>
      </c>
      <c r="S12" s="87">
        <f>Q12*R12</f>
        <v>40</v>
      </c>
      <c r="T12" s="43">
        <f t="shared" ref="T12:T41" si="11">IF(P12 ="D",1.45*S12,IF(P12 ="DR",1.3*S12,IF(AND(P12="F",S12&lt;=4),2.1*S12,IF(AND(P12="F",AND(S12&gt;4,S12&lt;=16)),1.9*S12,IF(AND(P12="F",S12&gt;16),1.6*S12)))))</f>
        <v>58</v>
      </c>
      <c r="U12" s="52">
        <v>11</v>
      </c>
      <c r="V12" s="7" t="s">
        <v>44</v>
      </c>
      <c r="W12" s="7" t="s">
        <v>58</v>
      </c>
      <c r="X12" s="11" t="s">
        <v>154</v>
      </c>
      <c r="Y12" s="9" t="s">
        <v>48</v>
      </c>
      <c r="Z12" s="7">
        <v>13</v>
      </c>
      <c r="AA12" s="62" t="s">
        <v>132</v>
      </c>
      <c r="AB12" s="112">
        <v>3</v>
      </c>
      <c r="AC12" s="80">
        <v>4</v>
      </c>
      <c r="AD12" s="81">
        <v>42</v>
      </c>
      <c r="AE12" s="9">
        <v>1</v>
      </c>
      <c r="AF12" s="7">
        <v>1</v>
      </c>
      <c r="AG12" s="7">
        <f>AC12*AE12</f>
        <v>4</v>
      </c>
      <c r="AH12" s="11">
        <f t="shared" ref="AH12:AH41" si="12">AC12*AF12</f>
        <v>4</v>
      </c>
      <c r="AI12" s="76">
        <f>AD12*AE12</f>
        <v>42</v>
      </c>
      <c r="AJ12" s="9">
        <v>1</v>
      </c>
      <c r="AK12" s="53">
        <v>1</v>
      </c>
      <c r="AL12" s="53">
        <v>1</v>
      </c>
      <c r="AM12" s="61">
        <v>1</v>
      </c>
      <c r="AN12" s="78">
        <f t="shared" si="1"/>
        <v>42</v>
      </c>
      <c r="AO12" s="19">
        <f t="shared" si="2"/>
        <v>37.762316044183954</v>
      </c>
      <c r="AP12" s="7">
        <f t="shared" ref="AP12:AP41" si="13">Q12</f>
        <v>40</v>
      </c>
      <c r="AQ12" s="7">
        <f t="shared" ref="AQ12:AQ41" si="14">AN12</f>
        <v>42</v>
      </c>
      <c r="AR12" s="6" t="str">
        <f t="shared" ref="AR12:AR41" si="15">IF(AND(AO12&lt;=AP12, AP12&lt;=AQ12), "ok", "nok")</f>
        <v>ok</v>
      </c>
      <c r="AS12" s="7">
        <f t="shared" si="3"/>
        <v>58</v>
      </c>
      <c r="AT12" s="35">
        <f>1.45*AQ12</f>
        <v>60.9</v>
      </c>
      <c r="AU12" s="120" t="str">
        <f t="shared" ref="AU12:AU41" si="16">IF(AS12&lt;=AT12, "ok", "nok")</f>
        <v>ok</v>
      </c>
      <c r="AV12" s="122" t="s">
        <v>97</v>
      </c>
      <c r="AW12" s="6">
        <f t="shared" ref="AW12:AW41" si="17" xml:space="preserve"> IF(AV12="Instalação Media Tensão (iluminação)",6, IF(AV12="Instalação Media Tensão (outros usos)",8, IF(AV12="Instalação Baixa Tensão (iluminação)",3, IF(AV12="Instalação Baixa Tensão (outros usos)",5, IF(AV12="Instalação coletiva - coluna",1, IF(AV12="Instalação coletiva - entrada",0.5, IF(AV12="Entrada individual - portinhola",1.5)))))))</f>
        <v>5</v>
      </c>
      <c r="AX12" s="56">
        <f t="shared" si="6"/>
        <v>0.8</v>
      </c>
      <c r="AY12" s="58">
        <f t="shared" si="7"/>
        <v>0.59999999999999987</v>
      </c>
      <c r="AZ12" s="6">
        <f t="shared" si="4"/>
        <v>2.2499999999999999E-2</v>
      </c>
      <c r="BA12" s="6">
        <v>8.0000000000000007E-5</v>
      </c>
      <c r="BB12" s="35">
        <f t="shared" si="5"/>
        <v>1.889173147058435</v>
      </c>
      <c r="BC12" s="46">
        <f t="shared" si="8"/>
        <v>0.8213796291558414</v>
      </c>
      <c r="BD12" s="67" t="str">
        <f t="shared" ref="BD12:BD41" si="18">IF(BC12&lt;AW12,"ok","nok")</f>
        <v>ok</v>
      </c>
      <c r="BE12" s="68">
        <f>BC12+BE11</f>
        <v>1.6790182606088937</v>
      </c>
      <c r="BF12" s="72" t="str">
        <f t="shared" ref="BF12:BF41" si="19">IF(BE12&lt;AW12,"ok","nok")</f>
        <v>ok</v>
      </c>
    </row>
    <row r="13" spans="2:58" x14ac:dyDescent="0.45">
      <c r="B13" s="176" t="s">
        <v>101</v>
      </c>
      <c r="C13" s="177"/>
      <c r="D13" s="178" t="s">
        <v>103</v>
      </c>
      <c r="E13" s="179"/>
      <c r="F13" s="59">
        <f t="shared" si="9"/>
        <v>68.773737373737376</v>
      </c>
      <c r="G13" s="53">
        <v>0.8</v>
      </c>
      <c r="H13" s="66">
        <f>H24+H23+H22</f>
        <v>85.967171717171709</v>
      </c>
      <c r="I13" s="62">
        <v>400</v>
      </c>
      <c r="J13" s="75">
        <f t="shared" si="0"/>
        <v>124.08292433094967</v>
      </c>
      <c r="K13" s="12">
        <v>1</v>
      </c>
      <c r="L13" s="3">
        <v>0.9</v>
      </c>
      <c r="M13" s="8">
        <v>1</v>
      </c>
      <c r="N13" s="102">
        <f>H13*K13*L13*M13</f>
        <v>77.370454545454535</v>
      </c>
      <c r="O13" s="48">
        <f t="shared" si="10"/>
        <v>111.6746318978547</v>
      </c>
      <c r="P13" s="106" t="s">
        <v>19</v>
      </c>
      <c r="Q13" s="50">
        <v>125</v>
      </c>
      <c r="R13" s="85">
        <v>1</v>
      </c>
      <c r="S13" s="87">
        <f t="shared" ref="S13:S41" si="20">Q13*R13</f>
        <v>125</v>
      </c>
      <c r="T13" s="43">
        <f t="shared" si="11"/>
        <v>181.25</v>
      </c>
      <c r="U13" s="52">
        <v>21</v>
      </c>
      <c r="V13" s="7" t="s">
        <v>44</v>
      </c>
      <c r="W13" s="7" t="s">
        <v>58</v>
      </c>
      <c r="X13" s="11" t="s">
        <v>155</v>
      </c>
      <c r="Y13" s="9" t="s">
        <v>21</v>
      </c>
      <c r="Z13" s="7">
        <v>13</v>
      </c>
      <c r="AA13" s="62" t="s">
        <v>132</v>
      </c>
      <c r="AB13" s="112">
        <v>3</v>
      </c>
      <c r="AC13" s="80">
        <v>25</v>
      </c>
      <c r="AD13" s="81">
        <v>135</v>
      </c>
      <c r="AE13" s="9">
        <v>1</v>
      </c>
      <c r="AF13" s="7">
        <v>1</v>
      </c>
      <c r="AG13" s="7">
        <f t="shared" ref="AG13:AG41" si="21">AC13*AE13</f>
        <v>25</v>
      </c>
      <c r="AH13" s="11">
        <f t="shared" si="12"/>
        <v>25</v>
      </c>
      <c r="AI13" s="76">
        <f t="shared" ref="AI13:AI41" si="22">AD13*AE13</f>
        <v>135</v>
      </c>
      <c r="AJ13" s="9">
        <v>1</v>
      </c>
      <c r="AK13" s="53">
        <v>1</v>
      </c>
      <c r="AL13" s="53">
        <v>1</v>
      </c>
      <c r="AM13" s="61">
        <v>1</v>
      </c>
      <c r="AN13" s="78">
        <f t="shared" si="1"/>
        <v>135</v>
      </c>
      <c r="AO13" s="19">
        <f t="shared" si="2"/>
        <v>111.6746318978547</v>
      </c>
      <c r="AP13" s="7">
        <f t="shared" si="13"/>
        <v>125</v>
      </c>
      <c r="AQ13" s="7">
        <f t="shared" si="14"/>
        <v>135</v>
      </c>
      <c r="AR13" s="6" t="str">
        <f t="shared" si="15"/>
        <v>ok</v>
      </c>
      <c r="AS13" s="7">
        <f t="shared" si="3"/>
        <v>181.25</v>
      </c>
      <c r="AT13" s="35">
        <f>1.45*AQ13</f>
        <v>195.75</v>
      </c>
      <c r="AU13" s="120" t="str">
        <f t="shared" si="16"/>
        <v>ok</v>
      </c>
      <c r="AV13" s="122" t="s">
        <v>97</v>
      </c>
      <c r="AW13" s="6">
        <f t="shared" si="17"/>
        <v>5</v>
      </c>
      <c r="AX13" s="56">
        <f t="shared" si="6"/>
        <v>0.8</v>
      </c>
      <c r="AY13" s="58">
        <f t="shared" si="7"/>
        <v>0.59999999999999987</v>
      </c>
      <c r="AZ13" s="6">
        <f t="shared" si="4"/>
        <v>2.2499999999999999E-2</v>
      </c>
      <c r="BA13" s="6">
        <v>8.0000000000000007E-5</v>
      </c>
      <c r="BB13" s="35">
        <f t="shared" si="5"/>
        <v>1.8010884632486006</v>
      </c>
      <c r="BC13" s="46">
        <f t="shared" si="8"/>
        <v>0.78308194054286984</v>
      </c>
      <c r="BD13" s="67" t="str">
        <f t="shared" si="18"/>
        <v>ok</v>
      </c>
      <c r="BE13" s="68">
        <f>BC13+BE11</f>
        <v>1.6407205719959221</v>
      </c>
      <c r="BF13" s="72" t="str">
        <f t="shared" si="19"/>
        <v>ok</v>
      </c>
    </row>
    <row r="14" spans="2:58" x14ac:dyDescent="0.45">
      <c r="B14" s="176" t="s">
        <v>101</v>
      </c>
      <c r="C14" s="177"/>
      <c r="D14" s="178" t="s">
        <v>104</v>
      </c>
      <c r="E14" s="179"/>
      <c r="F14" s="59">
        <f t="shared" si="9"/>
        <v>52.595144998370806</v>
      </c>
      <c r="G14" s="53">
        <v>0.8</v>
      </c>
      <c r="H14" s="66">
        <f>H34+H33+H32</f>
        <v>65.743931247963502</v>
      </c>
      <c r="I14" s="62">
        <v>400</v>
      </c>
      <c r="J14" s="75">
        <f t="shared" si="0"/>
        <v>94.893191008989945</v>
      </c>
      <c r="K14" s="12">
        <v>1</v>
      </c>
      <c r="L14" s="8">
        <v>0.9</v>
      </c>
      <c r="M14" s="8">
        <v>1</v>
      </c>
      <c r="N14" s="102">
        <f>H14*L14*K14*M14</f>
        <v>59.16953812316715</v>
      </c>
      <c r="O14" s="48">
        <f t="shared" si="10"/>
        <v>85.403871908090949</v>
      </c>
      <c r="P14" s="106" t="s">
        <v>19</v>
      </c>
      <c r="Q14" s="50">
        <v>100</v>
      </c>
      <c r="R14" s="85">
        <v>1</v>
      </c>
      <c r="S14" s="87">
        <f t="shared" si="20"/>
        <v>100</v>
      </c>
      <c r="T14" s="43">
        <f t="shared" si="11"/>
        <v>145</v>
      </c>
      <c r="U14" s="52">
        <v>26</v>
      </c>
      <c r="V14" s="7" t="s">
        <v>44</v>
      </c>
      <c r="W14" s="7" t="s">
        <v>58</v>
      </c>
      <c r="X14" s="11" t="s">
        <v>156</v>
      </c>
      <c r="Y14" s="9" t="s">
        <v>48</v>
      </c>
      <c r="Z14" s="7">
        <v>13</v>
      </c>
      <c r="AA14" s="62" t="s">
        <v>132</v>
      </c>
      <c r="AB14" s="112">
        <v>3</v>
      </c>
      <c r="AC14" s="80">
        <v>16</v>
      </c>
      <c r="AD14" s="81">
        <v>100</v>
      </c>
      <c r="AE14" s="9">
        <v>1</v>
      </c>
      <c r="AF14" s="7">
        <v>1</v>
      </c>
      <c r="AG14" s="7">
        <f t="shared" si="21"/>
        <v>16</v>
      </c>
      <c r="AH14" s="11">
        <f t="shared" si="12"/>
        <v>16</v>
      </c>
      <c r="AI14" s="76">
        <f t="shared" si="22"/>
        <v>100</v>
      </c>
      <c r="AJ14" s="9">
        <v>1</v>
      </c>
      <c r="AK14" s="53">
        <v>1</v>
      </c>
      <c r="AL14" s="53">
        <v>1</v>
      </c>
      <c r="AM14" s="61">
        <v>1</v>
      </c>
      <c r="AN14" s="78">
        <f t="shared" si="1"/>
        <v>100</v>
      </c>
      <c r="AO14" s="19">
        <f t="shared" si="2"/>
        <v>85.403871908090949</v>
      </c>
      <c r="AP14" s="7">
        <f t="shared" si="13"/>
        <v>100</v>
      </c>
      <c r="AQ14" s="7">
        <f t="shared" si="14"/>
        <v>100</v>
      </c>
      <c r="AR14" s="6" t="str">
        <f t="shared" si="15"/>
        <v>ok</v>
      </c>
      <c r="AS14" s="7">
        <f t="shared" si="3"/>
        <v>145</v>
      </c>
      <c r="AT14" s="35">
        <f t="shared" ref="AT14:AT41" si="23">1.45*AQ14</f>
        <v>145</v>
      </c>
      <c r="AU14" s="120" t="str">
        <f t="shared" si="16"/>
        <v>ok</v>
      </c>
      <c r="AV14" s="122" t="s">
        <v>97</v>
      </c>
      <c r="AW14" s="6">
        <f t="shared" si="17"/>
        <v>5</v>
      </c>
      <c r="AX14" s="56">
        <f t="shared" si="6"/>
        <v>0.8</v>
      </c>
      <c r="AY14" s="58">
        <f t="shared" si="7"/>
        <v>0.59999999999999987</v>
      </c>
      <c r="AZ14" s="6">
        <f t="shared" si="4"/>
        <v>2.2499999999999999E-2</v>
      </c>
      <c r="BA14" s="6">
        <v>8.0000000000000007E-5</v>
      </c>
      <c r="BB14" s="35">
        <f t="shared" si="5"/>
        <v>2.6046472854529577</v>
      </c>
      <c r="BC14" s="46">
        <f t="shared" si="8"/>
        <v>1.1324553415012859</v>
      </c>
      <c r="BD14" s="67" t="str">
        <f t="shared" si="18"/>
        <v>ok</v>
      </c>
      <c r="BE14" s="69">
        <f>BC14+BE11</f>
        <v>1.9900939729543383</v>
      </c>
      <c r="BF14" s="72" t="str">
        <f t="shared" si="19"/>
        <v>ok</v>
      </c>
    </row>
    <row r="15" spans="2:58" x14ac:dyDescent="0.45">
      <c r="B15" s="176" t="s">
        <v>101</v>
      </c>
      <c r="C15" s="177"/>
      <c r="D15" s="178" t="s">
        <v>105</v>
      </c>
      <c r="E15" s="179"/>
      <c r="F15" s="52">
        <f>H15*G15</f>
        <v>9.7000000000000011</v>
      </c>
      <c r="G15" s="53">
        <v>0.8</v>
      </c>
      <c r="H15" s="66">
        <f>H41+H40</f>
        <v>12.125</v>
      </c>
      <c r="I15" s="62">
        <v>400</v>
      </c>
      <c r="J15" s="75">
        <f t="shared" si="0"/>
        <v>17.50093003481053</v>
      </c>
      <c r="K15" s="12">
        <v>1</v>
      </c>
      <c r="L15" s="3">
        <v>0.9</v>
      </c>
      <c r="M15" s="8">
        <v>1</v>
      </c>
      <c r="N15" s="102">
        <f>H15*L15*K15*M15</f>
        <v>10.9125</v>
      </c>
      <c r="O15" s="48">
        <f t="shared" si="10"/>
        <v>15.750837031329478</v>
      </c>
      <c r="P15" s="106" t="s">
        <v>19</v>
      </c>
      <c r="Q15" s="50">
        <v>16</v>
      </c>
      <c r="R15" s="85">
        <v>1</v>
      </c>
      <c r="S15" s="87">
        <f t="shared" si="20"/>
        <v>16</v>
      </c>
      <c r="T15" s="43">
        <f t="shared" si="11"/>
        <v>23.2</v>
      </c>
      <c r="U15" s="52">
        <v>12</v>
      </c>
      <c r="V15" s="7" t="s">
        <v>44</v>
      </c>
      <c r="W15" s="7" t="s">
        <v>58</v>
      </c>
      <c r="X15" s="11" t="s">
        <v>154</v>
      </c>
      <c r="Y15" s="9" t="s">
        <v>48</v>
      </c>
      <c r="Z15" s="7">
        <v>13</v>
      </c>
      <c r="AA15" s="62" t="s">
        <v>132</v>
      </c>
      <c r="AB15" s="112">
        <v>3</v>
      </c>
      <c r="AC15" s="80">
        <v>4</v>
      </c>
      <c r="AD15" s="81">
        <v>42</v>
      </c>
      <c r="AE15" s="9">
        <v>1</v>
      </c>
      <c r="AF15" s="7">
        <v>1</v>
      </c>
      <c r="AG15" s="7">
        <f t="shared" si="21"/>
        <v>4</v>
      </c>
      <c r="AH15" s="11">
        <f t="shared" si="12"/>
        <v>4</v>
      </c>
      <c r="AI15" s="76">
        <f t="shared" si="22"/>
        <v>42</v>
      </c>
      <c r="AJ15" s="9">
        <v>1</v>
      </c>
      <c r="AK15" s="53">
        <v>1</v>
      </c>
      <c r="AL15" s="53">
        <v>1</v>
      </c>
      <c r="AM15" s="61">
        <v>1</v>
      </c>
      <c r="AN15" s="78">
        <f t="shared" si="1"/>
        <v>42</v>
      </c>
      <c r="AO15" s="19">
        <f t="shared" si="2"/>
        <v>15.750837031329478</v>
      </c>
      <c r="AP15" s="7">
        <f t="shared" si="13"/>
        <v>16</v>
      </c>
      <c r="AQ15" s="7">
        <f t="shared" si="14"/>
        <v>42</v>
      </c>
      <c r="AR15" s="6" t="str">
        <f t="shared" si="15"/>
        <v>ok</v>
      </c>
      <c r="AS15" s="7">
        <f t="shared" si="3"/>
        <v>23.2</v>
      </c>
      <c r="AT15" s="35">
        <f t="shared" si="23"/>
        <v>60.9</v>
      </c>
      <c r="AU15" s="120" t="str">
        <f t="shared" si="16"/>
        <v>ok</v>
      </c>
      <c r="AV15" s="122" t="s">
        <v>97</v>
      </c>
      <c r="AW15" s="6">
        <f t="shared" si="17"/>
        <v>5</v>
      </c>
      <c r="AX15" s="56">
        <f t="shared" si="6"/>
        <v>0.8</v>
      </c>
      <c r="AY15" s="58">
        <f t="shared" si="7"/>
        <v>0.59999999999999987</v>
      </c>
      <c r="AZ15" s="6">
        <f t="shared" si="4"/>
        <v>2.2499999999999999E-2</v>
      </c>
      <c r="BA15" s="6">
        <v>8.0000000000000007E-5</v>
      </c>
      <c r="BB15" s="35">
        <f t="shared" si="5"/>
        <v>0.85961768182183773</v>
      </c>
      <c r="BC15" s="46">
        <f t="shared" si="8"/>
        <v>0.37374681818340771</v>
      </c>
      <c r="BD15" s="67" t="str">
        <f t="shared" si="18"/>
        <v>ok</v>
      </c>
      <c r="BE15" s="69">
        <f>BC15+BE11</f>
        <v>1.23138544963646</v>
      </c>
      <c r="BF15" s="72" t="str">
        <f t="shared" si="19"/>
        <v>ok</v>
      </c>
    </row>
    <row r="16" spans="2:58" ht="14.45" customHeight="1" x14ac:dyDescent="0.45">
      <c r="B16" s="176" t="s">
        <v>102</v>
      </c>
      <c r="C16" s="177"/>
      <c r="D16" s="178" t="s">
        <v>106</v>
      </c>
      <c r="E16" s="179"/>
      <c r="F16" s="59">
        <v>4.3</v>
      </c>
      <c r="G16" s="53">
        <v>0.8</v>
      </c>
      <c r="H16" s="56">
        <f>F16/G16</f>
        <v>5.3749999999999991</v>
      </c>
      <c r="I16" s="62">
        <v>400</v>
      </c>
      <c r="J16" s="75">
        <f t="shared" ref="J16:J41" si="24">IF(I16 = 400,(H16*1000)/(SQRT(3)*400),(H16*1000)/(230))</f>
        <v>7.7581442422355948</v>
      </c>
      <c r="K16" s="12">
        <v>1</v>
      </c>
      <c r="L16" s="8">
        <v>1</v>
      </c>
      <c r="M16" s="8">
        <v>1</v>
      </c>
      <c r="N16" s="103">
        <f>H16*K16*L16*M16</f>
        <v>5.3749999999999991</v>
      </c>
      <c r="O16" s="48">
        <f t="shared" si="10"/>
        <v>7.7581442422355948</v>
      </c>
      <c r="P16" s="106" t="s">
        <v>19</v>
      </c>
      <c r="Q16" s="50">
        <v>10</v>
      </c>
      <c r="R16" s="85">
        <v>1</v>
      </c>
      <c r="S16" s="87">
        <f t="shared" si="20"/>
        <v>10</v>
      </c>
      <c r="T16" s="43">
        <f t="shared" si="11"/>
        <v>14.5</v>
      </c>
      <c r="U16" s="52">
        <v>11</v>
      </c>
      <c r="V16" s="7" t="s">
        <v>44</v>
      </c>
      <c r="W16" s="7" t="s">
        <v>58</v>
      </c>
      <c r="X16" s="11" t="s">
        <v>154</v>
      </c>
      <c r="Y16" s="9" t="s">
        <v>81</v>
      </c>
      <c r="Z16" s="7">
        <v>11</v>
      </c>
      <c r="AA16" s="62" t="s">
        <v>145</v>
      </c>
      <c r="AB16" s="112">
        <v>3</v>
      </c>
      <c r="AC16" s="80">
        <v>4</v>
      </c>
      <c r="AD16" s="81">
        <v>40</v>
      </c>
      <c r="AE16" s="9">
        <v>1</v>
      </c>
      <c r="AF16" s="7">
        <v>1</v>
      </c>
      <c r="AG16" s="7">
        <f t="shared" si="21"/>
        <v>4</v>
      </c>
      <c r="AH16" s="11">
        <f t="shared" si="12"/>
        <v>4</v>
      </c>
      <c r="AI16" s="76">
        <f t="shared" si="22"/>
        <v>40</v>
      </c>
      <c r="AJ16" s="9">
        <v>1</v>
      </c>
      <c r="AK16" s="53">
        <v>1</v>
      </c>
      <c r="AL16" s="53">
        <v>1</v>
      </c>
      <c r="AM16" s="61">
        <v>1</v>
      </c>
      <c r="AN16" s="78">
        <f t="shared" si="1"/>
        <v>40</v>
      </c>
      <c r="AO16" s="19">
        <f t="shared" si="2"/>
        <v>7.7581442422355948</v>
      </c>
      <c r="AP16" s="7">
        <f t="shared" si="13"/>
        <v>10</v>
      </c>
      <c r="AQ16" s="7">
        <f t="shared" si="14"/>
        <v>40</v>
      </c>
      <c r="AR16" s="6" t="str">
        <f t="shared" si="15"/>
        <v>ok</v>
      </c>
      <c r="AS16" s="7">
        <f t="shared" si="3"/>
        <v>14.5</v>
      </c>
      <c r="AT16" s="35">
        <f t="shared" si="23"/>
        <v>58</v>
      </c>
      <c r="AU16" s="120" t="str">
        <f t="shared" si="16"/>
        <v>ok</v>
      </c>
      <c r="AV16" s="122" t="s">
        <v>97</v>
      </c>
      <c r="AW16" s="6">
        <f t="shared" si="17"/>
        <v>5</v>
      </c>
      <c r="AX16" s="56">
        <f t="shared" si="6"/>
        <v>0.8</v>
      </c>
      <c r="AY16" s="58">
        <f t="shared" si="7"/>
        <v>0.59999999999999987</v>
      </c>
      <c r="AZ16" s="6">
        <f t="shared" si="4"/>
        <v>2.2499999999999999E-2</v>
      </c>
      <c r="BA16" s="6">
        <v>8.0000000000000007E-5</v>
      </c>
      <c r="BB16" s="35">
        <f t="shared" si="5"/>
        <v>0.38812444015056236</v>
      </c>
      <c r="BC16" s="46">
        <f t="shared" si="8"/>
        <v>0.16874975658720104</v>
      </c>
      <c r="BD16" s="67" t="str">
        <f t="shared" si="18"/>
        <v>ok</v>
      </c>
      <c r="BE16" s="69">
        <f>BC16+$BE$12</f>
        <v>1.8477680171960946</v>
      </c>
      <c r="BF16" s="72" t="str">
        <f t="shared" si="19"/>
        <v>ok</v>
      </c>
    </row>
    <row r="17" spans="2:58" ht="14.45" customHeight="1" x14ac:dyDescent="0.45">
      <c r="B17" s="176" t="s">
        <v>102</v>
      </c>
      <c r="C17" s="177"/>
      <c r="D17" s="178" t="s">
        <v>107</v>
      </c>
      <c r="E17" s="179"/>
      <c r="F17" s="59">
        <v>8.5</v>
      </c>
      <c r="G17" s="53">
        <v>0.8</v>
      </c>
      <c r="H17" s="56">
        <f t="shared" ref="H17:H23" si="25">F17/G17</f>
        <v>10.625</v>
      </c>
      <c r="I17" s="62">
        <v>400</v>
      </c>
      <c r="J17" s="75">
        <f t="shared" si="24"/>
        <v>15.335866525349434</v>
      </c>
      <c r="K17" s="12">
        <v>1</v>
      </c>
      <c r="L17" s="3">
        <v>1</v>
      </c>
      <c r="M17" s="8">
        <v>1</v>
      </c>
      <c r="N17" s="103">
        <f>H17*K17*L17*M17</f>
        <v>10.625</v>
      </c>
      <c r="O17" s="48">
        <f t="shared" si="10"/>
        <v>15.335866525349434</v>
      </c>
      <c r="P17" s="106" t="s">
        <v>19</v>
      </c>
      <c r="Q17" s="50">
        <v>16</v>
      </c>
      <c r="R17" s="85">
        <v>1</v>
      </c>
      <c r="S17" s="87">
        <f t="shared" si="20"/>
        <v>16</v>
      </c>
      <c r="T17" s="43">
        <f t="shared" si="11"/>
        <v>23.2</v>
      </c>
      <c r="U17" s="52">
        <v>13</v>
      </c>
      <c r="V17" s="7" t="s">
        <v>44</v>
      </c>
      <c r="W17" s="7" t="s">
        <v>58</v>
      </c>
      <c r="X17" s="11" t="s">
        <v>154</v>
      </c>
      <c r="Y17" s="9" t="s">
        <v>81</v>
      </c>
      <c r="Z17" s="7">
        <v>11</v>
      </c>
      <c r="AA17" s="62" t="s">
        <v>145</v>
      </c>
      <c r="AB17" s="112">
        <v>3</v>
      </c>
      <c r="AC17" s="80">
        <v>4</v>
      </c>
      <c r="AD17" s="81">
        <v>40</v>
      </c>
      <c r="AE17" s="9">
        <v>1</v>
      </c>
      <c r="AF17" s="7">
        <v>1</v>
      </c>
      <c r="AG17" s="7">
        <f t="shared" si="21"/>
        <v>4</v>
      </c>
      <c r="AH17" s="11">
        <f t="shared" si="12"/>
        <v>4</v>
      </c>
      <c r="AI17" s="76">
        <f t="shared" si="22"/>
        <v>40</v>
      </c>
      <c r="AJ17" s="9">
        <v>1</v>
      </c>
      <c r="AK17" s="53">
        <v>1</v>
      </c>
      <c r="AL17" s="53">
        <v>1</v>
      </c>
      <c r="AM17" s="61">
        <v>1</v>
      </c>
      <c r="AN17" s="78">
        <f t="shared" si="1"/>
        <v>40</v>
      </c>
      <c r="AO17" s="19">
        <f t="shared" si="2"/>
        <v>15.335866525349434</v>
      </c>
      <c r="AP17" s="7">
        <f t="shared" si="13"/>
        <v>16</v>
      </c>
      <c r="AQ17" s="7">
        <f t="shared" si="14"/>
        <v>40</v>
      </c>
      <c r="AR17" s="6" t="str">
        <f t="shared" si="15"/>
        <v>ok</v>
      </c>
      <c r="AS17" s="7">
        <f t="shared" si="3"/>
        <v>23.2</v>
      </c>
      <c r="AT17" s="35">
        <f t="shared" si="23"/>
        <v>58</v>
      </c>
      <c r="AU17" s="120" t="str">
        <f t="shared" si="16"/>
        <v>ok</v>
      </c>
      <c r="AV17" s="122" t="s">
        <v>97</v>
      </c>
      <c r="AW17" s="6">
        <f t="shared" si="17"/>
        <v>5</v>
      </c>
      <c r="AX17" s="56">
        <f t="shared" si="6"/>
        <v>0.8</v>
      </c>
      <c r="AY17" s="58">
        <f t="shared" si="7"/>
        <v>0.59999999999999987</v>
      </c>
      <c r="AZ17" s="6">
        <f t="shared" si="4"/>
        <v>2.2499999999999999E-2</v>
      </c>
      <c r="BA17" s="6">
        <v>8.0000000000000007E-5</v>
      </c>
      <c r="BB17" s="35">
        <f t="shared" si="5"/>
        <v>0.90671777244475993</v>
      </c>
      <c r="BC17" s="46">
        <f t="shared" si="8"/>
        <v>0.39422511845424341</v>
      </c>
      <c r="BD17" s="67" t="str">
        <f t="shared" si="18"/>
        <v>ok</v>
      </c>
      <c r="BE17" s="69">
        <f t="shared" ref="BE17:BE20" si="26">BC17+$BE$12</f>
        <v>2.073243379063137</v>
      </c>
      <c r="BF17" s="72" t="str">
        <f t="shared" si="19"/>
        <v>ok</v>
      </c>
    </row>
    <row r="18" spans="2:58" ht="15" customHeight="1" x14ac:dyDescent="0.45">
      <c r="B18" s="176" t="s">
        <v>102</v>
      </c>
      <c r="C18" s="177"/>
      <c r="D18" s="178" t="s">
        <v>108</v>
      </c>
      <c r="E18" s="179"/>
      <c r="F18" s="59">
        <v>3.2</v>
      </c>
      <c r="G18" s="53">
        <v>0.8</v>
      </c>
      <c r="H18" s="56">
        <f t="shared" si="25"/>
        <v>4</v>
      </c>
      <c r="I18" s="62">
        <v>400</v>
      </c>
      <c r="J18" s="75">
        <f t="shared" si="24"/>
        <v>5.7735026918962582</v>
      </c>
      <c r="K18" s="12">
        <v>1</v>
      </c>
      <c r="L18" s="8">
        <v>1</v>
      </c>
      <c r="M18" s="8">
        <v>1</v>
      </c>
      <c r="N18" s="103">
        <f t="shared" ref="N18:N41" si="27">H18*K18*L18*M18</f>
        <v>4</v>
      </c>
      <c r="O18" s="48">
        <f t="shared" si="10"/>
        <v>5.7735026918962582</v>
      </c>
      <c r="P18" s="106" t="s">
        <v>19</v>
      </c>
      <c r="Q18" s="50">
        <v>6</v>
      </c>
      <c r="R18" s="85">
        <v>1</v>
      </c>
      <c r="S18" s="87">
        <f t="shared" si="20"/>
        <v>6</v>
      </c>
      <c r="T18" s="43">
        <f t="shared" si="11"/>
        <v>8.6999999999999993</v>
      </c>
      <c r="U18" s="52">
        <v>20</v>
      </c>
      <c r="V18" s="7" t="s">
        <v>44</v>
      </c>
      <c r="W18" s="7" t="s">
        <v>58</v>
      </c>
      <c r="X18" s="11" t="s">
        <v>154</v>
      </c>
      <c r="Y18" s="9" t="s">
        <v>81</v>
      </c>
      <c r="Z18" s="7">
        <v>11</v>
      </c>
      <c r="AA18" s="62" t="s">
        <v>145</v>
      </c>
      <c r="AB18" s="112">
        <v>3</v>
      </c>
      <c r="AC18" s="80">
        <v>4</v>
      </c>
      <c r="AD18" s="81">
        <v>40</v>
      </c>
      <c r="AE18" s="9">
        <v>1</v>
      </c>
      <c r="AF18" s="7">
        <v>1</v>
      </c>
      <c r="AG18" s="7">
        <f t="shared" si="21"/>
        <v>4</v>
      </c>
      <c r="AH18" s="11">
        <f t="shared" si="12"/>
        <v>4</v>
      </c>
      <c r="AI18" s="76">
        <f t="shared" si="22"/>
        <v>40</v>
      </c>
      <c r="AJ18" s="9">
        <v>1</v>
      </c>
      <c r="AK18" s="53">
        <v>1</v>
      </c>
      <c r="AL18" s="53">
        <v>1</v>
      </c>
      <c r="AM18" s="61">
        <v>1</v>
      </c>
      <c r="AN18" s="78">
        <f t="shared" si="1"/>
        <v>40</v>
      </c>
      <c r="AO18" s="19">
        <f t="shared" si="2"/>
        <v>5.7735026918962582</v>
      </c>
      <c r="AP18" s="7">
        <f t="shared" si="13"/>
        <v>6</v>
      </c>
      <c r="AQ18" s="7">
        <f t="shared" si="14"/>
        <v>40</v>
      </c>
      <c r="AR18" s="6" t="str">
        <f t="shared" si="15"/>
        <v>ok</v>
      </c>
      <c r="AS18" s="7">
        <f t="shared" si="3"/>
        <v>8.6999999999999993</v>
      </c>
      <c r="AT18" s="35">
        <f t="shared" si="23"/>
        <v>58</v>
      </c>
      <c r="AU18" s="120" t="str">
        <f t="shared" si="16"/>
        <v>ok</v>
      </c>
      <c r="AV18" s="122" t="s">
        <v>97</v>
      </c>
      <c r="AW18" s="6">
        <f t="shared" si="17"/>
        <v>5</v>
      </c>
      <c r="AX18" s="56">
        <f t="shared" si="6"/>
        <v>0.8</v>
      </c>
      <c r="AY18" s="58">
        <f t="shared" si="7"/>
        <v>0.59999999999999987</v>
      </c>
      <c r="AZ18" s="6">
        <f t="shared" si="4"/>
        <v>2.2499999999999999E-2</v>
      </c>
      <c r="BA18" s="6">
        <v>8.0000000000000007E-5</v>
      </c>
      <c r="BB18" s="35">
        <f t="shared" si="5"/>
        <v>0.52515780485488361</v>
      </c>
      <c r="BC18" s="46">
        <f t="shared" si="8"/>
        <v>0.22832948037168851</v>
      </c>
      <c r="BD18" s="67" t="str">
        <f t="shared" si="18"/>
        <v>ok</v>
      </c>
      <c r="BE18" s="69">
        <f t="shared" si="26"/>
        <v>1.9073477409805821</v>
      </c>
      <c r="BF18" s="72" t="str">
        <f t="shared" si="19"/>
        <v>ok</v>
      </c>
    </row>
    <row r="19" spans="2:58" x14ac:dyDescent="0.45">
      <c r="B19" s="176" t="s">
        <v>102</v>
      </c>
      <c r="C19" s="177"/>
      <c r="D19" s="178" t="s">
        <v>109</v>
      </c>
      <c r="E19" s="179"/>
      <c r="F19" s="59">
        <v>3.2</v>
      </c>
      <c r="G19" s="53">
        <v>0.8</v>
      </c>
      <c r="H19" s="56">
        <f t="shared" si="25"/>
        <v>4</v>
      </c>
      <c r="I19" s="62">
        <v>400</v>
      </c>
      <c r="J19" s="75">
        <f t="shared" si="24"/>
        <v>5.7735026918962582</v>
      </c>
      <c r="K19" s="12">
        <v>1</v>
      </c>
      <c r="L19" s="3">
        <v>1</v>
      </c>
      <c r="M19" s="8">
        <v>1</v>
      </c>
      <c r="N19" s="103">
        <f t="shared" si="27"/>
        <v>4</v>
      </c>
      <c r="O19" s="48">
        <f t="shared" si="10"/>
        <v>5.7735026918962582</v>
      </c>
      <c r="P19" s="106" t="s">
        <v>19</v>
      </c>
      <c r="Q19" s="50">
        <v>6</v>
      </c>
      <c r="R19" s="85">
        <v>1</v>
      </c>
      <c r="S19" s="87">
        <f t="shared" si="20"/>
        <v>6</v>
      </c>
      <c r="T19" s="43">
        <f t="shared" si="11"/>
        <v>8.6999999999999993</v>
      </c>
      <c r="U19" s="52">
        <v>14</v>
      </c>
      <c r="V19" s="7" t="s">
        <v>44</v>
      </c>
      <c r="W19" s="7" t="s">
        <v>58</v>
      </c>
      <c r="X19" s="11" t="s">
        <v>154</v>
      </c>
      <c r="Y19" s="9" t="s">
        <v>81</v>
      </c>
      <c r="Z19" s="7">
        <v>11</v>
      </c>
      <c r="AA19" s="62" t="s">
        <v>145</v>
      </c>
      <c r="AB19" s="112">
        <v>3</v>
      </c>
      <c r="AC19" s="80">
        <v>4</v>
      </c>
      <c r="AD19" s="81">
        <v>40</v>
      </c>
      <c r="AE19" s="9">
        <v>1</v>
      </c>
      <c r="AF19" s="7">
        <v>1</v>
      </c>
      <c r="AG19" s="7">
        <f t="shared" si="21"/>
        <v>4</v>
      </c>
      <c r="AH19" s="11">
        <f t="shared" si="12"/>
        <v>4</v>
      </c>
      <c r="AI19" s="76">
        <f t="shared" si="22"/>
        <v>40</v>
      </c>
      <c r="AJ19" s="9">
        <v>1</v>
      </c>
      <c r="AK19" s="53">
        <v>1</v>
      </c>
      <c r="AL19" s="53">
        <v>1</v>
      </c>
      <c r="AM19" s="61">
        <v>1</v>
      </c>
      <c r="AN19" s="78">
        <f t="shared" si="1"/>
        <v>40</v>
      </c>
      <c r="AO19" s="19">
        <f t="shared" si="2"/>
        <v>5.7735026918962582</v>
      </c>
      <c r="AP19" s="7">
        <f t="shared" si="13"/>
        <v>6</v>
      </c>
      <c r="AQ19" s="7">
        <f t="shared" si="14"/>
        <v>40</v>
      </c>
      <c r="AR19" s="6" t="str">
        <f t="shared" si="15"/>
        <v>ok</v>
      </c>
      <c r="AS19" s="7">
        <f t="shared" si="3"/>
        <v>8.6999999999999993</v>
      </c>
      <c r="AT19" s="35">
        <f t="shared" si="23"/>
        <v>58</v>
      </c>
      <c r="AU19" s="120" t="str">
        <f t="shared" si="16"/>
        <v>ok</v>
      </c>
      <c r="AV19" s="122" t="s">
        <v>97</v>
      </c>
      <c r="AW19" s="6">
        <f t="shared" si="17"/>
        <v>5</v>
      </c>
      <c r="AX19" s="56">
        <f t="shared" si="6"/>
        <v>0.8</v>
      </c>
      <c r="AY19" s="58">
        <f t="shared" si="7"/>
        <v>0.59999999999999987</v>
      </c>
      <c r="AZ19" s="6">
        <f t="shared" si="4"/>
        <v>2.2499999999999999E-2</v>
      </c>
      <c r="BA19" s="6">
        <v>8.0000000000000007E-5</v>
      </c>
      <c r="BB19" s="35">
        <f t="shared" si="5"/>
        <v>0.36761046339841857</v>
      </c>
      <c r="BC19" s="46">
        <f t="shared" si="8"/>
        <v>0.15983063626018199</v>
      </c>
      <c r="BD19" s="67" t="str">
        <f t="shared" si="18"/>
        <v>ok</v>
      </c>
      <c r="BE19" s="69">
        <f t="shared" si="26"/>
        <v>1.8388488968690757</v>
      </c>
      <c r="BF19" s="72" t="str">
        <f t="shared" si="19"/>
        <v>ok</v>
      </c>
    </row>
    <row r="20" spans="2:58" x14ac:dyDescent="0.45">
      <c r="B20" s="176" t="s">
        <v>102</v>
      </c>
      <c r="C20" s="177"/>
      <c r="D20" s="178" t="s">
        <v>110</v>
      </c>
      <c r="E20" s="179"/>
      <c r="F20" s="59">
        <v>4.3</v>
      </c>
      <c r="G20" s="53">
        <v>0.8</v>
      </c>
      <c r="H20" s="56">
        <f t="shared" si="25"/>
        <v>5.3749999999999991</v>
      </c>
      <c r="I20" s="62">
        <v>400</v>
      </c>
      <c r="J20" s="75">
        <f t="shared" si="24"/>
        <v>7.7581442422355948</v>
      </c>
      <c r="K20" s="12">
        <v>1</v>
      </c>
      <c r="L20" s="8">
        <v>1</v>
      </c>
      <c r="M20" s="8">
        <v>1</v>
      </c>
      <c r="N20" s="103">
        <f t="shared" si="27"/>
        <v>5.3749999999999991</v>
      </c>
      <c r="O20" s="48">
        <f t="shared" si="10"/>
        <v>7.7581442422355948</v>
      </c>
      <c r="P20" s="106" t="s">
        <v>19</v>
      </c>
      <c r="Q20" s="50">
        <v>10</v>
      </c>
      <c r="R20" s="85">
        <v>1</v>
      </c>
      <c r="S20" s="87">
        <f t="shared" si="20"/>
        <v>10</v>
      </c>
      <c r="T20" s="43">
        <f t="shared" si="11"/>
        <v>14.5</v>
      </c>
      <c r="U20" s="52">
        <v>23</v>
      </c>
      <c r="V20" s="7" t="s">
        <v>44</v>
      </c>
      <c r="W20" s="7" t="s">
        <v>58</v>
      </c>
      <c r="X20" s="11" t="s">
        <v>154</v>
      </c>
      <c r="Y20" s="9" t="s">
        <v>81</v>
      </c>
      <c r="Z20" s="7">
        <v>11</v>
      </c>
      <c r="AA20" s="62" t="s">
        <v>145</v>
      </c>
      <c r="AB20" s="112">
        <v>3</v>
      </c>
      <c r="AC20" s="80">
        <v>4</v>
      </c>
      <c r="AD20" s="81">
        <v>40</v>
      </c>
      <c r="AE20" s="9">
        <v>1</v>
      </c>
      <c r="AF20" s="7">
        <v>1</v>
      </c>
      <c r="AG20" s="7">
        <f t="shared" si="21"/>
        <v>4</v>
      </c>
      <c r="AH20" s="11">
        <f t="shared" si="12"/>
        <v>4</v>
      </c>
      <c r="AI20" s="76">
        <f t="shared" si="22"/>
        <v>40</v>
      </c>
      <c r="AJ20" s="9">
        <v>1</v>
      </c>
      <c r="AK20" s="53">
        <v>1</v>
      </c>
      <c r="AL20" s="53">
        <v>1</v>
      </c>
      <c r="AM20" s="61">
        <v>1</v>
      </c>
      <c r="AN20" s="78">
        <f t="shared" si="1"/>
        <v>40</v>
      </c>
      <c r="AO20" s="19">
        <f t="shared" si="2"/>
        <v>7.7581442422355948</v>
      </c>
      <c r="AP20" s="7">
        <f t="shared" si="13"/>
        <v>10</v>
      </c>
      <c r="AQ20" s="7">
        <f t="shared" si="14"/>
        <v>40</v>
      </c>
      <c r="AR20" s="6" t="str">
        <f t="shared" si="15"/>
        <v>ok</v>
      </c>
      <c r="AS20" s="7">
        <f t="shared" si="3"/>
        <v>14.5</v>
      </c>
      <c r="AT20" s="35">
        <f t="shared" si="23"/>
        <v>58</v>
      </c>
      <c r="AU20" s="120" t="str">
        <f t="shared" si="16"/>
        <v>ok</v>
      </c>
      <c r="AV20" s="122" t="s">
        <v>97</v>
      </c>
      <c r="AW20" s="6">
        <f t="shared" si="17"/>
        <v>5</v>
      </c>
      <c r="AX20" s="56">
        <f t="shared" si="6"/>
        <v>0.8</v>
      </c>
      <c r="AY20" s="58">
        <f t="shared" si="7"/>
        <v>0.59999999999999987</v>
      </c>
      <c r="AZ20" s="6">
        <f t="shared" si="4"/>
        <v>2.2499999999999999E-2</v>
      </c>
      <c r="BA20" s="6">
        <v>8.0000000000000007E-5</v>
      </c>
      <c r="BB20" s="35">
        <f t="shared" si="5"/>
        <v>0.81153292031481206</v>
      </c>
      <c r="BC20" s="46">
        <f t="shared" si="8"/>
        <v>0.35284040013687484</v>
      </c>
      <c r="BD20" s="67" t="str">
        <f t="shared" si="18"/>
        <v>ok</v>
      </c>
      <c r="BE20" s="69">
        <f t="shared" si="26"/>
        <v>2.0318586607457685</v>
      </c>
      <c r="BF20" s="72" t="str">
        <f t="shared" si="19"/>
        <v>ok</v>
      </c>
    </row>
    <row r="21" spans="2:58" ht="14.45" customHeight="1" x14ac:dyDescent="0.45">
      <c r="B21" s="176" t="s">
        <v>102</v>
      </c>
      <c r="C21" s="177"/>
      <c r="D21" s="178" t="s">
        <v>111</v>
      </c>
      <c r="E21" s="179"/>
      <c r="F21" s="59">
        <v>6.4</v>
      </c>
      <c r="G21" s="53">
        <v>0.8</v>
      </c>
      <c r="H21" s="56">
        <f t="shared" si="25"/>
        <v>8</v>
      </c>
      <c r="I21" s="62">
        <v>400</v>
      </c>
      <c r="J21" s="75">
        <f t="shared" si="24"/>
        <v>11.547005383792516</v>
      </c>
      <c r="K21" s="12">
        <v>1</v>
      </c>
      <c r="L21" s="3">
        <v>1</v>
      </c>
      <c r="M21" s="8">
        <v>1</v>
      </c>
      <c r="N21" s="103">
        <f t="shared" si="27"/>
        <v>8</v>
      </c>
      <c r="O21" s="48">
        <f t="shared" si="10"/>
        <v>11.547005383792516</v>
      </c>
      <c r="P21" s="106" t="s">
        <v>19</v>
      </c>
      <c r="Q21" s="50">
        <v>16</v>
      </c>
      <c r="R21" s="85">
        <v>1</v>
      </c>
      <c r="S21" s="87">
        <f t="shared" si="20"/>
        <v>16</v>
      </c>
      <c r="T21" s="43">
        <f t="shared" si="11"/>
        <v>23.2</v>
      </c>
      <c r="U21" s="52">
        <v>15</v>
      </c>
      <c r="V21" s="7" t="s">
        <v>44</v>
      </c>
      <c r="W21" s="7" t="s">
        <v>58</v>
      </c>
      <c r="X21" s="11" t="s">
        <v>154</v>
      </c>
      <c r="Y21" s="9" t="s">
        <v>81</v>
      </c>
      <c r="Z21" s="7">
        <v>11</v>
      </c>
      <c r="AA21" s="62" t="s">
        <v>145</v>
      </c>
      <c r="AB21" s="112">
        <v>3</v>
      </c>
      <c r="AC21" s="80">
        <v>4</v>
      </c>
      <c r="AD21" s="81">
        <v>40</v>
      </c>
      <c r="AE21" s="9">
        <v>1</v>
      </c>
      <c r="AF21" s="7">
        <v>1</v>
      </c>
      <c r="AG21" s="7">
        <f t="shared" si="21"/>
        <v>4</v>
      </c>
      <c r="AH21" s="11">
        <f t="shared" si="12"/>
        <v>4</v>
      </c>
      <c r="AI21" s="76">
        <f t="shared" si="22"/>
        <v>40</v>
      </c>
      <c r="AJ21" s="9">
        <v>1</v>
      </c>
      <c r="AK21" s="53">
        <v>1</v>
      </c>
      <c r="AL21" s="53">
        <v>1</v>
      </c>
      <c r="AM21" s="61">
        <v>1</v>
      </c>
      <c r="AN21" s="78">
        <f t="shared" si="1"/>
        <v>40</v>
      </c>
      <c r="AO21" s="19">
        <f t="shared" si="2"/>
        <v>11.547005383792516</v>
      </c>
      <c r="AP21" s="7">
        <f t="shared" si="13"/>
        <v>16</v>
      </c>
      <c r="AQ21" s="7">
        <f t="shared" si="14"/>
        <v>40</v>
      </c>
      <c r="AR21" s="6" t="str">
        <f t="shared" si="15"/>
        <v>ok</v>
      </c>
      <c r="AS21" s="7">
        <f t="shared" si="3"/>
        <v>23.2</v>
      </c>
      <c r="AT21" s="35">
        <f t="shared" si="23"/>
        <v>58</v>
      </c>
      <c r="AU21" s="120" t="str">
        <f t="shared" si="16"/>
        <v>ok</v>
      </c>
      <c r="AV21" s="122" t="s">
        <v>97</v>
      </c>
      <c r="AW21" s="6">
        <f t="shared" si="17"/>
        <v>5</v>
      </c>
      <c r="AX21" s="56">
        <f t="shared" si="6"/>
        <v>0.8</v>
      </c>
      <c r="AY21" s="58">
        <f t="shared" si="7"/>
        <v>0.59999999999999987</v>
      </c>
      <c r="AZ21" s="6">
        <f t="shared" si="4"/>
        <v>2.2499999999999999E-2</v>
      </c>
      <c r="BA21" s="6">
        <v>8.0000000000000007E-5</v>
      </c>
      <c r="BB21" s="35">
        <f t="shared" si="5"/>
        <v>0.78773670728232537</v>
      </c>
      <c r="BC21" s="46">
        <f t="shared" si="8"/>
        <v>0.34249422055753276</v>
      </c>
      <c r="BD21" s="67" t="str">
        <f t="shared" si="18"/>
        <v>ok</v>
      </c>
      <c r="BE21" s="69">
        <f>BC21+$BE$12</f>
        <v>2.0215124811664262</v>
      </c>
      <c r="BF21" s="72" t="str">
        <f t="shared" si="19"/>
        <v>ok</v>
      </c>
    </row>
    <row r="22" spans="2:58" ht="14.25" customHeight="1" x14ac:dyDescent="0.45">
      <c r="B22" s="176" t="s">
        <v>103</v>
      </c>
      <c r="C22" s="177"/>
      <c r="D22" s="178" t="s">
        <v>112</v>
      </c>
      <c r="E22" s="179"/>
      <c r="F22" s="59">
        <v>12.2</v>
      </c>
      <c r="G22" s="53">
        <v>0.8</v>
      </c>
      <c r="H22" s="56">
        <f t="shared" si="25"/>
        <v>15.249999999999998</v>
      </c>
      <c r="I22" s="62">
        <v>400</v>
      </c>
      <c r="J22" s="75">
        <f t="shared" si="24"/>
        <v>22.01147901285448</v>
      </c>
      <c r="K22" s="12">
        <v>1</v>
      </c>
      <c r="L22" s="8">
        <v>1</v>
      </c>
      <c r="M22" s="8">
        <v>1</v>
      </c>
      <c r="N22" s="103">
        <f t="shared" si="27"/>
        <v>15.249999999999998</v>
      </c>
      <c r="O22" s="48">
        <f t="shared" si="10"/>
        <v>22.01147901285448</v>
      </c>
      <c r="P22" s="106" t="s">
        <v>19</v>
      </c>
      <c r="Q22" s="50">
        <v>25</v>
      </c>
      <c r="R22" s="85">
        <v>1</v>
      </c>
      <c r="S22" s="87">
        <f t="shared" si="20"/>
        <v>25</v>
      </c>
      <c r="T22" s="43">
        <f t="shared" si="11"/>
        <v>36.25</v>
      </c>
      <c r="U22" s="52">
        <v>50</v>
      </c>
      <c r="V22" s="7" t="s">
        <v>44</v>
      </c>
      <c r="W22" s="7" t="s">
        <v>58</v>
      </c>
      <c r="X22" s="11" t="s">
        <v>154</v>
      </c>
      <c r="Y22" s="9" t="s">
        <v>81</v>
      </c>
      <c r="Z22" s="7">
        <v>11</v>
      </c>
      <c r="AA22" s="62" t="s">
        <v>145</v>
      </c>
      <c r="AB22" s="112">
        <v>3</v>
      </c>
      <c r="AC22" s="80">
        <v>4</v>
      </c>
      <c r="AD22" s="81">
        <v>40</v>
      </c>
      <c r="AE22" s="9">
        <v>1</v>
      </c>
      <c r="AF22" s="7">
        <v>1</v>
      </c>
      <c r="AG22" s="7">
        <f t="shared" si="21"/>
        <v>4</v>
      </c>
      <c r="AH22" s="11">
        <f t="shared" si="12"/>
        <v>4</v>
      </c>
      <c r="AI22" s="76">
        <f t="shared" si="22"/>
        <v>40</v>
      </c>
      <c r="AJ22" s="9">
        <v>1</v>
      </c>
      <c r="AK22" s="53">
        <v>1</v>
      </c>
      <c r="AL22" s="53">
        <v>1</v>
      </c>
      <c r="AM22" s="61">
        <v>1</v>
      </c>
      <c r="AN22" s="78">
        <f t="shared" si="1"/>
        <v>40</v>
      </c>
      <c r="AO22" s="19">
        <f t="shared" si="2"/>
        <v>22.01147901285448</v>
      </c>
      <c r="AP22" s="7">
        <f t="shared" si="13"/>
        <v>25</v>
      </c>
      <c r="AQ22" s="7">
        <f t="shared" si="14"/>
        <v>40</v>
      </c>
      <c r="AR22" s="6" t="str">
        <f t="shared" si="15"/>
        <v>ok</v>
      </c>
      <c r="AS22" s="7">
        <f t="shared" si="3"/>
        <v>36.25</v>
      </c>
      <c r="AT22" s="35">
        <f t="shared" si="23"/>
        <v>58</v>
      </c>
      <c r="AU22" s="120" t="str">
        <f t="shared" si="16"/>
        <v>ok</v>
      </c>
      <c r="AV22" s="122" t="s">
        <v>97</v>
      </c>
      <c r="AW22" s="6">
        <f t="shared" si="17"/>
        <v>5</v>
      </c>
      <c r="AX22" s="56">
        <f t="shared" si="6"/>
        <v>0.8</v>
      </c>
      <c r="AY22" s="58">
        <f t="shared" si="7"/>
        <v>0.59999999999999987</v>
      </c>
      <c r="AZ22" s="6">
        <f t="shared" si="4"/>
        <v>2.2499999999999999E-2</v>
      </c>
      <c r="BA22" s="6">
        <v>8.0000000000000007E-5</v>
      </c>
      <c r="BB22" s="35">
        <f t="shared" si="5"/>
        <v>5.0054103275231085</v>
      </c>
      <c r="BC22" s="46">
        <f t="shared" si="8"/>
        <v>2.176265359792656</v>
      </c>
      <c r="BD22" s="67" t="str">
        <f t="shared" si="18"/>
        <v>ok</v>
      </c>
      <c r="BE22" s="69">
        <f>BC22+$BE$13</f>
        <v>3.8169859317885781</v>
      </c>
      <c r="BF22" s="72" t="str">
        <f t="shared" si="19"/>
        <v>ok</v>
      </c>
    </row>
    <row r="23" spans="2:58" ht="16.149999999999999" customHeight="1" x14ac:dyDescent="0.45">
      <c r="B23" s="176" t="s">
        <v>103</v>
      </c>
      <c r="C23" s="177"/>
      <c r="D23" s="178" t="s">
        <v>113</v>
      </c>
      <c r="E23" s="179"/>
      <c r="F23" s="52">
        <v>8.6</v>
      </c>
      <c r="G23" s="53">
        <v>0.8</v>
      </c>
      <c r="H23" s="56">
        <f t="shared" si="25"/>
        <v>10.749999999999998</v>
      </c>
      <c r="I23" s="62">
        <v>400</v>
      </c>
      <c r="J23" s="75">
        <f t="shared" si="24"/>
        <v>15.51628848447119</v>
      </c>
      <c r="K23" s="12">
        <v>1</v>
      </c>
      <c r="L23" s="3">
        <v>1</v>
      </c>
      <c r="M23" s="8">
        <v>1</v>
      </c>
      <c r="N23" s="103">
        <f t="shared" si="27"/>
        <v>10.749999999999998</v>
      </c>
      <c r="O23" s="48">
        <f t="shared" si="10"/>
        <v>15.51628848447119</v>
      </c>
      <c r="P23" s="106" t="s">
        <v>19</v>
      </c>
      <c r="Q23" s="50">
        <v>16</v>
      </c>
      <c r="R23" s="85">
        <v>1</v>
      </c>
      <c r="S23" s="87">
        <f t="shared" si="20"/>
        <v>16</v>
      </c>
      <c r="T23" s="43">
        <f t="shared" si="11"/>
        <v>23.2</v>
      </c>
      <c r="U23" s="52">
        <v>50</v>
      </c>
      <c r="V23" s="7" t="s">
        <v>44</v>
      </c>
      <c r="W23" s="7" t="s">
        <v>58</v>
      </c>
      <c r="X23" s="11" t="s">
        <v>154</v>
      </c>
      <c r="Y23" s="9" t="s">
        <v>81</v>
      </c>
      <c r="Z23" s="7">
        <v>11</v>
      </c>
      <c r="AA23" s="62" t="s">
        <v>145</v>
      </c>
      <c r="AB23" s="112">
        <v>3</v>
      </c>
      <c r="AC23" s="80">
        <v>4</v>
      </c>
      <c r="AD23" s="81">
        <v>40</v>
      </c>
      <c r="AE23" s="9">
        <v>1</v>
      </c>
      <c r="AF23" s="7">
        <v>1</v>
      </c>
      <c r="AG23" s="7">
        <f t="shared" si="21"/>
        <v>4</v>
      </c>
      <c r="AH23" s="11">
        <f t="shared" si="12"/>
        <v>4</v>
      </c>
      <c r="AI23" s="76">
        <f t="shared" si="22"/>
        <v>40</v>
      </c>
      <c r="AJ23" s="9">
        <v>1</v>
      </c>
      <c r="AK23" s="53">
        <v>1</v>
      </c>
      <c r="AL23" s="53">
        <v>1</v>
      </c>
      <c r="AM23" s="61">
        <v>1</v>
      </c>
      <c r="AN23" s="78">
        <f t="shared" si="1"/>
        <v>40</v>
      </c>
      <c r="AO23" s="19">
        <f t="shared" si="2"/>
        <v>15.51628848447119</v>
      </c>
      <c r="AP23" s="7">
        <f t="shared" si="13"/>
        <v>16</v>
      </c>
      <c r="AQ23" s="7">
        <f t="shared" si="14"/>
        <v>40</v>
      </c>
      <c r="AR23" s="6" t="str">
        <f t="shared" si="15"/>
        <v>ok</v>
      </c>
      <c r="AS23" s="7">
        <f t="shared" si="3"/>
        <v>23.2</v>
      </c>
      <c r="AT23" s="35">
        <f t="shared" si="23"/>
        <v>58</v>
      </c>
      <c r="AU23" s="120" t="str">
        <f t="shared" si="16"/>
        <v>ok</v>
      </c>
      <c r="AV23" s="122" t="s">
        <v>97</v>
      </c>
      <c r="AW23" s="6">
        <f t="shared" si="17"/>
        <v>5</v>
      </c>
      <c r="AX23" s="56">
        <f t="shared" si="6"/>
        <v>0.8</v>
      </c>
      <c r="AY23" s="58">
        <f t="shared" si="7"/>
        <v>0.59999999999999987</v>
      </c>
      <c r="AZ23" s="6">
        <f t="shared" si="4"/>
        <v>2.2499999999999999E-2</v>
      </c>
      <c r="BA23" s="6">
        <v>8.0000000000000007E-5</v>
      </c>
      <c r="BB23" s="35">
        <f t="shared" si="5"/>
        <v>3.5284040013687483</v>
      </c>
      <c r="BC23" s="46">
        <f t="shared" si="8"/>
        <v>1.5340886962472817</v>
      </c>
      <c r="BD23" s="67" t="str">
        <f t="shared" si="18"/>
        <v>ok</v>
      </c>
      <c r="BE23" s="69">
        <f>BC23+$BE$13</f>
        <v>3.1748092682432039</v>
      </c>
      <c r="BF23" s="72" t="str">
        <f t="shared" si="19"/>
        <v>ok</v>
      </c>
    </row>
    <row r="24" spans="2:58" ht="13.25" customHeight="1" x14ac:dyDescent="0.45">
      <c r="B24" s="176" t="s">
        <v>103</v>
      </c>
      <c r="C24" s="177"/>
      <c r="D24" s="178" t="s">
        <v>114</v>
      </c>
      <c r="E24" s="179"/>
      <c r="F24" s="59">
        <f>H24*G24</f>
        <v>47.973737373737379</v>
      </c>
      <c r="G24" s="53">
        <v>0.8</v>
      </c>
      <c r="H24" s="66">
        <f>H31+H30+H29+H28+H27+H26+H25</f>
        <v>59.967171717171716</v>
      </c>
      <c r="I24" s="62">
        <v>400</v>
      </c>
      <c r="J24" s="75">
        <f t="shared" si="24"/>
        <v>86.555156833624011</v>
      </c>
      <c r="K24" s="12">
        <v>1</v>
      </c>
      <c r="L24" s="8">
        <v>0.7</v>
      </c>
      <c r="M24" s="8">
        <v>1</v>
      </c>
      <c r="N24" s="102">
        <f>H24*M24*L24*K24</f>
        <v>41.977020202020199</v>
      </c>
      <c r="O24" s="48">
        <f t="shared" si="10"/>
        <v>60.588609783536803</v>
      </c>
      <c r="P24" s="106" t="s">
        <v>19</v>
      </c>
      <c r="Q24" s="50">
        <v>63</v>
      </c>
      <c r="R24" s="85">
        <v>1</v>
      </c>
      <c r="S24" s="87">
        <f t="shared" si="20"/>
        <v>63</v>
      </c>
      <c r="T24" s="43">
        <f t="shared" si="11"/>
        <v>91.35</v>
      </c>
      <c r="U24" s="52">
        <v>28</v>
      </c>
      <c r="V24" s="7" t="s">
        <v>44</v>
      </c>
      <c r="W24" s="7" t="s">
        <v>58</v>
      </c>
      <c r="X24" s="11" t="s">
        <v>157</v>
      </c>
      <c r="Y24" s="9" t="s">
        <v>48</v>
      </c>
      <c r="Z24" s="7">
        <v>13</v>
      </c>
      <c r="AA24" s="62" t="s">
        <v>132</v>
      </c>
      <c r="AB24" s="112">
        <v>3</v>
      </c>
      <c r="AC24" s="80">
        <v>10</v>
      </c>
      <c r="AD24" s="81">
        <v>75</v>
      </c>
      <c r="AE24" s="9">
        <v>1</v>
      </c>
      <c r="AF24" s="7">
        <v>1</v>
      </c>
      <c r="AG24" s="7">
        <f t="shared" si="21"/>
        <v>10</v>
      </c>
      <c r="AH24" s="11">
        <f t="shared" si="12"/>
        <v>10</v>
      </c>
      <c r="AI24" s="76">
        <f t="shared" si="22"/>
        <v>75</v>
      </c>
      <c r="AJ24" s="9">
        <v>1</v>
      </c>
      <c r="AK24" s="53">
        <v>1</v>
      </c>
      <c r="AL24" s="53">
        <v>1</v>
      </c>
      <c r="AM24" s="61">
        <v>1</v>
      </c>
      <c r="AN24" s="78">
        <f t="shared" si="1"/>
        <v>75</v>
      </c>
      <c r="AO24" s="19">
        <f t="shared" si="2"/>
        <v>60.588609783536803</v>
      </c>
      <c r="AP24" s="7">
        <f t="shared" si="13"/>
        <v>63</v>
      </c>
      <c r="AQ24" s="7">
        <f t="shared" si="14"/>
        <v>75</v>
      </c>
      <c r="AR24" s="6" t="str">
        <f t="shared" si="15"/>
        <v>ok</v>
      </c>
      <c r="AS24" s="7">
        <f t="shared" si="3"/>
        <v>91.35</v>
      </c>
      <c r="AT24" s="35">
        <f t="shared" si="23"/>
        <v>108.75</v>
      </c>
      <c r="AU24" s="120" t="str">
        <f t="shared" si="16"/>
        <v>ok</v>
      </c>
      <c r="AV24" s="122" t="s">
        <v>97</v>
      </c>
      <c r="AW24" s="6">
        <f t="shared" si="17"/>
        <v>5</v>
      </c>
      <c r="AX24" s="56">
        <f t="shared" si="6"/>
        <v>0.8</v>
      </c>
      <c r="AY24" s="58">
        <f t="shared" si="7"/>
        <v>0.59999999999999987</v>
      </c>
      <c r="AZ24" s="6">
        <f t="shared" si="4"/>
        <v>2.2499999999999999E-2</v>
      </c>
      <c r="BA24" s="6">
        <v>8.0000000000000007E-5</v>
      </c>
      <c r="BB24" s="35">
        <f t="shared" si="5"/>
        <v>3.1350970246393284</v>
      </c>
      <c r="BC24" s="46">
        <f t="shared" si="8"/>
        <v>1.3630856628866646</v>
      </c>
      <c r="BD24" s="67" t="str">
        <f t="shared" si="18"/>
        <v>ok</v>
      </c>
      <c r="BE24" s="69">
        <f>BC24+$BE$13</f>
        <v>3.0038062348825867</v>
      </c>
      <c r="BF24" s="72" t="str">
        <f t="shared" si="19"/>
        <v>ok</v>
      </c>
    </row>
    <row r="25" spans="2:58" x14ac:dyDescent="0.45">
      <c r="B25" s="176" t="s">
        <v>114</v>
      </c>
      <c r="C25" s="177"/>
      <c r="D25" s="178" t="s">
        <v>115</v>
      </c>
      <c r="E25" s="179"/>
      <c r="F25" s="59">
        <v>23.6</v>
      </c>
      <c r="G25" s="53">
        <v>0.8</v>
      </c>
      <c r="H25" s="56">
        <f>F25/G25</f>
        <v>29.5</v>
      </c>
      <c r="I25" s="62">
        <v>400</v>
      </c>
      <c r="J25" s="75">
        <f t="shared" si="24"/>
        <v>42.579582352734903</v>
      </c>
      <c r="K25" s="12">
        <v>1</v>
      </c>
      <c r="L25" s="3">
        <v>1</v>
      </c>
      <c r="M25" s="8">
        <v>1</v>
      </c>
      <c r="N25" s="103">
        <f t="shared" si="27"/>
        <v>29.5</v>
      </c>
      <c r="O25" s="48">
        <f t="shared" si="10"/>
        <v>42.579582352734903</v>
      </c>
      <c r="P25" s="106" t="s">
        <v>19</v>
      </c>
      <c r="Q25" s="50">
        <v>50</v>
      </c>
      <c r="R25" s="85">
        <v>1</v>
      </c>
      <c r="S25" s="87">
        <f t="shared" si="20"/>
        <v>50</v>
      </c>
      <c r="T25" s="43">
        <f t="shared" si="11"/>
        <v>72.5</v>
      </c>
      <c r="U25" s="52">
        <v>9</v>
      </c>
      <c r="V25" s="7" t="s">
        <v>44</v>
      </c>
      <c r="W25" s="7" t="s">
        <v>58</v>
      </c>
      <c r="X25" s="11" t="s">
        <v>158</v>
      </c>
      <c r="Y25" s="9" t="s">
        <v>48</v>
      </c>
      <c r="Z25" s="7">
        <v>13</v>
      </c>
      <c r="AA25" s="62" t="s">
        <v>132</v>
      </c>
      <c r="AB25" s="112">
        <v>3</v>
      </c>
      <c r="AC25" s="80">
        <v>6</v>
      </c>
      <c r="AD25" s="81">
        <v>54</v>
      </c>
      <c r="AE25" s="9">
        <v>1</v>
      </c>
      <c r="AF25" s="7">
        <v>1</v>
      </c>
      <c r="AG25" s="7">
        <f t="shared" si="21"/>
        <v>6</v>
      </c>
      <c r="AH25" s="11">
        <f t="shared" si="12"/>
        <v>6</v>
      </c>
      <c r="AI25" s="76">
        <f t="shared" si="22"/>
        <v>54</v>
      </c>
      <c r="AJ25" s="9">
        <v>1</v>
      </c>
      <c r="AK25" s="53">
        <v>1</v>
      </c>
      <c r="AL25" s="53">
        <v>1</v>
      </c>
      <c r="AM25" s="61">
        <v>1</v>
      </c>
      <c r="AN25" s="78">
        <f t="shared" si="1"/>
        <v>54</v>
      </c>
      <c r="AO25" s="19">
        <f t="shared" si="2"/>
        <v>42.579582352734903</v>
      </c>
      <c r="AP25" s="7">
        <f t="shared" si="13"/>
        <v>50</v>
      </c>
      <c r="AQ25" s="7">
        <f t="shared" si="14"/>
        <v>54</v>
      </c>
      <c r="AR25" s="6" t="str">
        <f t="shared" si="15"/>
        <v>ok</v>
      </c>
      <c r="AS25" s="7">
        <f t="shared" si="3"/>
        <v>72.5</v>
      </c>
      <c r="AT25" s="35">
        <f t="shared" si="23"/>
        <v>78.3</v>
      </c>
      <c r="AU25" s="120" t="str">
        <f t="shared" si="16"/>
        <v>ok</v>
      </c>
      <c r="AV25" s="122" t="s">
        <v>97</v>
      </c>
      <c r="AW25" s="6">
        <f t="shared" si="17"/>
        <v>5</v>
      </c>
      <c r="AX25" s="56">
        <f t="shared" si="6"/>
        <v>0.8</v>
      </c>
      <c r="AY25" s="58">
        <f t="shared" si="7"/>
        <v>0.59999999999999987</v>
      </c>
      <c r="AZ25" s="6">
        <f t="shared" si="4"/>
        <v>2.2499999999999999E-2</v>
      </c>
      <c r="BA25" s="6">
        <v>8.0000000000000007E-5</v>
      </c>
      <c r="BB25" s="35">
        <f t="shared" si="5"/>
        <v>1.1680431031002239</v>
      </c>
      <c r="BC25" s="46">
        <f t="shared" si="8"/>
        <v>0.50784482743487991</v>
      </c>
      <c r="BD25" s="67" t="str">
        <f t="shared" si="18"/>
        <v>ok</v>
      </c>
      <c r="BE25" s="69">
        <f t="shared" ref="BE25:BE31" si="28">BC25+$BE$24</f>
        <v>3.5116510623174664</v>
      </c>
      <c r="BF25" s="72" t="str">
        <f t="shared" si="19"/>
        <v>ok</v>
      </c>
    </row>
    <row r="26" spans="2:58" x14ac:dyDescent="0.45">
      <c r="B26" s="176" t="s">
        <v>114</v>
      </c>
      <c r="C26" s="177"/>
      <c r="D26" s="178" t="s">
        <v>116</v>
      </c>
      <c r="E26" s="179"/>
      <c r="F26" s="52">
        <v>3</v>
      </c>
      <c r="G26" s="53">
        <v>0.9</v>
      </c>
      <c r="H26" s="56">
        <f t="shared" ref="H26:H33" si="29">F26/G26</f>
        <v>3.333333333333333</v>
      </c>
      <c r="I26" s="62">
        <v>400</v>
      </c>
      <c r="J26" s="75">
        <f t="shared" si="24"/>
        <v>4.8112522432468809</v>
      </c>
      <c r="K26" s="12">
        <v>1</v>
      </c>
      <c r="L26" s="8">
        <v>1</v>
      </c>
      <c r="M26" s="8">
        <v>1</v>
      </c>
      <c r="N26" s="103">
        <f t="shared" si="27"/>
        <v>3.333333333333333</v>
      </c>
      <c r="O26" s="48">
        <f t="shared" si="10"/>
        <v>4.8112522432468809</v>
      </c>
      <c r="P26" s="106" t="s">
        <v>19</v>
      </c>
      <c r="Q26" s="50">
        <v>6</v>
      </c>
      <c r="R26" s="85">
        <v>1</v>
      </c>
      <c r="S26" s="87">
        <f t="shared" si="20"/>
        <v>6</v>
      </c>
      <c r="T26" s="43">
        <f t="shared" si="11"/>
        <v>8.6999999999999993</v>
      </c>
      <c r="U26" s="52">
        <v>23</v>
      </c>
      <c r="V26" s="7" t="s">
        <v>44</v>
      </c>
      <c r="W26" s="7" t="s">
        <v>58</v>
      </c>
      <c r="X26" s="11" t="s">
        <v>154</v>
      </c>
      <c r="Y26" s="9" t="s">
        <v>48</v>
      </c>
      <c r="Z26" s="7">
        <v>13</v>
      </c>
      <c r="AA26" s="62" t="s">
        <v>132</v>
      </c>
      <c r="AB26" s="112">
        <v>3</v>
      </c>
      <c r="AC26" s="80">
        <v>4</v>
      </c>
      <c r="AD26" s="81">
        <v>42</v>
      </c>
      <c r="AE26" s="9">
        <v>1</v>
      </c>
      <c r="AF26" s="7">
        <v>1</v>
      </c>
      <c r="AG26" s="7">
        <f>AC26*AE26</f>
        <v>4</v>
      </c>
      <c r="AH26" s="11">
        <f t="shared" si="12"/>
        <v>4</v>
      </c>
      <c r="AI26" s="76">
        <f t="shared" si="22"/>
        <v>42</v>
      </c>
      <c r="AJ26" s="9">
        <v>1</v>
      </c>
      <c r="AK26" s="53">
        <v>1</v>
      </c>
      <c r="AL26" s="53">
        <v>1</v>
      </c>
      <c r="AM26" s="61">
        <v>1</v>
      </c>
      <c r="AN26" s="78">
        <f t="shared" si="1"/>
        <v>42</v>
      </c>
      <c r="AO26" s="19">
        <f t="shared" si="2"/>
        <v>4.8112522432468809</v>
      </c>
      <c r="AP26" s="7">
        <f t="shared" si="13"/>
        <v>6</v>
      </c>
      <c r="AQ26" s="7">
        <f t="shared" si="14"/>
        <v>42</v>
      </c>
      <c r="AR26" s="6" t="str">
        <f t="shared" si="15"/>
        <v>ok</v>
      </c>
      <c r="AS26" s="7">
        <f t="shared" si="3"/>
        <v>8.6999999999999993</v>
      </c>
      <c r="AT26" s="35">
        <f t="shared" si="23"/>
        <v>60.9</v>
      </c>
      <c r="AU26" s="120" t="str">
        <f t="shared" si="16"/>
        <v>ok</v>
      </c>
      <c r="AV26" s="122" t="s">
        <v>97</v>
      </c>
      <c r="AW26" s="6">
        <f t="shared" si="17"/>
        <v>5</v>
      </c>
      <c r="AX26" s="56">
        <f t="shared" si="6"/>
        <v>0.9</v>
      </c>
      <c r="AY26" s="58">
        <f t="shared" si="7"/>
        <v>0.43588989435406728</v>
      </c>
      <c r="AZ26" s="6">
        <f t="shared" si="4"/>
        <v>2.2499999999999999E-2</v>
      </c>
      <c r="BA26" s="6">
        <v>8.0000000000000007E-5</v>
      </c>
      <c r="BB26" s="35">
        <f t="shared" si="5"/>
        <v>0.56406898733997479</v>
      </c>
      <c r="BC26" s="46">
        <f t="shared" si="8"/>
        <v>0.24524738579998906</v>
      </c>
      <c r="BD26" s="67" t="str">
        <f t="shared" si="18"/>
        <v>ok</v>
      </c>
      <c r="BE26" s="69">
        <f t="shared" si="28"/>
        <v>3.2490536206825755</v>
      </c>
      <c r="BF26" s="72" t="str">
        <f t="shared" si="19"/>
        <v>ok</v>
      </c>
    </row>
    <row r="27" spans="2:58" x14ac:dyDescent="0.45">
      <c r="B27" s="176" t="s">
        <v>114</v>
      </c>
      <c r="C27" s="177"/>
      <c r="D27" s="178" t="s">
        <v>117</v>
      </c>
      <c r="E27" s="179"/>
      <c r="F27" s="52">
        <v>1.5</v>
      </c>
      <c r="G27" s="53">
        <v>0.9</v>
      </c>
      <c r="H27" s="56">
        <f t="shared" si="29"/>
        <v>1.6666666666666665</v>
      </c>
      <c r="I27" s="62">
        <v>400</v>
      </c>
      <c r="J27" s="75">
        <f t="shared" si="24"/>
        <v>2.4056261216234405</v>
      </c>
      <c r="K27" s="12">
        <v>1</v>
      </c>
      <c r="L27" s="3">
        <v>1</v>
      </c>
      <c r="M27" s="8">
        <v>1</v>
      </c>
      <c r="N27" s="103">
        <f t="shared" si="27"/>
        <v>1.6666666666666665</v>
      </c>
      <c r="O27" s="48">
        <f t="shared" si="10"/>
        <v>2.4056261216234405</v>
      </c>
      <c r="P27" s="106" t="s">
        <v>19</v>
      </c>
      <c r="Q27" s="50">
        <v>6</v>
      </c>
      <c r="R27" s="85">
        <v>1</v>
      </c>
      <c r="S27" s="87">
        <f t="shared" si="20"/>
        <v>6</v>
      </c>
      <c r="T27" s="43">
        <f t="shared" si="11"/>
        <v>8.6999999999999993</v>
      </c>
      <c r="U27" s="52">
        <v>27</v>
      </c>
      <c r="V27" s="7" t="s">
        <v>44</v>
      </c>
      <c r="W27" s="7" t="s">
        <v>58</v>
      </c>
      <c r="X27" s="11" t="s">
        <v>154</v>
      </c>
      <c r="Y27" s="9" t="s">
        <v>48</v>
      </c>
      <c r="Z27" s="7">
        <v>13</v>
      </c>
      <c r="AA27" s="62" t="s">
        <v>132</v>
      </c>
      <c r="AB27" s="112">
        <v>3</v>
      </c>
      <c r="AC27" s="80">
        <v>4</v>
      </c>
      <c r="AD27" s="81">
        <v>42</v>
      </c>
      <c r="AE27" s="9">
        <v>1</v>
      </c>
      <c r="AF27" s="7">
        <v>1</v>
      </c>
      <c r="AG27" s="7">
        <f t="shared" si="21"/>
        <v>4</v>
      </c>
      <c r="AH27" s="11">
        <f t="shared" si="12"/>
        <v>4</v>
      </c>
      <c r="AI27" s="76">
        <f t="shared" si="22"/>
        <v>42</v>
      </c>
      <c r="AJ27" s="9">
        <v>1</v>
      </c>
      <c r="AK27" s="53">
        <v>1</v>
      </c>
      <c r="AL27" s="53">
        <v>1</v>
      </c>
      <c r="AM27" s="61">
        <v>1</v>
      </c>
      <c r="AN27" s="78">
        <f t="shared" si="1"/>
        <v>42</v>
      </c>
      <c r="AO27" s="19">
        <f t="shared" si="2"/>
        <v>2.4056261216234405</v>
      </c>
      <c r="AP27" s="7">
        <f t="shared" si="13"/>
        <v>6</v>
      </c>
      <c r="AQ27" s="7">
        <f t="shared" si="14"/>
        <v>42</v>
      </c>
      <c r="AR27" s="6" t="str">
        <f t="shared" si="15"/>
        <v>ok</v>
      </c>
      <c r="AS27" s="7">
        <f t="shared" si="3"/>
        <v>8.6999999999999993</v>
      </c>
      <c r="AT27" s="35">
        <f t="shared" si="23"/>
        <v>60.9</v>
      </c>
      <c r="AU27" s="120" t="str">
        <f t="shared" si="16"/>
        <v>ok</v>
      </c>
      <c r="AV27" s="122" t="s">
        <v>97</v>
      </c>
      <c r="AW27" s="6">
        <f t="shared" si="17"/>
        <v>5</v>
      </c>
      <c r="AX27" s="56">
        <f t="shared" si="6"/>
        <v>0.9</v>
      </c>
      <c r="AY27" s="58">
        <f t="shared" si="7"/>
        <v>0.43588989435406728</v>
      </c>
      <c r="AZ27" s="6">
        <f t="shared" si="4"/>
        <v>2.2499999999999999E-2</v>
      </c>
      <c r="BA27" s="6">
        <v>8.0000000000000007E-5</v>
      </c>
      <c r="BB27" s="35">
        <f t="shared" si="5"/>
        <v>0.33108397082998525</v>
      </c>
      <c r="BC27" s="46">
        <f t="shared" si="8"/>
        <v>0.14394955253477618</v>
      </c>
      <c r="BD27" s="67" t="str">
        <f t="shared" si="18"/>
        <v>ok</v>
      </c>
      <c r="BE27" s="69">
        <f t="shared" si="28"/>
        <v>3.1477557874173629</v>
      </c>
      <c r="BF27" s="72" t="str">
        <f t="shared" si="19"/>
        <v>ok</v>
      </c>
    </row>
    <row r="28" spans="2:58" x14ac:dyDescent="0.45">
      <c r="B28" s="176" t="s">
        <v>114</v>
      </c>
      <c r="C28" s="177"/>
      <c r="D28" s="178" t="s">
        <v>118</v>
      </c>
      <c r="E28" s="179"/>
      <c r="F28" s="52">
        <v>5</v>
      </c>
      <c r="G28" s="53">
        <v>0.88</v>
      </c>
      <c r="H28" s="56">
        <f t="shared" si="29"/>
        <v>5.6818181818181817</v>
      </c>
      <c r="I28" s="62">
        <v>400</v>
      </c>
      <c r="J28" s="75">
        <f t="shared" si="24"/>
        <v>8.2009981418980935</v>
      </c>
      <c r="K28" s="12">
        <v>1</v>
      </c>
      <c r="L28" s="8">
        <v>1</v>
      </c>
      <c r="M28" s="8">
        <v>1</v>
      </c>
      <c r="N28" s="103">
        <f t="shared" si="27"/>
        <v>5.6818181818181817</v>
      </c>
      <c r="O28" s="48">
        <f t="shared" si="10"/>
        <v>8.2009981418980935</v>
      </c>
      <c r="P28" s="106" t="s">
        <v>19</v>
      </c>
      <c r="Q28" s="50">
        <v>10</v>
      </c>
      <c r="R28" s="85">
        <v>1</v>
      </c>
      <c r="S28" s="87">
        <f t="shared" si="20"/>
        <v>10</v>
      </c>
      <c r="T28" s="43">
        <f t="shared" si="11"/>
        <v>14.5</v>
      </c>
      <c r="U28" s="52">
        <v>22</v>
      </c>
      <c r="V28" s="7" t="s">
        <v>44</v>
      </c>
      <c r="W28" s="7" t="s">
        <v>58</v>
      </c>
      <c r="X28" s="11" t="s">
        <v>154</v>
      </c>
      <c r="Y28" s="9" t="s">
        <v>48</v>
      </c>
      <c r="Z28" s="7">
        <v>13</v>
      </c>
      <c r="AA28" s="62" t="s">
        <v>132</v>
      </c>
      <c r="AB28" s="112">
        <v>3</v>
      </c>
      <c r="AC28" s="80">
        <v>4</v>
      </c>
      <c r="AD28" s="81">
        <v>42</v>
      </c>
      <c r="AE28" s="9">
        <v>1</v>
      </c>
      <c r="AF28" s="7">
        <v>1</v>
      </c>
      <c r="AG28" s="7">
        <f t="shared" si="21"/>
        <v>4</v>
      </c>
      <c r="AH28" s="11">
        <f t="shared" si="12"/>
        <v>4</v>
      </c>
      <c r="AI28" s="76">
        <f t="shared" si="22"/>
        <v>42</v>
      </c>
      <c r="AJ28" s="9">
        <v>1</v>
      </c>
      <c r="AK28" s="53">
        <v>1</v>
      </c>
      <c r="AL28" s="53">
        <v>1</v>
      </c>
      <c r="AM28" s="61">
        <v>1</v>
      </c>
      <c r="AN28" s="78">
        <f t="shared" si="1"/>
        <v>42</v>
      </c>
      <c r="AO28" s="19">
        <f t="shared" si="2"/>
        <v>8.2009981418980935</v>
      </c>
      <c r="AP28" s="7">
        <f t="shared" si="13"/>
        <v>10</v>
      </c>
      <c r="AQ28" s="7">
        <f t="shared" si="14"/>
        <v>42</v>
      </c>
      <c r="AR28" s="6" t="str">
        <f t="shared" si="15"/>
        <v>ok</v>
      </c>
      <c r="AS28" s="7">
        <f t="shared" si="3"/>
        <v>14.5</v>
      </c>
      <c r="AT28" s="35">
        <f t="shared" si="23"/>
        <v>60.9</v>
      </c>
      <c r="AU28" s="120" t="str">
        <f t="shared" si="16"/>
        <v>ok</v>
      </c>
      <c r="AV28" s="122" t="s">
        <v>97</v>
      </c>
      <c r="AW28" s="6">
        <f t="shared" si="17"/>
        <v>5</v>
      </c>
      <c r="AX28" s="56">
        <f t="shared" si="6"/>
        <v>0.88</v>
      </c>
      <c r="AY28" s="58">
        <f t="shared" si="7"/>
        <v>0.4749736834815167</v>
      </c>
      <c r="AZ28" s="6">
        <f t="shared" si="4"/>
        <v>2.2499999999999999E-2</v>
      </c>
      <c r="BA28" s="6">
        <v>8.0000000000000007E-5</v>
      </c>
      <c r="BB28" s="35">
        <f t="shared" si="5"/>
        <v>0.89994435225310332</v>
      </c>
      <c r="BC28" s="46">
        <f t="shared" si="8"/>
        <v>0.39128015315352321</v>
      </c>
      <c r="BD28" s="67" t="str">
        <f t="shared" si="18"/>
        <v>ok</v>
      </c>
      <c r="BE28" s="69">
        <f t="shared" si="28"/>
        <v>3.39508638803611</v>
      </c>
      <c r="BF28" s="72" t="str">
        <f t="shared" si="19"/>
        <v>ok</v>
      </c>
    </row>
    <row r="29" spans="2:58" x14ac:dyDescent="0.45">
      <c r="B29" s="176" t="s">
        <v>114</v>
      </c>
      <c r="C29" s="177"/>
      <c r="D29" s="178" t="s">
        <v>119</v>
      </c>
      <c r="E29" s="179"/>
      <c r="F29" s="52">
        <v>4</v>
      </c>
      <c r="G29" s="53">
        <v>0.9</v>
      </c>
      <c r="H29" s="56">
        <f t="shared" si="29"/>
        <v>4.4444444444444446</v>
      </c>
      <c r="I29" s="62">
        <v>400</v>
      </c>
      <c r="J29" s="75">
        <f t="shared" si="24"/>
        <v>6.4150029909958421</v>
      </c>
      <c r="K29" s="12">
        <v>1</v>
      </c>
      <c r="L29" s="3">
        <v>1</v>
      </c>
      <c r="M29" s="8">
        <v>1</v>
      </c>
      <c r="N29" s="103">
        <f t="shared" si="27"/>
        <v>4.4444444444444446</v>
      </c>
      <c r="O29" s="48">
        <f t="shared" si="10"/>
        <v>6.4150029909958421</v>
      </c>
      <c r="P29" s="106" t="s">
        <v>19</v>
      </c>
      <c r="Q29" s="50">
        <v>10</v>
      </c>
      <c r="R29" s="85">
        <v>1</v>
      </c>
      <c r="S29" s="87">
        <f t="shared" si="20"/>
        <v>10</v>
      </c>
      <c r="T29" s="43">
        <f t="shared" si="11"/>
        <v>14.5</v>
      </c>
      <c r="U29" s="52">
        <v>21</v>
      </c>
      <c r="V29" s="7" t="s">
        <v>44</v>
      </c>
      <c r="W29" s="7" t="s">
        <v>58</v>
      </c>
      <c r="X29" s="11" t="s">
        <v>154</v>
      </c>
      <c r="Y29" s="9" t="s">
        <v>48</v>
      </c>
      <c r="Z29" s="7">
        <v>13</v>
      </c>
      <c r="AA29" s="62" t="s">
        <v>132</v>
      </c>
      <c r="AB29" s="112">
        <v>3</v>
      </c>
      <c r="AC29" s="80">
        <v>4</v>
      </c>
      <c r="AD29" s="81">
        <v>42</v>
      </c>
      <c r="AE29" s="9">
        <v>1</v>
      </c>
      <c r="AF29" s="7">
        <v>1</v>
      </c>
      <c r="AG29" s="7">
        <f t="shared" si="21"/>
        <v>4</v>
      </c>
      <c r="AH29" s="11">
        <f t="shared" si="12"/>
        <v>4</v>
      </c>
      <c r="AI29" s="76">
        <f t="shared" si="22"/>
        <v>42</v>
      </c>
      <c r="AJ29" s="9">
        <v>1</v>
      </c>
      <c r="AK29" s="53">
        <v>1</v>
      </c>
      <c r="AL29" s="53">
        <v>1</v>
      </c>
      <c r="AM29" s="61">
        <v>1</v>
      </c>
      <c r="AN29" s="78">
        <f t="shared" si="1"/>
        <v>42</v>
      </c>
      <c r="AO29" s="19">
        <f t="shared" si="2"/>
        <v>6.4150029909958421</v>
      </c>
      <c r="AP29" s="7">
        <f t="shared" si="13"/>
        <v>10</v>
      </c>
      <c r="AQ29" s="7">
        <f t="shared" si="14"/>
        <v>42</v>
      </c>
      <c r="AR29" s="6" t="str">
        <f t="shared" si="15"/>
        <v>ok</v>
      </c>
      <c r="AS29" s="7">
        <f t="shared" si="3"/>
        <v>14.5</v>
      </c>
      <c r="AT29" s="35">
        <f t="shared" si="23"/>
        <v>60.9</v>
      </c>
      <c r="AU29" s="120" t="str">
        <f t="shared" si="16"/>
        <v>ok</v>
      </c>
      <c r="AV29" s="122" t="s">
        <v>97</v>
      </c>
      <c r="AW29" s="6">
        <f t="shared" si="17"/>
        <v>5</v>
      </c>
      <c r="AX29" s="56">
        <f t="shared" si="6"/>
        <v>0.9</v>
      </c>
      <c r="AY29" s="58">
        <f t="shared" si="7"/>
        <v>0.43588989435406728</v>
      </c>
      <c r="AZ29" s="6">
        <f t="shared" si="4"/>
        <v>2.2499999999999999E-2</v>
      </c>
      <c r="BA29" s="6">
        <v>8.0000000000000007E-5</v>
      </c>
      <c r="BB29" s="35">
        <f t="shared" si="5"/>
        <v>0.68669268023996943</v>
      </c>
      <c r="BC29" s="46">
        <f t="shared" si="8"/>
        <v>0.29856203488694327</v>
      </c>
      <c r="BD29" s="67" t="str">
        <f t="shared" si="18"/>
        <v>ok</v>
      </c>
      <c r="BE29" s="69">
        <f t="shared" si="28"/>
        <v>3.3023682697695298</v>
      </c>
      <c r="BF29" s="72" t="str">
        <f t="shared" si="19"/>
        <v>ok</v>
      </c>
    </row>
    <row r="30" spans="2:58" x14ac:dyDescent="0.45">
      <c r="B30" s="176" t="s">
        <v>114</v>
      </c>
      <c r="C30" s="177"/>
      <c r="D30" s="178" t="s">
        <v>120</v>
      </c>
      <c r="E30" s="179"/>
      <c r="F30" s="52">
        <v>7.5</v>
      </c>
      <c r="G30" s="53">
        <v>0.88</v>
      </c>
      <c r="H30" s="56">
        <f t="shared" si="29"/>
        <v>8.5227272727272734</v>
      </c>
      <c r="I30" s="62">
        <v>400</v>
      </c>
      <c r="J30" s="75">
        <f t="shared" si="24"/>
        <v>12.301497212847142</v>
      </c>
      <c r="K30" s="12">
        <v>1</v>
      </c>
      <c r="L30" s="8">
        <v>1</v>
      </c>
      <c r="M30" s="8">
        <v>1</v>
      </c>
      <c r="N30" s="103">
        <f t="shared" si="27"/>
        <v>8.5227272727272734</v>
      </c>
      <c r="O30" s="48">
        <f t="shared" si="10"/>
        <v>12.301497212847142</v>
      </c>
      <c r="P30" s="106" t="s">
        <v>19</v>
      </c>
      <c r="Q30" s="50">
        <v>16</v>
      </c>
      <c r="R30" s="85">
        <v>1</v>
      </c>
      <c r="S30" s="87">
        <f t="shared" si="20"/>
        <v>16</v>
      </c>
      <c r="T30" s="43">
        <f t="shared" si="11"/>
        <v>23.2</v>
      </c>
      <c r="U30" s="52">
        <v>13</v>
      </c>
      <c r="V30" s="7" t="s">
        <v>44</v>
      </c>
      <c r="W30" s="7" t="s">
        <v>58</v>
      </c>
      <c r="X30" s="11" t="s">
        <v>154</v>
      </c>
      <c r="Y30" s="9" t="s">
        <v>48</v>
      </c>
      <c r="Z30" s="7">
        <v>13</v>
      </c>
      <c r="AA30" s="62" t="s">
        <v>132</v>
      </c>
      <c r="AB30" s="112">
        <v>3</v>
      </c>
      <c r="AC30" s="80">
        <v>4</v>
      </c>
      <c r="AD30" s="81">
        <v>42</v>
      </c>
      <c r="AE30" s="9">
        <v>1</v>
      </c>
      <c r="AF30" s="7">
        <v>1</v>
      </c>
      <c r="AG30" s="7">
        <f t="shared" si="21"/>
        <v>4</v>
      </c>
      <c r="AH30" s="11">
        <f t="shared" si="12"/>
        <v>4</v>
      </c>
      <c r="AI30" s="76">
        <f t="shared" si="22"/>
        <v>42</v>
      </c>
      <c r="AJ30" s="9">
        <v>1</v>
      </c>
      <c r="AK30" s="53">
        <v>1</v>
      </c>
      <c r="AL30" s="53">
        <v>1</v>
      </c>
      <c r="AM30" s="61">
        <v>1</v>
      </c>
      <c r="AN30" s="78">
        <f t="shared" si="1"/>
        <v>42</v>
      </c>
      <c r="AO30" s="19">
        <f t="shared" si="2"/>
        <v>12.301497212847142</v>
      </c>
      <c r="AP30" s="7">
        <f t="shared" si="13"/>
        <v>16</v>
      </c>
      <c r="AQ30" s="7">
        <f t="shared" si="14"/>
        <v>42</v>
      </c>
      <c r="AR30" s="6" t="str">
        <f t="shared" si="15"/>
        <v>ok</v>
      </c>
      <c r="AS30" s="7">
        <f t="shared" si="3"/>
        <v>23.2</v>
      </c>
      <c r="AT30" s="35">
        <f t="shared" si="23"/>
        <v>60.9</v>
      </c>
      <c r="AU30" s="120" t="str">
        <f t="shared" si="16"/>
        <v>ok</v>
      </c>
      <c r="AV30" s="122" t="s">
        <v>97</v>
      </c>
      <c r="AW30" s="6">
        <f t="shared" si="17"/>
        <v>5</v>
      </c>
      <c r="AX30" s="56">
        <f t="shared" si="6"/>
        <v>0.88</v>
      </c>
      <c r="AY30" s="58">
        <f t="shared" si="7"/>
        <v>0.4749736834815167</v>
      </c>
      <c r="AZ30" s="6">
        <f t="shared" si="4"/>
        <v>2.2499999999999999E-2</v>
      </c>
      <c r="BA30" s="6">
        <v>8.0000000000000007E-5</v>
      </c>
      <c r="BB30" s="35">
        <f t="shared" si="5"/>
        <v>0.79767794858797803</v>
      </c>
      <c r="BC30" s="46">
        <f t="shared" si="8"/>
        <v>0.34681649938607739</v>
      </c>
      <c r="BD30" s="67" t="str">
        <f t="shared" si="18"/>
        <v>ok</v>
      </c>
      <c r="BE30" s="69">
        <f t="shared" si="28"/>
        <v>3.3506227342686641</v>
      </c>
      <c r="BF30" s="72" t="str">
        <f t="shared" si="19"/>
        <v>ok</v>
      </c>
    </row>
    <row r="31" spans="2:58" x14ac:dyDescent="0.45">
      <c r="B31" s="176" t="s">
        <v>114</v>
      </c>
      <c r="C31" s="177"/>
      <c r="D31" s="178" t="s">
        <v>121</v>
      </c>
      <c r="E31" s="179"/>
      <c r="F31" s="52">
        <v>6</v>
      </c>
      <c r="G31" s="53">
        <v>0.88</v>
      </c>
      <c r="H31" s="56">
        <f t="shared" si="29"/>
        <v>6.8181818181818183</v>
      </c>
      <c r="I31" s="62">
        <v>400</v>
      </c>
      <c r="J31" s="75">
        <f t="shared" si="24"/>
        <v>9.8411977702777111</v>
      </c>
      <c r="K31" s="12">
        <v>1</v>
      </c>
      <c r="L31" s="3">
        <v>1</v>
      </c>
      <c r="M31" s="8">
        <v>1</v>
      </c>
      <c r="N31" s="103">
        <f t="shared" si="27"/>
        <v>6.8181818181818183</v>
      </c>
      <c r="O31" s="48">
        <f t="shared" si="10"/>
        <v>9.8411977702777111</v>
      </c>
      <c r="P31" s="106" t="s">
        <v>19</v>
      </c>
      <c r="Q31" s="50">
        <v>10</v>
      </c>
      <c r="R31" s="85">
        <v>1</v>
      </c>
      <c r="S31" s="87">
        <f t="shared" si="20"/>
        <v>10</v>
      </c>
      <c r="T31" s="43">
        <f t="shared" si="11"/>
        <v>14.5</v>
      </c>
      <c r="U31" s="52">
        <v>15</v>
      </c>
      <c r="V31" s="7" t="s">
        <v>44</v>
      </c>
      <c r="W31" s="7" t="s">
        <v>58</v>
      </c>
      <c r="X31" s="11" t="s">
        <v>154</v>
      </c>
      <c r="Y31" s="9" t="s">
        <v>48</v>
      </c>
      <c r="Z31" s="7">
        <v>13</v>
      </c>
      <c r="AA31" s="62" t="s">
        <v>132</v>
      </c>
      <c r="AB31" s="112">
        <v>3</v>
      </c>
      <c r="AC31" s="80">
        <v>4</v>
      </c>
      <c r="AD31" s="81">
        <v>42</v>
      </c>
      <c r="AE31" s="9">
        <v>1</v>
      </c>
      <c r="AF31" s="7">
        <v>1</v>
      </c>
      <c r="AG31" s="7">
        <f t="shared" si="21"/>
        <v>4</v>
      </c>
      <c r="AH31" s="11">
        <f t="shared" si="12"/>
        <v>4</v>
      </c>
      <c r="AI31" s="76">
        <f t="shared" si="22"/>
        <v>42</v>
      </c>
      <c r="AJ31" s="9">
        <v>1</v>
      </c>
      <c r="AK31" s="53">
        <v>1</v>
      </c>
      <c r="AL31" s="53">
        <v>1</v>
      </c>
      <c r="AM31" s="61">
        <v>1</v>
      </c>
      <c r="AN31" s="78">
        <f t="shared" si="1"/>
        <v>42</v>
      </c>
      <c r="AO31" s="19">
        <f t="shared" si="2"/>
        <v>9.8411977702777111</v>
      </c>
      <c r="AP31" s="7">
        <f t="shared" si="13"/>
        <v>10</v>
      </c>
      <c r="AQ31" s="7">
        <f t="shared" si="14"/>
        <v>42</v>
      </c>
      <c r="AR31" s="6" t="str">
        <f t="shared" si="15"/>
        <v>ok</v>
      </c>
      <c r="AS31" s="7">
        <f t="shared" si="3"/>
        <v>14.5</v>
      </c>
      <c r="AT31" s="35">
        <f t="shared" si="23"/>
        <v>60.9</v>
      </c>
      <c r="AU31" s="120" t="str">
        <f t="shared" si="16"/>
        <v>ok</v>
      </c>
      <c r="AV31" s="122" t="s">
        <v>97</v>
      </c>
      <c r="AW31" s="6">
        <f t="shared" si="17"/>
        <v>5</v>
      </c>
      <c r="AX31" s="56">
        <f t="shared" si="6"/>
        <v>0.88</v>
      </c>
      <c r="AY31" s="58">
        <f t="shared" si="7"/>
        <v>0.4749736834815167</v>
      </c>
      <c r="AZ31" s="6">
        <f t="shared" si="4"/>
        <v>2.2499999999999999E-2</v>
      </c>
      <c r="BA31" s="6">
        <v>8.0000000000000007E-5</v>
      </c>
      <c r="BB31" s="35">
        <f t="shared" si="5"/>
        <v>0.7363181063889026</v>
      </c>
      <c r="BC31" s="46">
        <f t="shared" si="8"/>
        <v>0.32013830712560981</v>
      </c>
      <c r="BD31" s="67" t="str">
        <f t="shared" si="18"/>
        <v>ok</v>
      </c>
      <c r="BE31" s="69">
        <f t="shared" si="28"/>
        <v>3.3239445420081966</v>
      </c>
      <c r="BF31" s="72" t="str">
        <f t="shared" si="19"/>
        <v>ok</v>
      </c>
    </row>
    <row r="32" spans="2:58" x14ac:dyDescent="0.45">
      <c r="B32" s="176" t="s">
        <v>104</v>
      </c>
      <c r="C32" s="177"/>
      <c r="D32" s="178" t="s">
        <v>122</v>
      </c>
      <c r="E32" s="179"/>
      <c r="F32" s="59">
        <v>2</v>
      </c>
      <c r="G32" s="53">
        <v>0.8</v>
      </c>
      <c r="H32" s="56">
        <f t="shared" si="29"/>
        <v>2.5</v>
      </c>
      <c r="I32" s="62">
        <v>400</v>
      </c>
      <c r="J32" s="75">
        <f t="shared" si="24"/>
        <v>3.6084391824351609</v>
      </c>
      <c r="K32" s="12">
        <v>1</v>
      </c>
      <c r="L32" s="8">
        <v>1</v>
      </c>
      <c r="M32" s="8">
        <v>1</v>
      </c>
      <c r="N32" s="103">
        <f t="shared" si="27"/>
        <v>2.5</v>
      </c>
      <c r="O32" s="48">
        <f t="shared" si="10"/>
        <v>3.6084391824351609</v>
      </c>
      <c r="P32" s="106" t="s">
        <v>19</v>
      </c>
      <c r="Q32" s="50">
        <v>6</v>
      </c>
      <c r="R32" s="85">
        <v>1</v>
      </c>
      <c r="S32" s="87">
        <f t="shared" si="20"/>
        <v>6</v>
      </c>
      <c r="T32" s="43">
        <f t="shared" si="11"/>
        <v>8.6999999999999993</v>
      </c>
      <c r="U32" s="52">
        <v>48</v>
      </c>
      <c r="V32" s="7" t="s">
        <v>44</v>
      </c>
      <c r="W32" s="7" t="s">
        <v>58</v>
      </c>
      <c r="X32" s="11" t="s">
        <v>154</v>
      </c>
      <c r="Y32" s="9" t="s">
        <v>48</v>
      </c>
      <c r="Z32" s="7">
        <v>13</v>
      </c>
      <c r="AA32" s="62" t="s">
        <v>132</v>
      </c>
      <c r="AB32" s="112">
        <v>3</v>
      </c>
      <c r="AC32" s="80">
        <v>4</v>
      </c>
      <c r="AD32" s="81">
        <v>42</v>
      </c>
      <c r="AE32" s="9">
        <v>1</v>
      </c>
      <c r="AF32" s="7">
        <v>1</v>
      </c>
      <c r="AG32" s="7">
        <f t="shared" si="21"/>
        <v>4</v>
      </c>
      <c r="AH32" s="11">
        <f t="shared" si="12"/>
        <v>4</v>
      </c>
      <c r="AI32" s="76">
        <f t="shared" si="22"/>
        <v>42</v>
      </c>
      <c r="AJ32" s="9">
        <v>1</v>
      </c>
      <c r="AK32" s="53">
        <v>1</v>
      </c>
      <c r="AL32" s="53">
        <v>1</v>
      </c>
      <c r="AM32" s="61">
        <v>1</v>
      </c>
      <c r="AN32" s="78">
        <f t="shared" si="1"/>
        <v>42</v>
      </c>
      <c r="AO32" s="19">
        <f t="shared" si="2"/>
        <v>3.6084391824351609</v>
      </c>
      <c r="AP32" s="7">
        <f t="shared" si="13"/>
        <v>6</v>
      </c>
      <c r="AQ32" s="7">
        <f t="shared" si="14"/>
        <v>42</v>
      </c>
      <c r="AR32" s="6" t="str">
        <f t="shared" si="15"/>
        <v>ok</v>
      </c>
      <c r="AS32" s="7">
        <f t="shared" si="3"/>
        <v>8.6999999999999993</v>
      </c>
      <c r="AT32" s="35">
        <f t="shared" si="23"/>
        <v>60.9</v>
      </c>
      <c r="AU32" s="120" t="str">
        <f t="shared" si="16"/>
        <v>ok</v>
      </c>
      <c r="AV32" s="122" t="s">
        <v>97</v>
      </c>
      <c r="AW32" s="6">
        <f t="shared" si="17"/>
        <v>5</v>
      </c>
      <c r="AX32" s="56">
        <f t="shared" si="6"/>
        <v>0.8</v>
      </c>
      <c r="AY32" s="58">
        <f t="shared" si="7"/>
        <v>0.59999999999999987</v>
      </c>
      <c r="AZ32" s="6">
        <f t="shared" si="4"/>
        <v>2.2499999999999999E-2</v>
      </c>
      <c r="BA32" s="6">
        <v>8.0000000000000007E-5</v>
      </c>
      <c r="BB32" s="35">
        <f t="shared" si="5"/>
        <v>0.78773670728232548</v>
      </c>
      <c r="BC32" s="46">
        <f t="shared" si="8"/>
        <v>0.34249422055753281</v>
      </c>
      <c r="BD32" s="67" t="str">
        <f t="shared" si="18"/>
        <v>ok</v>
      </c>
      <c r="BE32" s="69">
        <f>BC32+$BE$14</f>
        <v>2.3325881935118713</v>
      </c>
      <c r="BF32" s="72" t="str">
        <f t="shared" si="19"/>
        <v>ok</v>
      </c>
    </row>
    <row r="33" spans="2:58" x14ac:dyDescent="0.45">
      <c r="B33" s="176" t="s">
        <v>104</v>
      </c>
      <c r="C33" s="177"/>
      <c r="D33" s="178" t="s">
        <v>123</v>
      </c>
      <c r="E33" s="179"/>
      <c r="F33" s="59">
        <v>2</v>
      </c>
      <c r="G33" s="53">
        <v>0.8</v>
      </c>
      <c r="H33" s="56">
        <f t="shared" si="29"/>
        <v>2.5</v>
      </c>
      <c r="I33" s="62">
        <v>400</v>
      </c>
      <c r="J33" s="75">
        <f t="shared" si="24"/>
        <v>3.6084391824351609</v>
      </c>
      <c r="K33" s="12">
        <v>1</v>
      </c>
      <c r="L33" s="3">
        <v>1</v>
      </c>
      <c r="M33" s="8">
        <v>1</v>
      </c>
      <c r="N33" s="103">
        <f t="shared" si="27"/>
        <v>2.5</v>
      </c>
      <c r="O33" s="48">
        <f t="shared" si="10"/>
        <v>3.6084391824351609</v>
      </c>
      <c r="P33" s="106" t="s">
        <v>19</v>
      </c>
      <c r="Q33" s="50">
        <v>6</v>
      </c>
      <c r="R33" s="85">
        <v>1</v>
      </c>
      <c r="S33" s="87">
        <f t="shared" si="20"/>
        <v>6</v>
      </c>
      <c r="T33" s="43">
        <f t="shared" si="11"/>
        <v>8.6999999999999993</v>
      </c>
      <c r="U33" s="52">
        <v>7</v>
      </c>
      <c r="V33" s="7" t="s">
        <v>44</v>
      </c>
      <c r="W33" s="7" t="s">
        <v>58</v>
      </c>
      <c r="X33" s="11" t="s">
        <v>154</v>
      </c>
      <c r="Y33" s="9" t="s">
        <v>48</v>
      </c>
      <c r="Z33" s="7">
        <v>13</v>
      </c>
      <c r="AA33" s="62" t="s">
        <v>132</v>
      </c>
      <c r="AB33" s="112">
        <v>3</v>
      </c>
      <c r="AC33" s="80">
        <v>4</v>
      </c>
      <c r="AD33" s="81">
        <v>42</v>
      </c>
      <c r="AE33" s="9">
        <v>1</v>
      </c>
      <c r="AF33" s="7">
        <v>1</v>
      </c>
      <c r="AG33" s="7">
        <f t="shared" si="21"/>
        <v>4</v>
      </c>
      <c r="AH33" s="11">
        <f t="shared" si="12"/>
        <v>4</v>
      </c>
      <c r="AI33" s="76">
        <f t="shared" si="22"/>
        <v>42</v>
      </c>
      <c r="AJ33" s="9">
        <v>1</v>
      </c>
      <c r="AK33" s="53">
        <v>1</v>
      </c>
      <c r="AL33" s="53">
        <v>1</v>
      </c>
      <c r="AM33" s="61">
        <v>1</v>
      </c>
      <c r="AN33" s="78">
        <f t="shared" si="1"/>
        <v>42</v>
      </c>
      <c r="AO33" s="19">
        <f t="shared" si="2"/>
        <v>3.6084391824351609</v>
      </c>
      <c r="AP33" s="7">
        <f t="shared" si="13"/>
        <v>6</v>
      </c>
      <c r="AQ33" s="7">
        <f t="shared" si="14"/>
        <v>42</v>
      </c>
      <c r="AR33" s="6" t="str">
        <f t="shared" si="15"/>
        <v>ok</v>
      </c>
      <c r="AS33" s="7">
        <f t="shared" si="3"/>
        <v>8.6999999999999993</v>
      </c>
      <c r="AT33" s="35">
        <f t="shared" si="23"/>
        <v>60.9</v>
      </c>
      <c r="AU33" s="120" t="str">
        <f t="shared" si="16"/>
        <v>ok</v>
      </c>
      <c r="AV33" s="122" t="s">
        <v>97</v>
      </c>
      <c r="AW33" s="6">
        <f t="shared" si="17"/>
        <v>5</v>
      </c>
      <c r="AX33" s="56">
        <f t="shared" si="6"/>
        <v>0.8</v>
      </c>
      <c r="AY33" s="58">
        <f t="shared" si="7"/>
        <v>0.59999999999999987</v>
      </c>
      <c r="AZ33" s="6">
        <f t="shared" si="4"/>
        <v>2.2499999999999999E-2</v>
      </c>
      <c r="BA33" s="6">
        <v>8.0000000000000007E-5</v>
      </c>
      <c r="BB33" s="35">
        <f t="shared" si="5"/>
        <v>0.1148782698120058</v>
      </c>
      <c r="BC33" s="46">
        <f t="shared" si="8"/>
        <v>4.9947073831306865E-2</v>
      </c>
      <c r="BD33" s="67" t="str">
        <f t="shared" si="18"/>
        <v>ok</v>
      </c>
      <c r="BE33" s="69">
        <f>BC33+$BE$14</f>
        <v>2.0400410467856451</v>
      </c>
      <c r="BF33" s="72" t="str">
        <f t="shared" si="19"/>
        <v>ok</v>
      </c>
    </row>
    <row r="34" spans="2:58" x14ac:dyDescent="0.45">
      <c r="B34" s="176" t="s">
        <v>104</v>
      </c>
      <c r="C34" s="177"/>
      <c r="D34" s="178" t="s">
        <v>124</v>
      </c>
      <c r="E34" s="179"/>
      <c r="F34" s="59">
        <f>H34*G34</f>
        <v>48.595144998370806</v>
      </c>
      <c r="G34" s="56">
        <v>0.8</v>
      </c>
      <c r="H34" s="66">
        <f>H35+H36+H37+H38+H39</f>
        <v>60.743931247963502</v>
      </c>
      <c r="I34" s="62">
        <v>400</v>
      </c>
      <c r="J34" s="75">
        <f t="shared" si="24"/>
        <v>87.676312644119619</v>
      </c>
      <c r="K34" s="12">
        <v>1</v>
      </c>
      <c r="L34" s="8">
        <v>0.8</v>
      </c>
      <c r="M34" s="8">
        <v>1</v>
      </c>
      <c r="N34" s="102">
        <f>H34*M34*L34*K34</f>
        <v>48.595144998370806</v>
      </c>
      <c r="O34" s="48">
        <f t="shared" si="10"/>
        <v>70.141050115295712</v>
      </c>
      <c r="P34" s="106" t="s">
        <v>19</v>
      </c>
      <c r="Q34" s="50">
        <v>80</v>
      </c>
      <c r="R34" s="85">
        <v>1</v>
      </c>
      <c r="S34" s="87">
        <f t="shared" si="20"/>
        <v>80</v>
      </c>
      <c r="T34" s="43">
        <f t="shared" si="11"/>
        <v>116</v>
      </c>
      <c r="U34" s="52">
        <v>28</v>
      </c>
      <c r="V34" s="7" t="s">
        <v>44</v>
      </c>
      <c r="W34" s="7" t="s">
        <v>58</v>
      </c>
      <c r="X34" s="11" t="s">
        <v>156</v>
      </c>
      <c r="Y34" s="9" t="s">
        <v>48</v>
      </c>
      <c r="Z34" s="7">
        <v>13</v>
      </c>
      <c r="AA34" s="62" t="s">
        <v>132</v>
      </c>
      <c r="AB34" s="112">
        <v>3</v>
      </c>
      <c r="AC34" s="80">
        <v>16</v>
      </c>
      <c r="AD34" s="81">
        <v>100</v>
      </c>
      <c r="AE34" s="9">
        <v>1</v>
      </c>
      <c r="AF34" s="7">
        <v>1</v>
      </c>
      <c r="AG34" s="7">
        <f t="shared" si="21"/>
        <v>16</v>
      </c>
      <c r="AH34" s="11">
        <f t="shared" si="12"/>
        <v>16</v>
      </c>
      <c r="AI34" s="76">
        <f t="shared" si="22"/>
        <v>100</v>
      </c>
      <c r="AJ34" s="9">
        <v>1</v>
      </c>
      <c r="AK34" s="53">
        <v>1</v>
      </c>
      <c r="AL34" s="53">
        <v>1</v>
      </c>
      <c r="AM34" s="61">
        <v>1</v>
      </c>
      <c r="AN34" s="78">
        <f t="shared" si="1"/>
        <v>100</v>
      </c>
      <c r="AO34" s="19">
        <f t="shared" si="2"/>
        <v>70.141050115295712</v>
      </c>
      <c r="AP34" s="7">
        <f t="shared" si="13"/>
        <v>80</v>
      </c>
      <c r="AQ34" s="7">
        <f t="shared" si="14"/>
        <v>100</v>
      </c>
      <c r="AR34" s="6" t="str">
        <f t="shared" si="15"/>
        <v>ok</v>
      </c>
      <c r="AS34" s="7">
        <f t="shared" si="3"/>
        <v>116</v>
      </c>
      <c r="AT34" s="35">
        <f t="shared" si="23"/>
        <v>145</v>
      </c>
      <c r="AU34" s="120" t="str">
        <f t="shared" si="16"/>
        <v>ok</v>
      </c>
      <c r="AV34" s="122" t="s">
        <v>97</v>
      </c>
      <c r="AW34" s="6">
        <f t="shared" si="17"/>
        <v>5</v>
      </c>
      <c r="AX34" s="56">
        <f t="shared" si="6"/>
        <v>0.8</v>
      </c>
      <c r="AY34" s="58">
        <f t="shared" si="7"/>
        <v>0.59999999999999987</v>
      </c>
      <c r="AZ34" s="6">
        <f t="shared" si="4"/>
        <v>2.2499999999999999E-2</v>
      </c>
      <c r="BA34" s="6">
        <v>8.0000000000000007E-5</v>
      </c>
      <c r="BB34" s="35">
        <f t="shared" si="5"/>
        <v>2.3037126499867724</v>
      </c>
      <c r="BC34" s="46">
        <f t="shared" si="8"/>
        <v>1.0016141956464228</v>
      </c>
      <c r="BD34" s="67" t="str">
        <f t="shared" si="18"/>
        <v>ok</v>
      </c>
      <c r="BE34" s="69">
        <f>BC34+$BE$14</f>
        <v>2.9917081686007609</v>
      </c>
      <c r="BF34" s="72" t="str">
        <f t="shared" si="19"/>
        <v>ok</v>
      </c>
    </row>
    <row r="35" spans="2:58" x14ac:dyDescent="0.45">
      <c r="B35" s="176" t="s">
        <v>124</v>
      </c>
      <c r="C35" s="177"/>
      <c r="D35" s="178" t="s">
        <v>125</v>
      </c>
      <c r="E35" s="179"/>
      <c r="F35" s="52">
        <v>2.2000000000000002</v>
      </c>
      <c r="G35" s="53">
        <v>0.9</v>
      </c>
      <c r="H35" s="56">
        <f>F35/G35</f>
        <v>2.4444444444444446</v>
      </c>
      <c r="I35" s="62">
        <v>400</v>
      </c>
      <c r="J35" s="75">
        <f t="shared" si="24"/>
        <v>3.5282516450477135</v>
      </c>
      <c r="K35" s="12">
        <v>1</v>
      </c>
      <c r="L35" s="3">
        <v>1</v>
      </c>
      <c r="M35" s="8">
        <v>1</v>
      </c>
      <c r="N35" s="103">
        <f t="shared" si="27"/>
        <v>2.4444444444444446</v>
      </c>
      <c r="O35" s="48">
        <f t="shared" si="10"/>
        <v>3.5282516450477135</v>
      </c>
      <c r="P35" s="106" t="s">
        <v>19</v>
      </c>
      <c r="Q35" s="50">
        <v>6</v>
      </c>
      <c r="R35" s="85">
        <v>1</v>
      </c>
      <c r="S35" s="87">
        <f t="shared" si="20"/>
        <v>6</v>
      </c>
      <c r="T35" s="43">
        <f t="shared" si="11"/>
        <v>8.6999999999999993</v>
      </c>
      <c r="U35" s="52">
        <v>10</v>
      </c>
      <c r="V35" s="7" t="s">
        <v>44</v>
      </c>
      <c r="W35" s="7" t="s">
        <v>58</v>
      </c>
      <c r="X35" s="11" t="s">
        <v>154</v>
      </c>
      <c r="Y35" s="9" t="s">
        <v>48</v>
      </c>
      <c r="Z35" s="7">
        <v>13</v>
      </c>
      <c r="AA35" s="62" t="s">
        <v>132</v>
      </c>
      <c r="AB35" s="112">
        <v>3</v>
      </c>
      <c r="AC35" s="80">
        <v>4</v>
      </c>
      <c r="AD35" s="81">
        <v>42</v>
      </c>
      <c r="AE35" s="9">
        <v>1</v>
      </c>
      <c r="AF35" s="7">
        <v>1</v>
      </c>
      <c r="AG35" s="7">
        <f t="shared" si="21"/>
        <v>4</v>
      </c>
      <c r="AH35" s="11">
        <f t="shared" si="12"/>
        <v>4</v>
      </c>
      <c r="AI35" s="76">
        <f t="shared" si="22"/>
        <v>42</v>
      </c>
      <c r="AJ35" s="9">
        <v>1</v>
      </c>
      <c r="AK35" s="53">
        <v>1</v>
      </c>
      <c r="AL35" s="53">
        <v>1</v>
      </c>
      <c r="AM35" s="61">
        <v>1</v>
      </c>
      <c r="AN35" s="78">
        <f t="shared" si="1"/>
        <v>42</v>
      </c>
      <c r="AO35" s="19">
        <f t="shared" si="2"/>
        <v>3.5282516450477135</v>
      </c>
      <c r="AP35" s="7">
        <f t="shared" si="13"/>
        <v>6</v>
      </c>
      <c r="AQ35" s="7">
        <f t="shared" si="14"/>
        <v>42</v>
      </c>
      <c r="AR35" s="6" t="str">
        <f t="shared" si="15"/>
        <v>ok</v>
      </c>
      <c r="AS35" s="7">
        <f t="shared" si="3"/>
        <v>8.6999999999999993</v>
      </c>
      <c r="AT35" s="35">
        <f t="shared" si="23"/>
        <v>60.9</v>
      </c>
      <c r="AU35" s="120" t="str">
        <f t="shared" si="16"/>
        <v>ok</v>
      </c>
      <c r="AV35" s="122" t="s">
        <v>97</v>
      </c>
      <c r="AW35" s="6">
        <f t="shared" si="17"/>
        <v>5</v>
      </c>
      <c r="AX35" s="56">
        <f t="shared" si="6"/>
        <v>0.9</v>
      </c>
      <c r="AY35" s="58">
        <f t="shared" si="7"/>
        <v>0.43588989435406728</v>
      </c>
      <c r="AZ35" s="6">
        <f t="shared" si="4"/>
        <v>2.2499999999999999E-2</v>
      </c>
      <c r="BA35" s="6">
        <v>8.0000000000000007E-5</v>
      </c>
      <c r="BB35" s="35">
        <f t="shared" si="5"/>
        <v>0.17984808291999202</v>
      </c>
      <c r="BC35" s="46">
        <f t="shared" si="8"/>
        <v>7.8194818660866097E-2</v>
      </c>
      <c r="BD35" s="67" t="str">
        <f t="shared" si="18"/>
        <v>ok</v>
      </c>
      <c r="BE35" s="69">
        <f>BC35+$BE$34</f>
        <v>3.069902987261627</v>
      </c>
      <c r="BF35" s="72" t="str">
        <f t="shared" si="19"/>
        <v>ok</v>
      </c>
    </row>
    <row r="36" spans="2:58" x14ac:dyDescent="0.45">
      <c r="B36" s="176" t="s">
        <v>124</v>
      </c>
      <c r="C36" s="177"/>
      <c r="D36" s="178" t="s">
        <v>126</v>
      </c>
      <c r="E36" s="179"/>
      <c r="F36" s="52">
        <v>5.5</v>
      </c>
      <c r="G36" s="53">
        <v>0.88</v>
      </c>
      <c r="H36" s="56">
        <f>F36/G36</f>
        <v>6.25</v>
      </c>
      <c r="I36" s="62">
        <v>400</v>
      </c>
      <c r="J36" s="75">
        <f t="shared" si="24"/>
        <v>9.0210979560879032</v>
      </c>
      <c r="K36" s="12">
        <v>1</v>
      </c>
      <c r="L36" s="8">
        <v>1</v>
      </c>
      <c r="M36" s="8">
        <v>1</v>
      </c>
      <c r="N36" s="103">
        <f t="shared" si="27"/>
        <v>6.25</v>
      </c>
      <c r="O36" s="48">
        <f t="shared" si="10"/>
        <v>9.0210979560879032</v>
      </c>
      <c r="P36" s="106" t="s">
        <v>19</v>
      </c>
      <c r="Q36" s="50">
        <v>10</v>
      </c>
      <c r="R36" s="85">
        <v>1</v>
      </c>
      <c r="S36" s="87">
        <f t="shared" si="20"/>
        <v>10</v>
      </c>
      <c r="T36" s="43">
        <f t="shared" si="11"/>
        <v>14.5</v>
      </c>
      <c r="U36" s="52">
        <v>13</v>
      </c>
      <c r="V36" s="7" t="s">
        <v>44</v>
      </c>
      <c r="W36" s="7" t="s">
        <v>58</v>
      </c>
      <c r="X36" s="11" t="s">
        <v>154</v>
      </c>
      <c r="Y36" s="9" t="s">
        <v>48</v>
      </c>
      <c r="Z36" s="7">
        <v>13</v>
      </c>
      <c r="AA36" s="62" t="s">
        <v>132</v>
      </c>
      <c r="AB36" s="112">
        <v>3</v>
      </c>
      <c r="AC36" s="80">
        <v>4</v>
      </c>
      <c r="AD36" s="81">
        <v>42</v>
      </c>
      <c r="AE36" s="9">
        <v>1</v>
      </c>
      <c r="AF36" s="7">
        <v>1</v>
      </c>
      <c r="AG36" s="7">
        <f t="shared" si="21"/>
        <v>4</v>
      </c>
      <c r="AH36" s="11">
        <f t="shared" si="12"/>
        <v>4</v>
      </c>
      <c r="AI36" s="76">
        <f t="shared" si="22"/>
        <v>42</v>
      </c>
      <c r="AJ36" s="9">
        <v>1</v>
      </c>
      <c r="AK36" s="53">
        <v>1</v>
      </c>
      <c r="AL36" s="53">
        <v>1</v>
      </c>
      <c r="AM36" s="61">
        <v>1</v>
      </c>
      <c r="AN36" s="78">
        <f t="shared" si="1"/>
        <v>42</v>
      </c>
      <c r="AO36" s="19">
        <f t="shared" si="2"/>
        <v>9.0210979560879032</v>
      </c>
      <c r="AP36" s="7">
        <f t="shared" si="13"/>
        <v>10</v>
      </c>
      <c r="AQ36" s="7">
        <f t="shared" si="14"/>
        <v>42</v>
      </c>
      <c r="AR36" s="6" t="str">
        <f t="shared" si="15"/>
        <v>ok</v>
      </c>
      <c r="AS36" s="7">
        <f t="shared" si="3"/>
        <v>14.5</v>
      </c>
      <c r="AT36" s="35">
        <f t="shared" si="23"/>
        <v>60.9</v>
      </c>
      <c r="AU36" s="120" t="str">
        <f t="shared" si="16"/>
        <v>ok</v>
      </c>
      <c r="AV36" s="122" t="s">
        <v>97</v>
      </c>
      <c r="AW36" s="6">
        <f t="shared" si="17"/>
        <v>5</v>
      </c>
      <c r="AX36" s="56">
        <f t="shared" si="6"/>
        <v>0.88</v>
      </c>
      <c r="AY36" s="58">
        <f t="shared" si="7"/>
        <v>0.4749736834815167</v>
      </c>
      <c r="AZ36" s="6">
        <f t="shared" si="4"/>
        <v>2.2499999999999999E-2</v>
      </c>
      <c r="BA36" s="6">
        <v>8.0000000000000007E-5</v>
      </c>
      <c r="BB36" s="35">
        <f t="shared" si="5"/>
        <v>0.58496382896451715</v>
      </c>
      <c r="BC36" s="46">
        <f t="shared" si="8"/>
        <v>0.25433209954979008</v>
      </c>
      <c r="BD36" s="67" t="str">
        <f t="shared" si="18"/>
        <v>ok</v>
      </c>
      <c r="BE36" s="69">
        <f>BC36+$BE$34</f>
        <v>3.2460402681505509</v>
      </c>
      <c r="BF36" s="72" t="str">
        <f t="shared" si="19"/>
        <v>ok</v>
      </c>
    </row>
    <row r="37" spans="2:58" x14ac:dyDescent="0.45">
      <c r="B37" s="176" t="s">
        <v>124</v>
      </c>
      <c r="C37" s="177"/>
      <c r="D37" s="178" t="s">
        <v>127</v>
      </c>
      <c r="E37" s="179"/>
      <c r="F37" s="52">
        <v>4</v>
      </c>
      <c r="G37" s="53">
        <v>0.88</v>
      </c>
      <c r="H37" s="56">
        <f t="shared" ref="H37:H41" si="30">F37/G37</f>
        <v>4.5454545454545459</v>
      </c>
      <c r="I37" s="62">
        <v>400</v>
      </c>
      <c r="J37" s="75">
        <f t="shared" si="24"/>
        <v>6.5607985135184759</v>
      </c>
      <c r="K37" s="12">
        <v>1</v>
      </c>
      <c r="L37" s="3">
        <v>1</v>
      </c>
      <c r="M37" s="8">
        <v>1</v>
      </c>
      <c r="N37" s="103">
        <f t="shared" si="27"/>
        <v>4.5454545454545459</v>
      </c>
      <c r="O37" s="48">
        <f t="shared" si="10"/>
        <v>6.5607985135184759</v>
      </c>
      <c r="P37" s="106" t="s">
        <v>19</v>
      </c>
      <c r="Q37" s="50">
        <v>10</v>
      </c>
      <c r="R37" s="85">
        <v>1</v>
      </c>
      <c r="S37" s="87">
        <f t="shared" si="20"/>
        <v>10</v>
      </c>
      <c r="T37" s="43">
        <f t="shared" si="11"/>
        <v>14.5</v>
      </c>
      <c r="U37" s="52">
        <v>25</v>
      </c>
      <c r="V37" s="7" t="s">
        <v>44</v>
      </c>
      <c r="W37" s="7" t="s">
        <v>58</v>
      </c>
      <c r="X37" s="11" t="s">
        <v>154</v>
      </c>
      <c r="Y37" s="9" t="s">
        <v>48</v>
      </c>
      <c r="Z37" s="7">
        <v>13</v>
      </c>
      <c r="AA37" s="62" t="s">
        <v>132</v>
      </c>
      <c r="AB37" s="112">
        <v>3</v>
      </c>
      <c r="AC37" s="80">
        <v>4</v>
      </c>
      <c r="AD37" s="81">
        <v>42</v>
      </c>
      <c r="AE37" s="9">
        <v>1</v>
      </c>
      <c r="AF37" s="7">
        <v>1</v>
      </c>
      <c r="AG37" s="7">
        <f t="shared" si="21"/>
        <v>4</v>
      </c>
      <c r="AH37" s="11">
        <f t="shared" si="12"/>
        <v>4</v>
      </c>
      <c r="AI37" s="76">
        <f t="shared" si="22"/>
        <v>42</v>
      </c>
      <c r="AJ37" s="9">
        <v>1</v>
      </c>
      <c r="AK37" s="53">
        <v>1</v>
      </c>
      <c r="AL37" s="53">
        <v>1</v>
      </c>
      <c r="AM37" s="61">
        <v>1</v>
      </c>
      <c r="AN37" s="78">
        <f t="shared" si="1"/>
        <v>42</v>
      </c>
      <c r="AO37" s="19">
        <f t="shared" si="2"/>
        <v>6.5607985135184759</v>
      </c>
      <c r="AP37" s="7">
        <f t="shared" si="13"/>
        <v>10</v>
      </c>
      <c r="AQ37" s="7">
        <f t="shared" si="14"/>
        <v>42</v>
      </c>
      <c r="AR37" s="6" t="str">
        <f t="shared" si="15"/>
        <v>ok</v>
      </c>
      <c r="AS37" s="7">
        <f t="shared" si="3"/>
        <v>14.5</v>
      </c>
      <c r="AT37" s="35">
        <f t="shared" si="23"/>
        <v>60.9</v>
      </c>
      <c r="AU37" s="120" t="str">
        <f t="shared" si="16"/>
        <v>ok</v>
      </c>
      <c r="AV37" s="122" t="s">
        <v>97</v>
      </c>
      <c r="AW37" s="6">
        <f t="shared" si="17"/>
        <v>5</v>
      </c>
      <c r="AX37" s="56">
        <f t="shared" si="6"/>
        <v>0.88</v>
      </c>
      <c r="AY37" s="58">
        <f t="shared" si="7"/>
        <v>0.4749736834815167</v>
      </c>
      <c r="AZ37" s="6">
        <f t="shared" si="4"/>
        <v>2.2499999999999999E-2</v>
      </c>
      <c r="BA37" s="6">
        <v>8.0000000000000007E-5</v>
      </c>
      <c r="BB37" s="35">
        <f t="shared" si="5"/>
        <v>0.81813122932100324</v>
      </c>
      <c r="BC37" s="46">
        <f t="shared" si="8"/>
        <v>0.35570923013956662</v>
      </c>
      <c r="BD37" s="67" t="str">
        <f t="shared" si="18"/>
        <v>ok</v>
      </c>
      <c r="BE37" s="69">
        <f>BC37+$BE$34</f>
        <v>3.3474173987403275</v>
      </c>
      <c r="BF37" s="72" t="str">
        <f t="shared" si="19"/>
        <v>ok</v>
      </c>
    </row>
    <row r="38" spans="2:58" x14ac:dyDescent="0.45">
      <c r="B38" s="176" t="s">
        <v>124</v>
      </c>
      <c r="C38" s="177"/>
      <c r="D38" s="178" t="s">
        <v>128</v>
      </c>
      <c r="E38" s="179"/>
      <c r="F38" s="52">
        <v>15</v>
      </c>
      <c r="G38" s="53">
        <v>0.93</v>
      </c>
      <c r="H38" s="56">
        <f t="shared" si="30"/>
        <v>16.129032258064516</v>
      </c>
      <c r="I38" s="62">
        <v>400</v>
      </c>
      <c r="J38" s="75">
        <f t="shared" si="24"/>
        <v>23.280252789904264</v>
      </c>
      <c r="K38" s="12">
        <v>1</v>
      </c>
      <c r="L38" s="8">
        <v>1</v>
      </c>
      <c r="M38" s="8">
        <v>1</v>
      </c>
      <c r="N38" s="103">
        <f t="shared" si="27"/>
        <v>16.129032258064516</v>
      </c>
      <c r="O38" s="48">
        <f t="shared" si="10"/>
        <v>23.280252789904264</v>
      </c>
      <c r="P38" s="106" t="s">
        <v>19</v>
      </c>
      <c r="Q38" s="50">
        <v>25</v>
      </c>
      <c r="R38" s="85">
        <v>1</v>
      </c>
      <c r="S38" s="87">
        <f t="shared" si="20"/>
        <v>25</v>
      </c>
      <c r="T38" s="43">
        <f t="shared" si="11"/>
        <v>36.25</v>
      </c>
      <c r="U38" s="52">
        <v>32</v>
      </c>
      <c r="V38" s="7" t="s">
        <v>44</v>
      </c>
      <c r="W38" s="7" t="s">
        <v>58</v>
      </c>
      <c r="X38" s="11" t="s">
        <v>154</v>
      </c>
      <c r="Y38" s="9" t="s">
        <v>48</v>
      </c>
      <c r="Z38" s="7">
        <v>13</v>
      </c>
      <c r="AA38" s="62" t="s">
        <v>132</v>
      </c>
      <c r="AB38" s="112">
        <v>3</v>
      </c>
      <c r="AC38" s="80">
        <v>4</v>
      </c>
      <c r="AD38" s="81">
        <v>42</v>
      </c>
      <c r="AE38" s="9">
        <v>1</v>
      </c>
      <c r="AF38" s="7">
        <v>1</v>
      </c>
      <c r="AG38" s="7">
        <f t="shared" si="21"/>
        <v>4</v>
      </c>
      <c r="AH38" s="11">
        <f t="shared" si="12"/>
        <v>4</v>
      </c>
      <c r="AI38" s="76">
        <f t="shared" si="22"/>
        <v>42</v>
      </c>
      <c r="AJ38" s="9">
        <v>1</v>
      </c>
      <c r="AK38" s="53">
        <v>1</v>
      </c>
      <c r="AL38" s="53">
        <v>1</v>
      </c>
      <c r="AM38" s="61">
        <v>1</v>
      </c>
      <c r="AN38" s="78">
        <f t="shared" si="1"/>
        <v>42</v>
      </c>
      <c r="AO38" s="19">
        <f t="shared" si="2"/>
        <v>23.280252789904264</v>
      </c>
      <c r="AP38" s="7">
        <f t="shared" si="13"/>
        <v>25</v>
      </c>
      <c r="AQ38" s="7">
        <f t="shared" si="14"/>
        <v>42</v>
      </c>
      <c r="AR38" s="6" t="str">
        <f t="shared" si="15"/>
        <v>ok</v>
      </c>
      <c r="AS38" s="7">
        <f t="shared" si="3"/>
        <v>36.25</v>
      </c>
      <c r="AT38" s="35">
        <f t="shared" si="23"/>
        <v>60.9</v>
      </c>
      <c r="AU38" s="120" t="str">
        <f t="shared" si="16"/>
        <v>ok</v>
      </c>
      <c r="AV38" s="122" t="s">
        <v>97</v>
      </c>
      <c r="AW38" s="6">
        <f t="shared" si="17"/>
        <v>5</v>
      </c>
      <c r="AX38" s="56">
        <f t="shared" si="6"/>
        <v>0.93</v>
      </c>
      <c r="AY38" s="58">
        <f t="shared" si="7"/>
        <v>0.36755951898978195</v>
      </c>
      <c r="AZ38" s="6">
        <f t="shared" si="4"/>
        <v>2.2499999999999999E-2</v>
      </c>
      <c r="BA38" s="6">
        <v>8.0000000000000007E-5</v>
      </c>
      <c r="BB38" s="35">
        <f t="shared" si="5"/>
        <v>3.9190199260345628</v>
      </c>
      <c r="BC38" s="46">
        <f t="shared" si="8"/>
        <v>1.7039217069715489</v>
      </c>
      <c r="BD38" s="67" t="str">
        <f t="shared" si="18"/>
        <v>ok</v>
      </c>
      <c r="BE38" s="69">
        <f>BC38+$BE$34</f>
        <v>4.69562987557231</v>
      </c>
      <c r="BF38" s="72" t="str">
        <f t="shared" si="19"/>
        <v>ok</v>
      </c>
    </row>
    <row r="39" spans="2:58" x14ac:dyDescent="0.45">
      <c r="B39" s="176" t="s">
        <v>124</v>
      </c>
      <c r="C39" s="177"/>
      <c r="D39" s="178" t="s">
        <v>129</v>
      </c>
      <c r="E39" s="179"/>
      <c r="F39" s="59">
        <v>25.1</v>
      </c>
      <c r="G39" s="53">
        <v>0.8</v>
      </c>
      <c r="H39" s="56">
        <f t="shared" si="30"/>
        <v>31.375</v>
      </c>
      <c r="I39" s="62">
        <v>400</v>
      </c>
      <c r="J39" s="75">
        <f t="shared" si="24"/>
        <v>45.285911739561271</v>
      </c>
      <c r="K39" s="12">
        <v>1</v>
      </c>
      <c r="L39" s="3">
        <v>1</v>
      </c>
      <c r="M39" s="8">
        <v>1</v>
      </c>
      <c r="N39" s="103">
        <f t="shared" si="27"/>
        <v>31.375</v>
      </c>
      <c r="O39" s="48">
        <f t="shared" si="10"/>
        <v>45.285911739561271</v>
      </c>
      <c r="P39" s="106" t="s">
        <v>19</v>
      </c>
      <c r="Q39" s="50">
        <v>50</v>
      </c>
      <c r="R39" s="85">
        <v>1</v>
      </c>
      <c r="S39" s="87">
        <f t="shared" si="20"/>
        <v>50</v>
      </c>
      <c r="T39" s="43">
        <f t="shared" si="11"/>
        <v>72.5</v>
      </c>
      <c r="U39" s="52">
        <v>8.5</v>
      </c>
      <c r="V39" s="7" t="s">
        <v>44</v>
      </c>
      <c r="W39" s="7" t="s">
        <v>58</v>
      </c>
      <c r="X39" s="11" t="s">
        <v>158</v>
      </c>
      <c r="Y39" s="9" t="s">
        <v>48</v>
      </c>
      <c r="Z39" s="7">
        <v>13</v>
      </c>
      <c r="AA39" s="62" t="s">
        <v>132</v>
      </c>
      <c r="AB39" s="112">
        <v>3</v>
      </c>
      <c r="AC39" s="80">
        <v>6</v>
      </c>
      <c r="AD39" s="81">
        <v>54</v>
      </c>
      <c r="AE39" s="9">
        <v>1</v>
      </c>
      <c r="AF39" s="7">
        <v>1</v>
      </c>
      <c r="AG39" s="7">
        <f t="shared" si="21"/>
        <v>6</v>
      </c>
      <c r="AH39" s="11">
        <f t="shared" si="12"/>
        <v>6</v>
      </c>
      <c r="AI39" s="76">
        <f t="shared" si="22"/>
        <v>54</v>
      </c>
      <c r="AJ39" s="9">
        <v>1</v>
      </c>
      <c r="AK39" s="53">
        <v>1</v>
      </c>
      <c r="AL39" s="53">
        <v>1</v>
      </c>
      <c r="AM39" s="61">
        <v>1</v>
      </c>
      <c r="AN39" s="78">
        <f t="shared" si="1"/>
        <v>54</v>
      </c>
      <c r="AO39" s="19">
        <f t="shared" si="2"/>
        <v>45.285911739561271</v>
      </c>
      <c r="AP39" s="7">
        <f t="shared" si="13"/>
        <v>50</v>
      </c>
      <c r="AQ39" s="7">
        <f t="shared" si="14"/>
        <v>54</v>
      </c>
      <c r="AR39" s="6" t="str">
        <f t="shared" si="15"/>
        <v>ok</v>
      </c>
      <c r="AS39" s="7">
        <f t="shared" si="3"/>
        <v>72.5</v>
      </c>
      <c r="AT39" s="35">
        <f t="shared" si="23"/>
        <v>78.3</v>
      </c>
      <c r="AU39" s="120" t="str">
        <f t="shared" si="16"/>
        <v>ok</v>
      </c>
      <c r="AV39" s="122" t="s">
        <v>97</v>
      </c>
      <c r="AW39" s="6">
        <f t="shared" si="17"/>
        <v>5</v>
      </c>
      <c r="AX39" s="56">
        <f t="shared" si="6"/>
        <v>0.8</v>
      </c>
      <c r="AY39" s="58">
        <f t="shared" si="7"/>
        <v>0.59999999999999987</v>
      </c>
      <c r="AZ39" s="6">
        <f t="shared" si="4"/>
        <v>2.2499999999999999E-2</v>
      </c>
      <c r="BA39" s="6">
        <v>8.0000000000000007E-5</v>
      </c>
      <c r="BB39" s="35">
        <f t="shared" si="5"/>
        <v>1.1732674013485533</v>
      </c>
      <c r="BC39" s="46">
        <f t="shared" si="8"/>
        <v>0.51011626145589273</v>
      </c>
      <c r="BD39" s="67" t="str">
        <f t="shared" si="18"/>
        <v>ok</v>
      </c>
      <c r="BE39" s="69">
        <f>BC39+$BE$34</f>
        <v>3.5018244300566534</v>
      </c>
      <c r="BF39" s="72" t="str">
        <f t="shared" si="19"/>
        <v>ok</v>
      </c>
    </row>
    <row r="40" spans="2:58" x14ac:dyDescent="0.45">
      <c r="B40" s="176" t="s">
        <v>105</v>
      </c>
      <c r="C40" s="177"/>
      <c r="D40" s="178" t="s">
        <v>130</v>
      </c>
      <c r="E40" s="179"/>
      <c r="F40" s="59">
        <v>6.5</v>
      </c>
      <c r="G40" s="53">
        <v>0.8</v>
      </c>
      <c r="H40" s="56">
        <f t="shared" si="30"/>
        <v>8.125</v>
      </c>
      <c r="I40" s="62">
        <v>400</v>
      </c>
      <c r="J40" s="75">
        <f t="shared" si="24"/>
        <v>11.727427342914273</v>
      </c>
      <c r="K40" s="12">
        <v>1</v>
      </c>
      <c r="L40" s="8">
        <v>1</v>
      </c>
      <c r="M40" s="8">
        <v>1</v>
      </c>
      <c r="N40" s="103">
        <f t="shared" si="27"/>
        <v>8.125</v>
      </c>
      <c r="O40" s="48">
        <f t="shared" si="10"/>
        <v>11.727427342914273</v>
      </c>
      <c r="P40" s="106" t="s">
        <v>19</v>
      </c>
      <c r="Q40" s="50">
        <v>16</v>
      </c>
      <c r="R40" s="85">
        <v>1</v>
      </c>
      <c r="S40" s="87">
        <f t="shared" si="20"/>
        <v>16</v>
      </c>
      <c r="T40" s="43">
        <f t="shared" si="11"/>
        <v>23.2</v>
      </c>
      <c r="U40" s="52">
        <v>9</v>
      </c>
      <c r="V40" s="7" t="s">
        <v>44</v>
      </c>
      <c r="W40" s="7" t="s">
        <v>58</v>
      </c>
      <c r="X40" s="11" t="s">
        <v>154</v>
      </c>
      <c r="Y40" s="9" t="s">
        <v>48</v>
      </c>
      <c r="Z40" s="7">
        <v>13</v>
      </c>
      <c r="AA40" s="62" t="s">
        <v>132</v>
      </c>
      <c r="AB40" s="112">
        <v>3</v>
      </c>
      <c r="AC40" s="80">
        <v>4</v>
      </c>
      <c r="AD40" s="81">
        <v>42</v>
      </c>
      <c r="AE40" s="9">
        <v>1</v>
      </c>
      <c r="AF40" s="7">
        <v>1</v>
      </c>
      <c r="AG40" s="7">
        <f t="shared" si="21"/>
        <v>4</v>
      </c>
      <c r="AH40" s="11">
        <f t="shared" si="12"/>
        <v>4</v>
      </c>
      <c r="AI40" s="76">
        <f t="shared" si="22"/>
        <v>42</v>
      </c>
      <c r="AJ40" s="9">
        <v>1</v>
      </c>
      <c r="AK40" s="53">
        <v>1</v>
      </c>
      <c r="AL40" s="53">
        <v>1</v>
      </c>
      <c r="AM40" s="61">
        <v>1</v>
      </c>
      <c r="AN40" s="78">
        <f t="shared" si="1"/>
        <v>42</v>
      </c>
      <c r="AO40" s="19">
        <f t="shared" si="2"/>
        <v>11.727427342914273</v>
      </c>
      <c r="AP40" s="7">
        <f t="shared" si="13"/>
        <v>16</v>
      </c>
      <c r="AQ40" s="7">
        <f t="shared" si="14"/>
        <v>42</v>
      </c>
      <c r="AR40" s="6" t="str">
        <f t="shared" si="15"/>
        <v>ok</v>
      </c>
      <c r="AS40" s="7">
        <f t="shared" si="3"/>
        <v>23.2</v>
      </c>
      <c r="AT40" s="35">
        <f t="shared" si="23"/>
        <v>60.9</v>
      </c>
      <c r="AU40" s="120" t="str">
        <f t="shared" si="16"/>
        <v>ok</v>
      </c>
      <c r="AV40" s="122" t="s">
        <v>97</v>
      </c>
      <c r="AW40" s="6">
        <f t="shared" si="17"/>
        <v>5</v>
      </c>
      <c r="AX40" s="56">
        <f t="shared" si="6"/>
        <v>0.8</v>
      </c>
      <c r="AY40" s="58">
        <f t="shared" si="7"/>
        <v>0.59999999999999987</v>
      </c>
      <c r="AZ40" s="6">
        <f t="shared" si="4"/>
        <v>2.2499999999999999E-2</v>
      </c>
      <c r="BA40" s="6">
        <v>8.0000000000000007E-5</v>
      </c>
      <c r="BB40" s="35">
        <f t="shared" si="5"/>
        <v>0.4800270560001671</v>
      </c>
      <c r="BC40" s="46">
        <f t="shared" si="8"/>
        <v>0.20870741565224654</v>
      </c>
      <c r="BD40" s="67" t="str">
        <f t="shared" si="18"/>
        <v>ok</v>
      </c>
      <c r="BE40" s="69">
        <f>BC40+$BE$15</f>
        <v>1.4400928652887066</v>
      </c>
      <c r="BF40" s="72" t="str">
        <f t="shared" si="19"/>
        <v>ok</v>
      </c>
    </row>
    <row r="41" spans="2:58" ht="14.65" thickBot="1" x14ac:dyDescent="0.5">
      <c r="B41" s="214" t="s">
        <v>105</v>
      </c>
      <c r="C41" s="215"/>
      <c r="D41" s="216" t="s">
        <v>131</v>
      </c>
      <c r="E41" s="217"/>
      <c r="F41" s="60">
        <v>3.2</v>
      </c>
      <c r="G41" s="55">
        <v>0.8</v>
      </c>
      <c r="H41" s="57">
        <f t="shared" si="30"/>
        <v>4</v>
      </c>
      <c r="I41" s="63">
        <v>400</v>
      </c>
      <c r="J41" s="49">
        <f t="shared" si="24"/>
        <v>5.7735026918962582</v>
      </c>
      <c r="K41" s="64">
        <v>1</v>
      </c>
      <c r="L41" s="8">
        <v>1</v>
      </c>
      <c r="M41" s="65">
        <v>1</v>
      </c>
      <c r="N41" s="104">
        <f t="shared" si="27"/>
        <v>4</v>
      </c>
      <c r="O41" s="84">
        <f t="shared" si="10"/>
        <v>5.7735026918962582</v>
      </c>
      <c r="P41" s="107" t="s">
        <v>19</v>
      </c>
      <c r="Q41" s="51">
        <v>6</v>
      </c>
      <c r="R41" s="86">
        <v>1</v>
      </c>
      <c r="S41" s="88">
        <f t="shared" si="20"/>
        <v>6</v>
      </c>
      <c r="T41" s="45">
        <f t="shared" si="11"/>
        <v>8.6999999999999993</v>
      </c>
      <c r="U41" s="54">
        <v>30</v>
      </c>
      <c r="V41" s="18" t="s">
        <v>44</v>
      </c>
      <c r="W41" s="18" t="s">
        <v>58</v>
      </c>
      <c r="X41" s="11" t="s">
        <v>154</v>
      </c>
      <c r="Y41" s="39" t="s">
        <v>81</v>
      </c>
      <c r="Z41" s="18">
        <v>11</v>
      </c>
      <c r="AA41" s="63" t="s">
        <v>145</v>
      </c>
      <c r="AB41" s="113">
        <v>3</v>
      </c>
      <c r="AC41" s="82">
        <v>4</v>
      </c>
      <c r="AD41" s="83">
        <v>40</v>
      </c>
      <c r="AE41" s="39">
        <v>1</v>
      </c>
      <c r="AF41" s="18">
        <v>1</v>
      </c>
      <c r="AG41" s="18">
        <f t="shared" si="21"/>
        <v>4</v>
      </c>
      <c r="AH41" s="99">
        <f t="shared" si="12"/>
        <v>4</v>
      </c>
      <c r="AI41" s="77">
        <f t="shared" si="22"/>
        <v>40</v>
      </c>
      <c r="AJ41" s="39">
        <v>1</v>
      </c>
      <c r="AK41" s="55">
        <v>1</v>
      </c>
      <c r="AL41" s="55">
        <v>1</v>
      </c>
      <c r="AM41" s="116">
        <v>1</v>
      </c>
      <c r="AN41" s="79">
        <f t="shared" si="1"/>
        <v>40</v>
      </c>
      <c r="AO41" s="20">
        <f t="shared" si="2"/>
        <v>5.7735026918962582</v>
      </c>
      <c r="AP41" s="18">
        <f t="shared" si="13"/>
        <v>6</v>
      </c>
      <c r="AQ41" s="18">
        <f t="shared" si="14"/>
        <v>40</v>
      </c>
      <c r="AR41" s="10" t="str">
        <f t="shared" si="15"/>
        <v>ok</v>
      </c>
      <c r="AS41" s="18">
        <f t="shared" si="3"/>
        <v>8.6999999999999993</v>
      </c>
      <c r="AT41" s="44">
        <f t="shared" si="23"/>
        <v>58</v>
      </c>
      <c r="AU41" s="121" t="str">
        <f t="shared" si="16"/>
        <v>ok</v>
      </c>
      <c r="AV41" s="133" t="s">
        <v>97</v>
      </c>
      <c r="AW41" s="10">
        <f t="shared" si="17"/>
        <v>5</v>
      </c>
      <c r="AX41" s="57">
        <f t="shared" si="6"/>
        <v>0.8</v>
      </c>
      <c r="AY41" s="134">
        <f t="shared" si="7"/>
        <v>0.59999999999999987</v>
      </c>
      <c r="AZ41" s="10">
        <f t="shared" si="4"/>
        <v>2.2499999999999999E-2</v>
      </c>
      <c r="BA41" s="10">
        <v>8.0000000000000007E-5</v>
      </c>
      <c r="BB41" s="44">
        <f t="shared" si="5"/>
        <v>0.78773670728232537</v>
      </c>
      <c r="BC41" s="47">
        <f t="shared" si="8"/>
        <v>0.34249422055753276</v>
      </c>
      <c r="BD41" s="70" t="str">
        <f t="shared" si="18"/>
        <v>ok</v>
      </c>
      <c r="BE41" s="71">
        <f>BC41+$BE$15</f>
        <v>1.5738796701939928</v>
      </c>
      <c r="BF41" s="73" t="str">
        <f t="shared" si="19"/>
        <v>ok</v>
      </c>
    </row>
    <row r="46" spans="2:58" ht="14.65" thickBot="1" x14ac:dyDescent="0.5"/>
    <row r="47" spans="2:58" ht="14.65" thickBot="1" x14ac:dyDescent="0.5">
      <c r="G47" s="129" t="s">
        <v>146</v>
      </c>
      <c r="H47" s="130" t="s">
        <v>147</v>
      </c>
      <c r="I47" s="130" t="s">
        <v>148</v>
      </c>
      <c r="J47" s="130" t="s">
        <v>149</v>
      </c>
      <c r="K47" s="131" t="s">
        <v>150</v>
      </c>
    </row>
    <row r="48" spans="2:58" ht="14.65" thickBot="1" x14ac:dyDescent="0.5">
      <c r="F48" s="132" t="s">
        <v>151</v>
      </c>
      <c r="G48" s="2">
        <v>1.2</v>
      </c>
      <c r="H48" s="2">
        <v>0.75</v>
      </c>
      <c r="I48" s="128">
        <v>201.21</v>
      </c>
      <c r="J48" s="2">
        <f>(I48*G48)/H48</f>
        <v>321.93599999999998</v>
      </c>
      <c r="K48" s="2">
        <v>400</v>
      </c>
    </row>
    <row r="82" spans="12:12" x14ac:dyDescent="0.45">
      <c r="L82" t="s">
        <v>159</v>
      </c>
    </row>
  </sheetData>
  <mergeCells count="126">
    <mergeCell ref="B10:C10"/>
    <mergeCell ref="D10:E10"/>
    <mergeCell ref="B2:BF3"/>
    <mergeCell ref="K5:O7"/>
    <mergeCell ref="K8:K9"/>
    <mergeCell ref="L8:L9"/>
    <mergeCell ref="M8:M9"/>
    <mergeCell ref="N8:N9"/>
    <mergeCell ref="O8:O9"/>
    <mergeCell ref="BE8:BE9"/>
    <mergeCell ref="AV8:AV9"/>
    <mergeCell ref="AW8:AW9"/>
    <mergeCell ref="AX8:AX9"/>
    <mergeCell ref="AY8:AY9"/>
    <mergeCell ref="AZ8:AZ9"/>
    <mergeCell ref="BD8:BD9"/>
    <mergeCell ref="AV5:BF7"/>
    <mergeCell ref="BF8:BF9"/>
    <mergeCell ref="AJ8:AM8"/>
    <mergeCell ref="S8:S9"/>
    <mergeCell ref="T8:T9"/>
    <mergeCell ref="B5:E7"/>
    <mergeCell ref="F5:J7"/>
    <mergeCell ref="P5:T7"/>
    <mergeCell ref="B41:C41"/>
    <mergeCell ref="D41:E41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2:C12"/>
    <mergeCell ref="D12:E12"/>
    <mergeCell ref="B13:C13"/>
    <mergeCell ref="D13:E13"/>
    <mergeCell ref="B11:C11"/>
    <mergeCell ref="D11:E11"/>
    <mergeCell ref="G8:G9"/>
    <mergeCell ref="BB8:BB9"/>
    <mergeCell ref="BC8:BC9"/>
    <mergeCell ref="AO5:AU7"/>
    <mergeCell ref="AO8:AO9"/>
    <mergeCell ref="AP8:AP9"/>
    <mergeCell ref="AQ8:AQ9"/>
    <mergeCell ref="AR8:AR9"/>
    <mergeCell ref="AS8:AS9"/>
    <mergeCell ref="AT8:AT9"/>
    <mergeCell ref="AU8:AU9"/>
    <mergeCell ref="BA8:BA9"/>
    <mergeCell ref="AB5:AN7"/>
    <mergeCell ref="AB8:AB9"/>
    <mergeCell ref="AC8:AC9"/>
    <mergeCell ref="AD8:AD9"/>
    <mergeCell ref="AE8:AE9"/>
    <mergeCell ref="AF8:AF9"/>
    <mergeCell ref="AG8:AG9"/>
    <mergeCell ref="AH8:AH9"/>
    <mergeCell ref="AI8:AI9"/>
    <mergeCell ref="AN8:AN9"/>
    <mergeCell ref="R8:R9"/>
    <mergeCell ref="H8:H9"/>
    <mergeCell ref="I8:I9"/>
    <mergeCell ref="J8:J9"/>
    <mergeCell ref="P8:P9"/>
    <mergeCell ref="Q8:Q9"/>
    <mergeCell ref="B8:C9"/>
    <mergeCell ref="D8:E9"/>
    <mergeCell ref="F8:F9"/>
    <mergeCell ref="Y8:Y9"/>
    <mergeCell ref="Z8:Z9"/>
    <mergeCell ref="AA8:AA9"/>
    <mergeCell ref="Y5:AA7"/>
    <mergeCell ref="U8:U9"/>
    <mergeCell ref="V8:V9"/>
    <mergeCell ref="W8:W9"/>
    <mergeCell ref="X8:X9"/>
    <mergeCell ref="U5:X7"/>
  </mergeCells>
  <phoneticPr fontId="13" type="noConversion"/>
  <conditionalFormatting sqref="AR10:AR41">
    <cfRule type="containsText" dxfId="7" priority="8" operator="containsText" text="nok">
      <formula>NOT(ISERROR(SEARCH("nok",AR10)))</formula>
    </cfRule>
    <cfRule type="containsText" dxfId="6" priority="11" operator="containsText" text="ok">
      <formula>NOT(ISERROR(SEARCH("ok",AR10)))</formula>
    </cfRule>
  </conditionalFormatting>
  <conditionalFormatting sqref="AU10:AU41">
    <cfRule type="containsText" dxfId="5" priority="6" operator="containsText" text="nok">
      <formula>NOT(ISERROR(SEARCH("nok",AU10)))</formula>
    </cfRule>
    <cfRule type="containsText" dxfId="4" priority="7" operator="containsText" text="ok">
      <formula>NOT(ISERROR(SEARCH("ok",AU10)))</formula>
    </cfRule>
  </conditionalFormatting>
  <conditionalFormatting sqref="BD10:BD41">
    <cfRule type="containsText" dxfId="3" priority="3" operator="containsText" text="nok">
      <formula>NOT(ISERROR(SEARCH("nok",BD10)))</formula>
    </cfRule>
    <cfRule type="containsText" dxfId="2" priority="4" operator="containsText" text="ok">
      <formula>NOT(ISERROR(SEARCH("ok",BD10)))</formula>
    </cfRule>
  </conditionalFormatting>
  <conditionalFormatting sqref="BF10:BF41">
    <cfRule type="containsText" dxfId="1" priority="1" operator="containsText" text="nok">
      <formula>NOT(ISERROR(SEARCH("nok",BF10)))</formula>
    </cfRule>
    <cfRule type="containsText" dxfId="0" priority="2" operator="containsText" text="ok">
      <formula>NOT(ISERROR(SEARCH("ok",BF10)))</formula>
    </cfRule>
  </conditionalFormatting>
  <dataValidations disablePrompts="1" count="1">
    <dataValidation type="list" allowBlank="1" showInputMessage="1" showErrorMessage="1" sqref="Z10:Z41" xr:uid="{F4F315A7-5B4A-402F-9A66-773EF8D0540F}">
      <formula1>INDIRECT(Y10)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showInputMessage="1" showErrorMessage="1" xr:uid="{2053D943-EB9D-4A2C-8019-C28ABE5FD7F9}">
          <x14:formula1>
            <xm:f>'Auxiliares-D'!$B$3:$B$4</xm:f>
          </x14:formula1>
          <xm:sqref>F1 Q1 I10:I41</xm:sqref>
        </x14:dataValidation>
        <x14:dataValidation type="list" allowBlank="1" showInputMessage="1" showErrorMessage="1" xr:uid="{4BB44E3C-F9AD-4254-840B-250E73E62300}">
          <x14:formula1>
            <xm:f>'Auxiliares-D'!$D$3:$D$30</xm:f>
          </x14:formula1>
          <xm:sqref>Q10:Q41</xm:sqref>
        </x14:dataValidation>
        <x14:dataValidation type="list" allowBlank="1" showInputMessage="1" showErrorMessage="1" xr:uid="{06755850-DEA8-4FFE-B13C-BE8DFE4F1E91}">
          <x14:formula1>
            <xm:f>'Auxiliares-D'!$F$3:$F$5</xm:f>
          </x14:formula1>
          <xm:sqref>P10:P41</xm:sqref>
        </x14:dataValidation>
        <x14:dataValidation type="list" allowBlank="1" showInputMessage="1" showErrorMessage="1" xr:uid="{AF48C23B-93F5-40E3-A7E4-771C3A751CEC}">
          <x14:formula1>
            <xm:f>'Auxiliares-D'!$L$4:$L$10</xm:f>
          </x14:formula1>
          <xm:sqref>AV10:AV41</xm:sqref>
        </x14:dataValidation>
        <x14:dataValidation type="list" allowBlank="1" showInputMessage="1" showErrorMessage="1" xr:uid="{BFFA7447-DB04-4BB7-B928-568BD1B4717F}">
          <x14:formula1>
            <xm:f>'Auxiliares-D'!$U$3:$AC$3</xm:f>
          </x14:formula1>
          <xm:sqref>Y10:Y41</xm:sqref>
        </x14:dataValidation>
        <x14:dataValidation type="list" allowBlank="1" showInputMessage="1" showErrorMessage="1" xr:uid="{2E6FC0BF-11BC-40DB-877B-C511249FD49E}">
          <x14:formula1>
            <xm:f>'Auxiliares-D'!$R$4:$R$5</xm:f>
          </x14:formula1>
          <xm:sqref>V10:V41</xm:sqref>
        </x14:dataValidation>
        <x14:dataValidation type="list" allowBlank="1" showInputMessage="1" showErrorMessage="1" xr:uid="{4AFF6A54-2372-490D-94DA-80EB0C8A9169}">
          <x14:formula1>
            <xm:f>'Auxiliares-D'!$R$9:$R$11</xm:f>
          </x14:formula1>
          <xm:sqref>W10:W41</xm:sqref>
        </x14:dataValidation>
        <x14:dataValidation type="list" allowBlank="1" showInputMessage="1" showErrorMessage="1" xr:uid="{05F1F391-4488-4255-9D28-DD021E2A0EB8}">
          <x14:formula1>
            <xm:f>'Auxiliares-D'!$AE$3:$AE$25</xm:f>
          </x14:formula1>
          <xm:sqref>AC10:AC41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3615-5E18-486D-954F-B8AC710D64FA}">
  <dimension ref="B2:AL30"/>
  <sheetViews>
    <sheetView zoomScale="70" zoomScaleNormal="70" workbookViewId="0"/>
  </sheetViews>
  <sheetFormatPr defaultRowHeight="14.25" x14ac:dyDescent="0.45"/>
  <cols>
    <col min="1" max="1" width="5.53125" customWidth="1"/>
    <col min="3" max="3" width="7" customWidth="1"/>
    <col min="6" max="6" width="13.86328125" customWidth="1"/>
    <col min="10" max="10" width="16.19921875" customWidth="1"/>
    <col min="11" max="11" width="9.46484375" customWidth="1"/>
    <col min="18" max="18" width="12.1328125" customWidth="1"/>
    <col min="19" max="19" width="15.46484375" customWidth="1"/>
    <col min="21" max="21" width="8.796875" customWidth="1"/>
    <col min="22" max="22" width="7.796875" customWidth="1"/>
    <col min="31" max="31" width="20.86328125" customWidth="1"/>
    <col min="32" max="32" width="13.46484375" customWidth="1"/>
    <col min="33" max="33" width="18.1328125" customWidth="1"/>
    <col min="34" max="34" width="30.1328125" customWidth="1"/>
    <col min="35" max="35" width="19.86328125" customWidth="1"/>
    <col min="36" max="36" width="18.86328125" customWidth="1"/>
    <col min="37" max="37" width="15.19921875" customWidth="1"/>
    <col min="38" max="38" width="24.19921875" customWidth="1"/>
  </cols>
  <sheetData>
    <row r="2" spans="2:38" ht="28.5" x14ac:dyDescent="0.45">
      <c r="B2" s="1" t="s">
        <v>14</v>
      </c>
      <c r="D2" s="1" t="s">
        <v>15</v>
      </c>
      <c r="F2" s="41" t="s">
        <v>84</v>
      </c>
      <c r="H2" s="276" t="s">
        <v>18</v>
      </c>
      <c r="I2" s="276"/>
      <c r="J2" s="40"/>
      <c r="L2" s="277" t="s">
        <v>41</v>
      </c>
      <c r="M2" s="278"/>
      <c r="N2" s="278"/>
      <c r="O2" s="279"/>
      <c r="R2" s="276" t="s">
        <v>55</v>
      </c>
      <c r="S2" s="276"/>
      <c r="U2" s="276" t="s">
        <v>54</v>
      </c>
      <c r="V2" s="276"/>
      <c r="W2" s="276"/>
      <c r="X2" s="276"/>
      <c r="Y2" s="276"/>
      <c r="Z2" s="276"/>
      <c r="AA2" s="276"/>
      <c r="AB2" s="276"/>
      <c r="AC2" s="276"/>
      <c r="AE2" s="41" t="s">
        <v>83</v>
      </c>
      <c r="AG2" s="275" t="s">
        <v>99</v>
      </c>
      <c r="AH2" s="275"/>
      <c r="AI2" s="91"/>
      <c r="AJ2" s="91"/>
      <c r="AK2" s="91"/>
      <c r="AL2" s="91"/>
    </row>
    <row r="3" spans="2:38" ht="14.45" customHeight="1" x14ac:dyDescent="0.45">
      <c r="B3" s="2">
        <v>230</v>
      </c>
      <c r="D3" s="2">
        <v>2</v>
      </c>
      <c r="F3" s="13" t="s">
        <v>19</v>
      </c>
      <c r="H3" s="5" t="s">
        <v>19</v>
      </c>
      <c r="I3" s="2" t="s">
        <v>25</v>
      </c>
      <c r="L3" s="280"/>
      <c r="M3" s="281"/>
      <c r="N3" s="281"/>
      <c r="O3" s="282"/>
      <c r="P3" s="21" t="s">
        <v>42</v>
      </c>
      <c r="R3" s="28" t="s">
        <v>56</v>
      </c>
      <c r="S3" s="28" t="s">
        <v>45</v>
      </c>
      <c r="U3" s="37" t="s">
        <v>46</v>
      </c>
      <c r="V3" s="37" t="s">
        <v>79</v>
      </c>
      <c r="W3" s="37" t="s">
        <v>47</v>
      </c>
      <c r="X3" s="37" t="s">
        <v>80</v>
      </c>
      <c r="Y3" s="37" t="s">
        <v>81</v>
      </c>
      <c r="Z3" s="37" t="s">
        <v>19</v>
      </c>
      <c r="AA3" s="37" t="s">
        <v>48</v>
      </c>
      <c r="AB3" s="37" t="s">
        <v>21</v>
      </c>
      <c r="AC3" s="37" t="s">
        <v>49</v>
      </c>
      <c r="AE3" s="2">
        <v>0.5</v>
      </c>
      <c r="AG3" s="95" t="s">
        <v>141</v>
      </c>
      <c r="AH3" s="95" t="s">
        <v>142</v>
      </c>
      <c r="AI3" s="91"/>
      <c r="AJ3" s="91"/>
      <c r="AK3" s="91"/>
      <c r="AL3" s="91"/>
    </row>
    <row r="4" spans="2:38" x14ac:dyDescent="0.45">
      <c r="B4" s="2">
        <v>400</v>
      </c>
      <c r="D4" s="2">
        <v>4</v>
      </c>
      <c r="F4" s="13" t="s">
        <v>20</v>
      </c>
      <c r="H4" s="5" t="s">
        <v>20</v>
      </c>
      <c r="I4" s="2" t="s">
        <v>26</v>
      </c>
      <c r="L4" s="24" t="s">
        <v>93</v>
      </c>
      <c r="M4" s="25"/>
      <c r="N4" s="25"/>
      <c r="O4" s="25"/>
      <c r="P4" s="22">
        <v>6</v>
      </c>
      <c r="R4" s="30" t="s">
        <v>43</v>
      </c>
      <c r="S4" s="42">
        <v>3.5999999999999997E-2</v>
      </c>
      <c r="U4" s="36">
        <v>1</v>
      </c>
      <c r="V4" s="36">
        <v>2</v>
      </c>
      <c r="W4" s="36">
        <v>3</v>
      </c>
      <c r="X4" s="36">
        <v>4</v>
      </c>
      <c r="Y4" s="36">
        <v>5</v>
      </c>
      <c r="Z4" s="36">
        <v>61</v>
      </c>
      <c r="AA4" s="36">
        <v>13</v>
      </c>
      <c r="AB4" s="36">
        <v>13</v>
      </c>
      <c r="AC4" s="36">
        <v>14</v>
      </c>
      <c r="AE4" s="2">
        <v>0.75</v>
      </c>
      <c r="AG4" s="96" t="str">
        <f>A[[#Headers],[A]]</f>
        <v>A</v>
      </c>
      <c r="AH4" s="96"/>
      <c r="AI4" s="92"/>
      <c r="AJ4" s="92"/>
      <c r="AK4" s="92"/>
      <c r="AL4" s="92"/>
    </row>
    <row r="5" spans="2:38" x14ac:dyDescent="0.45">
      <c r="D5" s="2">
        <v>6</v>
      </c>
      <c r="F5" s="13" t="s">
        <v>21</v>
      </c>
      <c r="H5" s="5" t="s">
        <v>21</v>
      </c>
      <c r="I5" s="2" t="s">
        <v>27</v>
      </c>
      <c r="J5" s="4" t="s">
        <v>24</v>
      </c>
      <c r="L5" s="24" t="s">
        <v>98</v>
      </c>
      <c r="M5" s="25"/>
      <c r="N5" s="25"/>
      <c r="O5" s="25"/>
      <c r="P5" s="22">
        <v>8</v>
      </c>
      <c r="R5" s="30" t="s">
        <v>44</v>
      </c>
      <c r="S5" s="42">
        <v>2.2499999999999999E-2</v>
      </c>
      <c r="U5" s="36">
        <v>51</v>
      </c>
      <c r="V5" s="38">
        <v>72</v>
      </c>
      <c r="W5" s="36">
        <v>21</v>
      </c>
      <c r="X5" s="36">
        <v>21</v>
      </c>
      <c r="Y5" s="36">
        <v>11</v>
      </c>
      <c r="Z5" s="36">
        <v>62</v>
      </c>
      <c r="AA5" s="36">
        <v>14</v>
      </c>
      <c r="AB5" s="36">
        <v>14</v>
      </c>
      <c r="AC5" s="36">
        <v>15</v>
      </c>
      <c r="AE5" s="2">
        <v>1</v>
      </c>
      <c r="AG5" s="96" t="str">
        <f>A2_[[#Headers],[A2_]]</f>
        <v>A2_</v>
      </c>
      <c r="AH5" s="2"/>
      <c r="AI5" s="93"/>
      <c r="AJ5" s="93"/>
      <c r="AK5" s="93"/>
      <c r="AL5" s="93"/>
    </row>
    <row r="6" spans="2:38" x14ac:dyDescent="0.45">
      <c r="D6" s="2">
        <v>10</v>
      </c>
      <c r="H6" s="5" t="s">
        <v>21</v>
      </c>
      <c r="I6" s="2" t="s">
        <v>28</v>
      </c>
      <c r="J6" s="4" t="s">
        <v>23</v>
      </c>
      <c r="L6" s="24" t="s">
        <v>94</v>
      </c>
      <c r="M6" s="25"/>
      <c r="N6" s="25"/>
      <c r="O6" s="25"/>
      <c r="P6" s="22">
        <v>3</v>
      </c>
      <c r="U6" s="36">
        <v>71</v>
      </c>
      <c r="V6" s="29"/>
      <c r="W6" s="36">
        <v>22</v>
      </c>
      <c r="X6" s="36">
        <v>22</v>
      </c>
      <c r="Y6" s="36" t="s">
        <v>51</v>
      </c>
      <c r="Z6" s="38">
        <v>63</v>
      </c>
      <c r="AA6" s="36">
        <v>15</v>
      </c>
      <c r="AB6" s="36">
        <v>15</v>
      </c>
      <c r="AC6" s="36">
        <v>16</v>
      </c>
      <c r="AE6" s="2">
        <v>1.5</v>
      </c>
      <c r="AG6" s="97" t="str">
        <f>B[[#Headers],[B]]</f>
        <v>B</v>
      </c>
      <c r="AH6" s="98"/>
      <c r="AI6" s="15"/>
      <c r="AJ6" s="15"/>
      <c r="AK6" s="15"/>
      <c r="AL6" s="15"/>
    </row>
    <row r="7" spans="2:38" x14ac:dyDescent="0.45">
      <c r="D7" s="2">
        <v>16</v>
      </c>
      <c r="H7" s="5" t="s">
        <v>21</v>
      </c>
      <c r="I7" s="2" t="s">
        <v>29</v>
      </c>
      <c r="J7" s="4" t="s">
        <v>22</v>
      </c>
      <c r="L7" s="24" t="s">
        <v>97</v>
      </c>
      <c r="M7" s="25"/>
      <c r="N7" s="25"/>
      <c r="O7" s="25"/>
      <c r="P7" s="22">
        <v>5</v>
      </c>
      <c r="U7" s="36">
        <v>73</v>
      </c>
      <c r="V7" s="29"/>
      <c r="W7" s="36">
        <v>23</v>
      </c>
      <c r="X7" s="36">
        <v>23</v>
      </c>
      <c r="Y7" s="36">
        <v>12</v>
      </c>
      <c r="Z7" s="29"/>
      <c r="AA7" s="36">
        <v>16</v>
      </c>
      <c r="AB7" s="38">
        <v>16</v>
      </c>
      <c r="AC7" s="36">
        <v>17</v>
      </c>
      <c r="AE7" s="2">
        <v>2.5</v>
      </c>
      <c r="AG7" s="97" t="str">
        <f>B2_[[#Headers],[B2_]]</f>
        <v>B2_</v>
      </c>
      <c r="AH7" s="6"/>
      <c r="AI7" s="15"/>
      <c r="AJ7" s="15"/>
      <c r="AK7" s="15"/>
      <c r="AL7" s="15"/>
    </row>
    <row r="8" spans="2:38" x14ac:dyDescent="0.45">
      <c r="D8" s="2">
        <v>20</v>
      </c>
      <c r="L8" s="24" t="s">
        <v>82</v>
      </c>
      <c r="M8" s="25"/>
      <c r="N8" s="25"/>
      <c r="O8" s="25"/>
      <c r="P8" s="22">
        <v>1</v>
      </c>
      <c r="R8" s="276" t="s">
        <v>57</v>
      </c>
      <c r="S8" s="276"/>
      <c r="U8" s="38">
        <v>74</v>
      </c>
      <c r="V8" s="29"/>
      <c r="W8" s="36">
        <v>24</v>
      </c>
      <c r="X8" s="36">
        <v>24</v>
      </c>
      <c r="Y8" s="36">
        <v>52</v>
      </c>
      <c r="Z8" s="29"/>
      <c r="AA8" s="38">
        <v>17</v>
      </c>
      <c r="AB8" s="29"/>
      <c r="AC8" s="38">
        <v>18</v>
      </c>
      <c r="AE8" s="2">
        <v>4</v>
      </c>
      <c r="AG8" s="96" t="str">
        <f>C_[[#Headers],[C_]]</f>
        <v>C_</v>
      </c>
      <c r="AH8" s="98"/>
      <c r="AI8" s="93"/>
      <c r="AJ8" s="93"/>
      <c r="AK8" s="93"/>
      <c r="AL8" s="93"/>
    </row>
    <row r="9" spans="2:38" x14ac:dyDescent="0.45">
      <c r="D9" s="2">
        <v>25</v>
      </c>
      <c r="L9" s="24" t="s">
        <v>95</v>
      </c>
      <c r="M9" s="25"/>
      <c r="N9" s="25"/>
      <c r="O9" s="25"/>
      <c r="P9" s="22">
        <v>0.5</v>
      </c>
      <c r="R9" s="31" t="s">
        <v>50</v>
      </c>
      <c r="S9" s="32"/>
      <c r="U9" s="29"/>
      <c r="V9" s="29"/>
      <c r="W9" s="36">
        <v>25</v>
      </c>
      <c r="X9" s="36">
        <v>25</v>
      </c>
      <c r="Y9" s="38">
        <v>53</v>
      </c>
      <c r="Z9" s="29"/>
      <c r="AA9" s="29"/>
      <c r="AB9" s="29"/>
      <c r="AC9" s="29"/>
      <c r="AE9" s="2">
        <v>6</v>
      </c>
      <c r="AG9" s="97" t="str">
        <f>D[[#Headers],[D]]</f>
        <v>D</v>
      </c>
      <c r="AH9" s="6"/>
      <c r="AI9" s="15"/>
      <c r="AJ9" s="15"/>
      <c r="AK9" s="15"/>
      <c r="AL9" s="15"/>
    </row>
    <row r="10" spans="2:38" ht="12.6" customHeight="1" x14ac:dyDescent="0.45">
      <c r="D10" s="2">
        <v>32</v>
      </c>
      <c r="L10" s="26" t="s">
        <v>96</v>
      </c>
      <c r="M10" s="27"/>
      <c r="N10" s="27"/>
      <c r="O10" s="27"/>
      <c r="P10" s="23">
        <v>1.5</v>
      </c>
      <c r="R10" s="31" t="s">
        <v>58</v>
      </c>
      <c r="S10" s="32"/>
      <c r="U10" s="29"/>
      <c r="V10" s="29"/>
      <c r="W10" s="36">
        <v>31</v>
      </c>
      <c r="X10" s="36" t="s">
        <v>52</v>
      </c>
      <c r="Y10" s="29"/>
      <c r="Z10" s="29"/>
      <c r="AA10" s="29"/>
      <c r="AB10" s="29"/>
      <c r="AC10" s="29"/>
      <c r="AE10" s="2">
        <v>10</v>
      </c>
      <c r="AG10" s="97" t="str">
        <f>E[[#Headers],[E]]</f>
        <v>E</v>
      </c>
      <c r="AH10" s="6"/>
      <c r="AI10" s="15"/>
      <c r="AJ10" s="15"/>
      <c r="AK10" s="15"/>
      <c r="AL10" s="15"/>
    </row>
    <row r="11" spans="2:38" x14ac:dyDescent="0.45">
      <c r="D11" s="2">
        <v>40</v>
      </c>
      <c r="R11" s="33" t="s">
        <v>59</v>
      </c>
      <c r="S11" s="34"/>
      <c r="U11" s="29"/>
      <c r="V11" s="29"/>
      <c r="W11" s="36">
        <v>32</v>
      </c>
      <c r="X11" s="36" t="s">
        <v>53</v>
      </c>
      <c r="Y11" s="29"/>
      <c r="Z11" s="29"/>
      <c r="AA11" s="29"/>
      <c r="AB11" s="29"/>
      <c r="AC11" s="29"/>
      <c r="AE11" s="2">
        <v>16</v>
      </c>
      <c r="AG11" s="96" t="str">
        <f>F[[#Headers],[F]]</f>
        <v>F</v>
      </c>
      <c r="AH11" s="98"/>
      <c r="AI11" s="93"/>
      <c r="AJ11" s="93"/>
      <c r="AK11" s="93"/>
      <c r="AL11" s="93"/>
    </row>
    <row r="12" spans="2:38" x14ac:dyDescent="0.45">
      <c r="D12" s="2">
        <v>50</v>
      </c>
      <c r="U12" s="29"/>
      <c r="V12" s="29"/>
      <c r="W12" s="36">
        <v>33</v>
      </c>
      <c r="X12" s="38">
        <v>41</v>
      </c>
      <c r="Y12" s="29"/>
      <c r="Z12" s="29"/>
      <c r="AA12" s="29"/>
      <c r="AB12" s="29"/>
      <c r="AC12" s="29"/>
      <c r="AE12" s="2">
        <v>25</v>
      </c>
      <c r="AG12" s="97" t="str">
        <f>G[[#Headers],[G]]</f>
        <v>G</v>
      </c>
      <c r="AH12" s="6"/>
      <c r="AI12" s="15"/>
      <c r="AJ12" s="15"/>
      <c r="AK12" s="15"/>
      <c r="AL12" s="15"/>
    </row>
    <row r="13" spans="2:38" x14ac:dyDescent="0.45">
      <c r="D13" s="2">
        <v>63</v>
      </c>
      <c r="U13" s="29"/>
      <c r="V13" s="29"/>
      <c r="W13" s="36">
        <v>34</v>
      </c>
      <c r="X13" s="29"/>
      <c r="Y13" s="29"/>
      <c r="Z13" s="29"/>
      <c r="AA13" s="29"/>
      <c r="AB13" s="29"/>
      <c r="AC13" s="29"/>
      <c r="AE13" s="2">
        <v>35</v>
      </c>
      <c r="AG13" s="74"/>
      <c r="AH13" s="15"/>
      <c r="AI13" s="15"/>
      <c r="AJ13" s="15"/>
      <c r="AK13" s="15"/>
      <c r="AL13" s="15"/>
    </row>
    <row r="14" spans="2:38" x14ac:dyDescent="0.45">
      <c r="D14" s="2">
        <v>80</v>
      </c>
      <c r="U14" s="29"/>
      <c r="V14" s="29"/>
      <c r="W14" s="36">
        <v>41</v>
      </c>
      <c r="X14" s="29"/>
      <c r="Y14" s="29"/>
      <c r="Z14" s="29"/>
      <c r="AA14" s="29"/>
      <c r="AB14" s="29"/>
      <c r="AC14" s="29"/>
      <c r="AE14" s="2">
        <v>50</v>
      </c>
      <c r="AG14" s="92"/>
      <c r="AH14" s="93"/>
      <c r="AI14" s="93"/>
      <c r="AJ14" s="93"/>
      <c r="AK14" s="93"/>
      <c r="AL14" s="93"/>
    </row>
    <row r="15" spans="2:38" x14ac:dyDescent="0.45">
      <c r="D15" s="2">
        <v>100</v>
      </c>
      <c r="U15" s="29"/>
      <c r="V15" s="29"/>
      <c r="W15" s="36">
        <v>42</v>
      </c>
      <c r="X15" s="29"/>
      <c r="Y15" s="29"/>
      <c r="Z15" s="29"/>
      <c r="AA15" s="29"/>
      <c r="AB15" s="29"/>
      <c r="AC15" s="29"/>
      <c r="AE15" s="2">
        <v>70</v>
      </c>
      <c r="AG15" s="74"/>
      <c r="AH15" s="15"/>
      <c r="AI15" s="15"/>
      <c r="AJ15" s="15"/>
      <c r="AK15" s="15"/>
      <c r="AL15" s="15"/>
    </row>
    <row r="16" spans="2:38" x14ac:dyDescent="0.45">
      <c r="D16" s="2">
        <v>125</v>
      </c>
      <c r="U16" s="29"/>
      <c r="V16" s="29"/>
      <c r="W16" s="38">
        <v>43</v>
      </c>
      <c r="X16" s="29"/>
      <c r="Y16" s="29"/>
      <c r="Z16" s="29"/>
      <c r="AA16" s="29"/>
      <c r="AB16" s="29"/>
      <c r="AC16" s="29"/>
      <c r="AE16" s="2">
        <v>75</v>
      </c>
      <c r="AG16" s="74"/>
      <c r="AH16" s="15"/>
      <c r="AI16" s="15"/>
      <c r="AJ16" s="15"/>
      <c r="AK16" s="15"/>
      <c r="AL16" s="15"/>
    </row>
    <row r="17" spans="4:38" x14ac:dyDescent="0.45">
      <c r="D17" s="2">
        <v>160</v>
      </c>
      <c r="AE17" s="2">
        <v>95</v>
      </c>
      <c r="AG17" s="92"/>
      <c r="AH17" s="93"/>
      <c r="AI17" s="93"/>
      <c r="AJ17" s="93"/>
      <c r="AK17" s="93"/>
      <c r="AL17" s="93"/>
    </row>
    <row r="18" spans="4:38" x14ac:dyDescent="0.45">
      <c r="D18" s="2">
        <v>200</v>
      </c>
      <c r="AE18" s="2">
        <v>120</v>
      </c>
      <c r="AG18" s="92"/>
      <c r="AH18" s="93"/>
      <c r="AI18" s="93"/>
      <c r="AJ18" s="93"/>
      <c r="AK18" s="93"/>
      <c r="AL18" s="93"/>
    </row>
    <row r="19" spans="4:38" x14ac:dyDescent="0.45">
      <c r="D19" s="2">
        <v>250</v>
      </c>
      <c r="AE19" s="2">
        <v>150</v>
      </c>
      <c r="AG19" s="92"/>
      <c r="AH19" s="93"/>
      <c r="AI19" s="93"/>
      <c r="AJ19" s="93"/>
      <c r="AK19" s="93"/>
      <c r="AL19" s="93"/>
    </row>
    <row r="20" spans="4:38" x14ac:dyDescent="0.45">
      <c r="D20" s="2">
        <v>315</v>
      </c>
      <c r="AE20" s="2">
        <v>185</v>
      </c>
      <c r="AG20" s="92"/>
      <c r="AH20" s="93"/>
      <c r="AI20" s="93"/>
      <c r="AJ20" s="93"/>
      <c r="AK20" s="93"/>
      <c r="AL20" s="93"/>
    </row>
    <row r="21" spans="4:38" x14ac:dyDescent="0.45">
      <c r="D21" s="2">
        <v>400</v>
      </c>
      <c r="AE21" s="2">
        <v>240</v>
      </c>
      <c r="AG21" s="92"/>
      <c r="AH21" s="94"/>
      <c r="AI21" s="93"/>
      <c r="AJ21" s="93"/>
      <c r="AK21" s="93"/>
      <c r="AL21" s="93"/>
    </row>
    <row r="22" spans="4:38" x14ac:dyDescent="0.45">
      <c r="D22" s="2">
        <v>500</v>
      </c>
      <c r="AE22" s="2">
        <v>300</v>
      </c>
      <c r="AG22" s="74"/>
      <c r="AH22" s="15"/>
      <c r="AI22" s="15"/>
      <c r="AJ22" s="15"/>
      <c r="AK22" s="93"/>
      <c r="AL22" s="15"/>
    </row>
    <row r="23" spans="4:38" x14ac:dyDescent="0.45">
      <c r="D23" s="2">
        <v>630</v>
      </c>
      <c r="AE23" s="2">
        <v>400</v>
      </c>
      <c r="AG23" s="74"/>
      <c r="AH23" s="15"/>
      <c r="AI23" s="15"/>
      <c r="AJ23" s="15"/>
      <c r="AK23" s="93"/>
      <c r="AL23" s="15"/>
    </row>
    <row r="24" spans="4:38" x14ac:dyDescent="0.45">
      <c r="D24" s="2">
        <v>800</v>
      </c>
      <c r="AE24" s="2">
        <v>500</v>
      </c>
      <c r="AG24" s="92"/>
      <c r="AH24" s="94"/>
      <c r="AI24" s="93"/>
      <c r="AJ24" s="93"/>
      <c r="AK24" s="93"/>
      <c r="AL24" s="93"/>
    </row>
    <row r="25" spans="4:38" x14ac:dyDescent="0.45">
      <c r="D25" s="2">
        <v>1000</v>
      </c>
      <c r="AE25" s="2">
        <v>630</v>
      </c>
      <c r="AG25" s="74"/>
      <c r="AH25" s="15"/>
      <c r="AI25" s="15"/>
      <c r="AJ25" s="15"/>
      <c r="AK25" s="93"/>
      <c r="AL25" s="15"/>
    </row>
    <row r="26" spans="4:38" x14ac:dyDescent="0.45">
      <c r="D26" s="2">
        <v>1600</v>
      </c>
      <c r="AG26" s="92"/>
      <c r="AH26" s="94"/>
      <c r="AI26" s="93"/>
      <c r="AJ26" s="93"/>
      <c r="AK26" s="93"/>
      <c r="AL26" s="93"/>
    </row>
    <row r="27" spans="4:38" x14ac:dyDescent="0.45">
      <c r="D27" s="2">
        <v>2000</v>
      </c>
      <c r="AG27" s="74"/>
      <c r="AH27" s="15"/>
      <c r="AI27" s="15"/>
      <c r="AJ27" s="15"/>
      <c r="AK27" s="93"/>
      <c r="AL27" s="15"/>
    </row>
    <row r="28" spans="4:38" x14ac:dyDescent="0.45">
      <c r="D28" s="2">
        <v>2500</v>
      </c>
    </row>
    <row r="29" spans="4:38" x14ac:dyDescent="0.45">
      <c r="D29" s="2">
        <v>3200</v>
      </c>
    </row>
    <row r="30" spans="4:38" x14ac:dyDescent="0.45">
      <c r="D30" s="2">
        <v>4000</v>
      </c>
    </row>
  </sheetData>
  <mergeCells count="6">
    <mergeCell ref="AG2:AH2"/>
    <mergeCell ref="R8:S8"/>
    <mergeCell ref="L2:O3"/>
    <mergeCell ref="H2:I2"/>
    <mergeCell ref="U2:AC2"/>
    <mergeCell ref="R2:S2"/>
  </mergeCells>
  <dataValidations disablePrompts="1" count="1">
    <dataValidation type="list" allowBlank="1" showInputMessage="1" showErrorMessage="1" sqref="B5" xr:uid="{E505DC69-D837-4A79-A8CF-8B5FB3D4A6F4}">
      <formula1>$B$3:$B$4</formula1>
    </dataValidation>
  </dataValidations>
  <pageMargins left="0.7" right="0.7" top="0.75" bottom="0.75" header="0.3" footer="0.3"/>
  <pageSetup paperSize="9" orientation="portrait" horizontalDpi="1200" verticalDpi="120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9</vt:i4>
      </vt:variant>
    </vt:vector>
  </HeadingPairs>
  <TitlesOfParts>
    <vt:vector size="11" baseType="lpstr">
      <vt:lpstr>Dimensionamento</vt:lpstr>
      <vt:lpstr>Auxiliares-D</vt:lpstr>
      <vt:lpstr>Método_A</vt:lpstr>
      <vt:lpstr>Método_A2</vt:lpstr>
      <vt:lpstr>Método_B</vt:lpstr>
      <vt:lpstr>Método_B2</vt:lpstr>
      <vt:lpstr>Método_C</vt:lpstr>
      <vt:lpstr>Método_D</vt:lpstr>
      <vt:lpstr>Método_E</vt:lpstr>
      <vt:lpstr>Método_F</vt:lpstr>
      <vt:lpstr>Método_G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Xavier Guimarães de Azevedo</dc:creator>
  <cp:lastModifiedBy>Tiago Oliveira</cp:lastModifiedBy>
  <dcterms:created xsi:type="dcterms:W3CDTF">2025-09-27T11:16:20Z</dcterms:created>
  <dcterms:modified xsi:type="dcterms:W3CDTF">2026-03-11T22:24:15Z</dcterms:modified>
</cp:coreProperties>
</file>