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f22dee754c163/ESCOLA/EEC3/1º Semestre/Instalações Elétricas/TP FINAL/calculations/"/>
    </mc:Choice>
  </mc:AlternateContent>
  <xr:revisionPtr revIDLastSave="1" documentId="13_ncr:1_{FC994DAA-0F80-4FEA-AE80-56A94FEE97AB}" xr6:coauthVersionLast="47" xr6:coauthVersionMax="47" xr10:uidLastSave="{31D1255D-65F3-4EB6-B014-A46FC8B237D0}"/>
  <bookViews>
    <workbookView xWindow="-98" yWindow="-98" windowWidth="24196" windowHeight="15196" activeTab="1" xr2:uid="{9562D6E2-07C7-46A5-B96F-53B7430DE0DA}"/>
  </bookViews>
  <sheets>
    <sheet name="Dimensionamento" sheetId="1" r:id="rId1"/>
    <sheet name="Corrente CC" sheetId="4" r:id="rId2"/>
    <sheet name="Auxiliares-D" sheetId="2" r:id="rId3"/>
  </sheets>
  <definedNames>
    <definedName name="Método_A">'Auxiliares-D'!$U$4:$U$8</definedName>
    <definedName name="Método_A2">'Auxiliares-D'!$V$4:$V$5</definedName>
    <definedName name="Método_B">'Auxiliares-D'!$W$4:$W$16</definedName>
    <definedName name="Método_B2">'Auxiliares-D'!$X$4:$X$12</definedName>
    <definedName name="Método_C">'Auxiliares-D'!$Y$4:$Y$9</definedName>
    <definedName name="Método_D">'Auxiliares-D'!$Z$4:$Z$6</definedName>
    <definedName name="Método_E">'Auxiliares-D'!$AA$4:$AA$8</definedName>
    <definedName name="Método_F">'Auxiliares-D'!$AB$4:$AB$7</definedName>
    <definedName name="Método_G">'Auxiliares-D'!$AC$4:$AC$8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Y54" i="4"/>
  <c r="Y45" i="4"/>
  <c r="Z38" i="4"/>
  <c r="Y39" i="4"/>
  <c r="Z35" i="4"/>
  <c r="Y36" i="4"/>
  <c r="Y35" i="4"/>
  <c r="Z32" i="4"/>
  <c r="Y33" i="4"/>
  <c r="Y32" i="4"/>
  <c r="Z29" i="4"/>
  <c r="Y30" i="4"/>
  <c r="Y29" i="4"/>
  <c r="Z26" i="4"/>
  <c r="Y27" i="4"/>
  <c r="Y26" i="4"/>
  <c r="Z23" i="4"/>
  <c r="Y24" i="4"/>
  <c r="Y23" i="4"/>
  <c r="Z20" i="4"/>
  <c r="Y21" i="4"/>
  <c r="Y20" i="4"/>
  <c r="Y18" i="4"/>
  <c r="Y17" i="4"/>
  <c r="Z17" i="4"/>
  <c r="Y15" i="4"/>
  <c r="Y14" i="4"/>
  <c r="Z14" i="4"/>
  <c r="Z11" i="4"/>
  <c r="Y12" i="4"/>
  <c r="Y11" i="4"/>
  <c r="N10" i="1"/>
  <c r="N11" i="1"/>
  <c r="N12" i="1"/>
  <c r="N13" i="1"/>
  <c r="N14" i="1"/>
  <c r="N15" i="1"/>
  <c r="N24" i="1"/>
  <c r="N34" i="1"/>
  <c r="F11" i="1"/>
  <c r="F10" i="1"/>
  <c r="F12" i="1"/>
  <c r="F13" i="1"/>
  <c r="F14" i="1"/>
  <c r="F15" i="1"/>
  <c r="F24" i="1"/>
  <c r="F34" i="1"/>
  <c r="J48" i="1" l="1"/>
  <c r="J11" i="1" l="1"/>
  <c r="H12" i="1"/>
  <c r="J12" i="1" s="1"/>
  <c r="H13" i="1"/>
  <c r="H24" i="1"/>
  <c r="J10" i="1"/>
  <c r="J13" i="1"/>
  <c r="J14" i="1"/>
  <c r="J15" i="1"/>
  <c r="H14" i="1"/>
  <c r="H15" i="1"/>
  <c r="AY11" i="1"/>
  <c r="AY14" i="1"/>
  <c r="AY15" i="1"/>
  <c r="AY16" i="1"/>
  <c r="AY17" i="1"/>
  <c r="AY20" i="1"/>
  <c r="AY23" i="1"/>
  <c r="AY26" i="1"/>
  <c r="AY27" i="1"/>
  <c r="AY28" i="1"/>
  <c r="AY29" i="1"/>
  <c r="AY30" i="1"/>
  <c r="AY31" i="1"/>
  <c r="AY35" i="1"/>
  <c r="AY36" i="1"/>
  <c r="AY37" i="1"/>
  <c r="AY38" i="1"/>
  <c r="AY39" i="1"/>
  <c r="AY40" i="1"/>
  <c r="AY41" i="1"/>
  <c r="AX11" i="1"/>
  <c r="AX12" i="1"/>
  <c r="AY12" i="1" s="1"/>
  <c r="AX13" i="1"/>
  <c r="AY13" i="1" s="1"/>
  <c r="AX14" i="1"/>
  <c r="AX15" i="1"/>
  <c r="AX16" i="1"/>
  <c r="AX17" i="1"/>
  <c r="AX18" i="1"/>
  <c r="AY18" i="1" s="1"/>
  <c r="AX19" i="1"/>
  <c r="AY19" i="1" s="1"/>
  <c r="AX20" i="1"/>
  <c r="AX21" i="1"/>
  <c r="AY21" i="1" s="1"/>
  <c r="AX22" i="1"/>
  <c r="AY22" i="1" s="1"/>
  <c r="AX23" i="1"/>
  <c r="AX24" i="1"/>
  <c r="AY24" i="1" s="1"/>
  <c r="AX25" i="1"/>
  <c r="AY25" i="1" s="1"/>
  <c r="AX26" i="1"/>
  <c r="AX27" i="1"/>
  <c r="AX28" i="1"/>
  <c r="AX29" i="1"/>
  <c r="AX30" i="1"/>
  <c r="AX31" i="1"/>
  <c r="AX32" i="1"/>
  <c r="AY32" i="1" s="1"/>
  <c r="AX33" i="1"/>
  <c r="AY33" i="1" s="1"/>
  <c r="AX34" i="1"/>
  <c r="AY34" i="1" s="1"/>
  <c r="AX35" i="1"/>
  <c r="AX36" i="1"/>
  <c r="AX37" i="1"/>
  <c r="AX38" i="1"/>
  <c r="AX39" i="1"/>
  <c r="AX40" i="1"/>
  <c r="AX41" i="1"/>
  <c r="AX10" i="1"/>
  <c r="AY10" i="1" s="1"/>
  <c r="X8" i="4"/>
  <c r="Q14" i="4"/>
  <c r="Q17" i="4"/>
  <c r="Q11" i="4"/>
  <c r="Q8" i="4"/>
  <c r="AG26" i="1"/>
  <c r="AZ10" i="1"/>
  <c r="AW10" i="1"/>
  <c r="AI10" i="1"/>
  <c r="AN10" i="1" s="1"/>
  <c r="AQ10" i="1" s="1"/>
  <c r="AG10" i="1"/>
  <c r="AH10" i="1"/>
  <c r="S10" i="1"/>
  <c r="AP10" i="1" s="1"/>
  <c r="O10" i="1"/>
  <c r="AO10" i="1" s="1"/>
  <c r="AI101" i="4"/>
  <c r="AI98" i="4"/>
  <c r="AI95" i="4"/>
  <c r="AI92" i="4"/>
  <c r="AI89" i="4"/>
  <c r="AI86" i="4"/>
  <c r="AI83" i="4"/>
  <c r="AI80" i="4"/>
  <c r="AI77" i="4"/>
  <c r="AI74" i="4"/>
  <c r="AI71" i="4"/>
  <c r="AI68" i="4"/>
  <c r="AI65" i="4"/>
  <c r="AI62" i="4"/>
  <c r="AI59" i="4"/>
  <c r="AI56" i="4"/>
  <c r="AI53" i="4"/>
  <c r="AI50" i="4"/>
  <c r="AI47" i="4"/>
  <c r="AI44" i="4"/>
  <c r="AI41" i="4"/>
  <c r="AI38" i="4"/>
  <c r="AI35" i="4"/>
  <c r="AI32" i="4"/>
  <c r="AI29" i="4"/>
  <c r="AI26" i="4"/>
  <c r="AI23" i="4"/>
  <c r="AI20" i="4"/>
  <c r="AI17" i="4"/>
  <c r="AI14" i="4"/>
  <c r="AI11" i="4"/>
  <c r="AI8" i="4"/>
  <c r="V102" i="4"/>
  <c r="X101" i="4"/>
  <c r="V101" i="4"/>
  <c r="V99" i="4"/>
  <c r="X98" i="4"/>
  <c r="V98" i="4"/>
  <c r="V96" i="4"/>
  <c r="X95" i="4"/>
  <c r="V95" i="4"/>
  <c r="V93" i="4"/>
  <c r="X92" i="4"/>
  <c r="V92" i="4"/>
  <c r="V90" i="4"/>
  <c r="X89" i="4"/>
  <c r="V89" i="4"/>
  <c r="V87" i="4"/>
  <c r="X86" i="4"/>
  <c r="V86" i="4"/>
  <c r="V84" i="4"/>
  <c r="X83" i="4"/>
  <c r="V83" i="4"/>
  <c r="V81" i="4"/>
  <c r="X80" i="4"/>
  <c r="V80" i="4"/>
  <c r="V78" i="4"/>
  <c r="X77" i="4"/>
  <c r="V77" i="4"/>
  <c r="V75" i="4"/>
  <c r="X74" i="4"/>
  <c r="V74" i="4"/>
  <c r="V72" i="4"/>
  <c r="X71" i="4"/>
  <c r="V71" i="4"/>
  <c r="V69" i="4"/>
  <c r="X68" i="4"/>
  <c r="V68" i="4"/>
  <c r="V66" i="4"/>
  <c r="X65" i="4"/>
  <c r="V65" i="4"/>
  <c r="V63" i="4"/>
  <c r="X62" i="4"/>
  <c r="V62" i="4"/>
  <c r="V60" i="4"/>
  <c r="X59" i="4"/>
  <c r="V59" i="4"/>
  <c r="V57" i="4"/>
  <c r="X56" i="4"/>
  <c r="V56" i="4"/>
  <c r="V54" i="4"/>
  <c r="X53" i="4"/>
  <c r="V53" i="4"/>
  <c r="V51" i="4"/>
  <c r="X50" i="4"/>
  <c r="V50" i="4"/>
  <c r="V48" i="4"/>
  <c r="X47" i="4"/>
  <c r="V47" i="4"/>
  <c r="V45" i="4"/>
  <c r="X44" i="4"/>
  <c r="V44" i="4"/>
  <c r="V42" i="4"/>
  <c r="X41" i="4"/>
  <c r="V41" i="4"/>
  <c r="V39" i="4"/>
  <c r="X38" i="4"/>
  <c r="V38" i="4"/>
  <c r="V36" i="4"/>
  <c r="X35" i="4"/>
  <c r="V35" i="4"/>
  <c r="V33" i="4"/>
  <c r="X32" i="4"/>
  <c r="V32" i="4"/>
  <c r="V30" i="4"/>
  <c r="X29" i="4"/>
  <c r="V29" i="4"/>
  <c r="V27" i="4"/>
  <c r="X26" i="4"/>
  <c r="V26" i="4"/>
  <c r="V24" i="4"/>
  <c r="X23" i="4"/>
  <c r="V23" i="4"/>
  <c r="V21" i="4"/>
  <c r="X20" i="4"/>
  <c r="V20" i="4"/>
  <c r="V18" i="4"/>
  <c r="X17" i="4"/>
  <c r="V17" i="4"/>
  <c r="V15" i="4"/>
  <c r="X14" i="4"/>
  <c r="V14" i="4"/>
  <c r="V12" i="4"/>
  <c r="X11" i="4"/>
  <c r="V11" i="4"/>
  <c r="V9" i="4"/>
  <c r="V8" i="4"/>
  <c r="AG12" i="2"/>
  <c r="AG11" i="2"/>
  <c r="AG10" i="2"/>
  <c r="AG9" i="2"/>
  <c r="AG8" i="2"/>
  <c r="AG7" i="2"/>
  <c r="AG6" i="2"/>
  <c r="AG5" i="2"/>
  <c r="AG4" i="2"/>
  <c r="T10" i="1" l="1" a="1"/>
  <c r="T10" i="1" s="1"/>
  <c r="AS10" i="1" s="1"/>
  <c r="BB10" i="1"/>
  <c r="BC10" i="1" s="1"/>
  <c r="T8" i="4"/>
  <c r="AT10" i="1"/>
  <c r="AR10" i="1"/>
  <c r="BD10" i="1" l="1"/>
  <c r="BE10" i="1"/>
  <c r="BF10" i="1" s="1"/>
  <c r="AU10" i="1"/>
  <c r="W9" i="4"/>
  <c r="Y9" i="4" s="1"/>
  <c r="W8" i="4"/>
  <c r="Y8" i="4" s="1"/>
  <c r="C17" i="4"/>
  <c r="C25" i="4"/>
  <c r="Z8" i="4" s="1"/>
  <c r="C11" i="4"/>
  <c r="AC9" i="4" l="1"/>
  <c r="AK9" i="4" s="1"/>
  <c r="AC8" i="4"/>
  <c r="AK8" i="4" s="1"/>
  <c r="C22" i="4"/>
  <c r="C23" i="4"/>
  <c r="S11" i="1" l="1"/>
  <c r="T11" i="1" s="1" a="1"/>
  <c r="T11" i="1" s="1"/>
  <c r="H26" i="1"/>
  <c r="N26" i="1" s="1"/>
  <c r="O26" i="1" s="1"/>
  <c r="AO26" i="1" s="1"/>
  <c r="H27" i="1"/>
  <c r="N27" i="1" s="1"/>
  <c r="O27" i="1" s="1"/>
  <c r="AO27" i="1" s="1"/>
  <c r="H28" i="1"/>
  <c r="N28" i="1" s="1"/>
  <c r="O28" i="1" s="1"/>
  <c r="AO28" i="1" s="1"/>
  <c r="H29" i="1"/>
  <c r="N29" i="1" s="1"/>
  <c r="O29" i="1" s="1"/>
  <c r="AO29" i="1" s="1"/>
  <c r="H30" i="1"/>
  <c r="N30" i="1" s="1"/>
  <c r="O30" i="1" s="1"/>
  <c r="AO30" i="1" s="1"/>
  <c r="H31" i="1"/>
  <c r="N31" i="1" s="1"/>
  <c r="O31" i="1" s="1"/>
  <c r="AO31" i="1" s="1"/>
  <c r="H32" i="1"/>
  <c r="N32" i="1" s="1"/>
  <c r="O32" i="1" s="1"/>
  <c r="AO32" i="1" s="1"/>
  <c r="H33" i="1"/>
  <c r="N33" i="1" s="1"/>
  <c r="O33" i="1" s="1"/>
  <c r="AO33" i="1" s="1"/>
  <c r="H25" i="1"/>
  <c r="N25" i="1" s="1"/>
  <c r="O25" i="1" s="1"/>
  <c r="AO25" i="1" s="1"/>
  <c r="H17" i="1"/>
  <c r="O17" i="1" s="1"/>
  <c r="AO17" i="1" s="1"/>
  <c r="H18" i="1"/>
  <c r="N18" i="1" s="1"/>
  <c r="O18" i="1" s="1"/>
  <c r="AO18" i="1" s="1"/>
  <c r="H19" i="1"/>
  <c r="N19" i="1" s="1"/>
  <c r="O19" i="1" s="1"/>
  <c r="AO19" i="1" s="1"/>
  <c r="H20" i="1"/>
  <c r="N20" i="1" s="1"/>
  <c r="O20" i="1" s="1"/>
  <c r="AO20" i="1" s="1"/>
  <c r="H21" i="1"/>
  <c r="N21" i="1" s="1"/>
  <c r="O21" i="1" s="1"/>
  <c r="AO21" i="1" s="1"/>
  <c r="H22" i="1"/>
  <c r="N22" i="1" s="1"/>
  <c r="O22" i="1" s="1"/>
  <c r="AO22" i="1" s="1"/>
  <c r="H23" i="1"/>
  <c r="N23" i="1" s="1"/>
  <c r="O23" i="1" s="1"/>
  <c r="AO23" i="1" s="1"/>
  <c r="H16" i="1"/>
  <c r="N16" i="1" s="1"/>
  <c r="H39" i="1"/>
  <c r="H40" i="1"/>
  <c r="N40" i="1" s="1"/>
  <c r="O40" i="1" s="1"/>
  <c r="AO40" i="1" s="1"/>
  <c r="H41" i="1"/>
  <c r="N41" i="1" s="1"/>
  <c r="O41" i="1" s="1"/>
  <c r="AO41" i="1" s="1"/>
  <c r="H36" i="1"/>
  <c r="N36" i="1" s="1"/>
  <c r="O36" i="1" s="1"/>
  <c r="AO36" i="1" s="1"/>
  <c r="H35" i="1"/>
  <c r="N35" i="1" s="1"/>
  <c r="O35" i="1" s="1"/>
  <c r="AO35" i="1" s="1"/>
  <c r="N39" i="1" l="1"/>
  <c r="O39" i="1" s="1"/>
  <c r="AO39" i="1" s="1"/>
  <c r="Z41" i="4"/>
  <c r="Z50" i="4"/>
  <c r="Z47" i="4"/>
  <c r="Z44" i="4"/>
  <c r="Z77" i="4"/>
  <c r="Z74" i="4"/>
  <c r="Z80" i="4"/>
  <c r="Z101" i="4"/>
  <c r="Z98" i="4"/>
  <c r="O16" i="1"/>
  <c r="AO16" i="1" s="1"/>
  <c r="O12" i="1"/>
  <c r="AO12" i="1" s="1"/>
  <c r="O15" i="1"/>
  <c r="AO15" i="1" s="1"/>
  <c r="O13" i="1"/>
  <c r="AO13" i="1" s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BB36" i="1" s="1"/>
  <c r="BC36" i="1" s="1"/>
  <c r="AZ37" i="1"/>
  <c r="AZ38" i="1"/>
  <c r="AZ39" i="1"/>
  <c r="AZ40" i="1"/>
  <c r="AZ41" i="1"/>
  <c r="AZ11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I13" i="1"/>
  <c r="AN13" i="1" s="1"/>
  <c r="AI14" i="1"/>
  <c r="AN14" i="1" s="1"/>
  <c r="AI15" i="1"/>
  <c r="AN15" i="1" s="1"/>
  <c r="AI16" i="1"/>
  <c r="AN16" i="1" s="1"/>
  <c r="AI17" i="1"/>
  <c r="AN17" i="1" s="1"/>
  <c r="AI18" i="1"/>
  <c r="AN18" i="1" s="1"/>
  <c r="AI19" i="1"/>
  <c r="AN19" i="1" s="1"/>
  <c r="AI20" i="1"/>
  <c r="AN20" i="1" s="1"/>
  <c r="AI21" i="1"/>
  <c r="AN21" i="1" s="1"/>
  <c r="AI22" i="1"/>
  <c r="AN22" i="1" s="1"/>
  <c r="AI23" i="1"/>
  <c r="AN23" i="1" s="1"/>
  <c r="AI24" i="1"/>
  <c r="AN24" i="1" s="1"/>
  <c r="AI25" i="1"/>
  <c r="AN25" i="1" s="1"/>
  <c r="AI26" i="1"/>
  <c r="AN26" i="1" s="1"/>
  <c r="AI27" i="1"/>
  <c r="AN27" i="1" s="1"/>
  <c r="AI28" i="1"/>
  <c r="AN28" i="1" s="1"/>
  <c r="AI29" i="1"/>
  <c r="AN29" i="1" s="1"/>
  <c r="AI30" i="1"/>
  <c r="AN30" i="1" s="1"/>
  <c r="AI31" i="1"/>
  <c r="AN31" i="1" s="1"/>
  <c r="AI32" i="1"/>
  <c r="AN32" i="1" s="1"/>
  <c r="AI33" i="1"/>
  <c r="AN33" i="1" s="1"/>
  <c r="AI34" i="1"/>
  <c r="AN34" i="1" s="1"/>
  <c r="AI35" i="1"/>
  <c r="AN35" i="1" s="1"/>
  <c r="AI36" i="1"/>
  <c r="AN36" i="1" s="1"/>
  <c r="AI37" i="1"/>
  <c r="AN37" i="1" s="1"/>
  <c r="AI38" i="1"/>
  <c r="AN38" i="1" s="1"/>
  <c r="AI39" i="1"/>
  <c r="AN39" i="1" s="1"/>
  <c r="AI40" i="1"/>
  <c r="AN40" i="1" s="1"/>
  <c r="AI41" i="1"/>
  <c r="AN41" i="1" s="1"/>
  <c r="AG13" i="1"/>
  <c r="T17" i="4" s="1"/>
  <c r="AG14" i="1"/>
  <c r="T20" i="4" s="1"/>
  <c r="AG15" i="1"/>
  <c r="T23" i="4" s="1"/>
  <c r="AG16" i="1"/>
  <c r="T26" i="4" s="1"/>
  <c r="AG17" i="1"/>
  <c r="T29" i="4" s="1"/>
  <c r="AG18" i="1"/>
  <c r="T32" i="4" s="1"/>
  <c r="AG19" i="1"/>
  <c r="T35" i="4" s="1"/>
  <c r="AG20" i="1"/>
  <c r="T38" i="4" s="1"/>
  <c r="AG21" i="1"/>
  <c r="T41" i="4" s="1"/>
  <c r="AG22" i="1"/>
  <c r="T44" i="4" s="1"/>
  <c r="AG23" i="1"/>
  <c r="T47" i="4" s="1"/>
  <c r="AG24" i="1"/>
  <c r="T50" i="4" s="1"/>
  <c r="AG25" i="1"/>
  <c r="T53" i="4" s="1"/>
  <c r="T56" i="4"/>
  <c r="AG27" i="1"/>
  <c r="T59" i="4" s="1"/>
  <c r="AG28" i="1"/>
  <c r="T62" i="4" s="1"/>
  <c r="AG29" i="1"/>
  <c r="T65" i="4" s="1"/>
  <c r="AG30" i="1"/>
  <c r="T68" i="4" s="1"/>
  <c r="AG31" i="1"/>
  <c r="T71" i="4" s="1"/>
  <c r="AG32" i="1"/>
  <c r="T74" i="4" s="1"/>
  <c r="AG33" i="1"/>
  <c r="T77" i="4" s="1"/>
  <c r="AG34" i="1"/>
  <c r="T80" i="4" s="1"/>
  <c r="AG35" i="1"/>
  <c r="T83" i="4" s="1"/>
  <c r="AG36" i="1"/>
  <c r="T86" i="4" s="1"/>
  <c r="AG37" i="1"/>
  <c r="T89" i="4" s="1"/>
  <c r="AG38" i="1"/>
  <c r="T92" i="4" s="1"/>
  <c r="AG39" i="1"/>
  <c r="T95" i="4" s="1"/>
  <c r="AG40" i="1"/>
  <c r="T98" i="4" s="1"/>
  <c r="AG41" i="1"/>
  <c r="T101" i="4" s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S13" i="1"/>
  <c r="T13" i="1" s="1"/>
  <c r="AS13" i="1" s="1"/>
  <c r="S14" i="1"/>
  <c r="T14" i="1" s="1"/>
  <c r="AS14" i="1" s="1"/>
  <c r="S15" i="1"/>
  <c r="T15" i="1" s="1"/>
  <c r="AS15" i="1" s="1"/>
  <c r="S16" i="1"/>
  <c r="T16" i="1" s="1"/>
  <c r="AS16" i="1" s="1"/>
  <c r="S17" i="1"/>
  <c r="T17" i="1" s="1"/>
  <c r="AS17" i="1" s="1"/>
  <c r="S18" i="1"/>
  <c r="T18" i="1" s="1"/>
  <c r="AS18" i="1" s="1"/>
  <c r="S19" i="1"/>
  <c r="T19" i="1" s="1"/>
  <c r="AS19" i="1" s="1"/>
  <c r="S20" i="1"/>
  <c r="T20" i="1" s="1"/>
  <c r="AS20" i="1" s="1"/>
  <c r="S21" i="1"/>
  <c r="T21" i="1" s="1"/>
  <c r="AS21" i="1" s="1"/>
  <c r="S22" i="1"/>
  <c r="T22" i="1" s="1"/>
  <c r="AS22" i="1" s="1"/>
  <c r="S23" i="1"/>
  <c r="T23" i="1" s="1"/>
  <c r="AS23" i="1" s="1"/>
  <c r="S24" i="1"/>
  <c r="T24" i="1" s="1"/>
  <c r="AS24" i="1" s="1"/>
  <c r="S25" i="1"/>
  <c r="T25" i="1" s="1"/>
  <c r="AS25" i="1" s="1"/>
  <c r="S26" i="1"/>
  <c r="T26" i="1" s="1"/>
  <c r="AS26" i="1" s="1"/>
  <c r="S27" i="1"/>
  <c r="T27" i="1" s="1"/>
  <c r="AS27" i="1" s="1"/>
  <c r="S28" i="1"/>
  <c r="T28" i="1" s="1"/>
  <c r="AS28" i="1" s="1"/>
  <c r="S29" i="1"/>
  <c r="T29" i="1" s="1"/>
  <c r="AS29" i="1" s="1"/>
  <c r="S30" i="1"/>
  <c r="T30" i="1" s="1"/>
  <c r="AS30" i="1" s="1"/>
  <c r="S31" i="1"/>
  <c r="T31" i="1" s="1"/>
  <c r="AS31" i="1" s="1"/>
  <c r="S32" i="1"/>
  <c r="T32" i="1" s="1"/>
  <c r="AS32" i="1" s="1"/>
  <c r="S33" i="1"/>
  <c r="T33" i="1" s="1"/>
  <c r="AS33" i="1" s="1"/>
  <c r="S34" i="1"/>
  <c r="T34" i="1" s="1"/>
  <c r="AS34" i="1" s="1"/>
  <c r="S35" i="1"/>
  <c r="T35" i="1" s="1"/>
  <c r="AS35" i="1" s="1"/>
  <c r="S36" i="1"/>
  <c r="T36" i="1" s="1"/>
  <c r="AS36" i="1" s="1"/>
  <c r="S37" i="1"/>
  <c r="T37" i="1" s="1"/>
  <c r="AS37" i="1" s="1"/>
  <c r="S38" i="1"/>
  <c r="T38" i="1" s="1"/>
  <c r="AS38" i="1" s="1"/>
  <c r="S39" i="1"/>
  <c r="T39" i="1" s="1"/>
  <c r="AS39" i="1" s="1"/>
  <c r="S40" i="1"/>
  <c r="T40" i="1" s="1"/>
  <c r="AS40" i="1" s="1"/>
  <c r="S41" i="1"/>
  <c r="T41" i="1" s="1"/>
  <c r="AS41" i="1" s="1"/>
  <c r="J16" i="1"/>
  <c r="J17" i="1"/>
  <c r="J18" i="1"/>
  <c r="J19" i="1"/>
  <c r="J20" i="1"/>
  <c r="J21" i="1"/>
  <c r="J22" i="1"/>
  <c r="J23" i="1"/>
  <c r="J25" i="1"/>
  <c r="J30" i="1"/>
  <c r="J32" i="1"/>
  <c r="J33" i="1"/>
  <c r="J39" i="1"/>
  <c r="J40" i="1"/>
  <c r="J41" i="1"/>
  <c r="H38" i="1"/>
  <c r="H37" i="1"/>
  <c r="N37" i="1" s="1"/>
  <c r="O37" i="1" s="1"/>
  <c r="AO37" i="1" s="1"/>
  <c r="J36" i="1"/>
  <c r="J31" i="1"/>
  <c r="J29" i="1"/>
  <c r="J28" i="1"/>
  <c r="J27" i="1"/>
  <c r="BB35" i="1" l="1"/>
  <c r="BC35" i="1" s="1"/>
  <c r="BB37" i="1"/>
  <c r="BC37" i="1" s="1"/>
  <c r="H34" i="1"/>
  <c r="BB39" i="1"/>
  <c r="BC39" i="1" s="1"/>
  <c r="BB23" i="1"/>
  <c r="BC23" i="1" s="1"/>
  <c r="BB22" i="1"/>
  <c r="BC22" i="1" s="1"/>
  <c r="BB21" i="1"/>
  <c r="BC21" i="1" s="1"/>
  <c r="BB20" i="1"/>
  <c r="BC20" i="1" s="1"/>
  <c r="BB19" i="1"/>
  <c r="BC19" i="1" s="1"/>
  <c r="Z95" i="4"/>
  <c r="Z92" i="4"/>
  <c r="Z89" i="4"/>
  <c r="Z83" i="4"/>
  <c r="Z86" i="4"/>
  <c r="Z71" i="4"/>
  <c r="Z68" i="4"/>
  <c r="Z65" i="4"/>
  <c r="Z62" i="4"/>
  <c r="Z59" i="4"/>
  <c r="Z56" i="4"/>
  <c r="Z53" i="4"/>
  <c r="W77" i="4"/>
  <c r="W78" i="4"/>
  <c r="W29" i="4"/>
  <c r="W30" i="4"/>
  <c r="W75" i="4"/>
  <c r="W74" i="4"/>
  <c r="W20" i="4"/>
  <c r="W21" i="4"/>
  <c r="W66" i="4"/>
  <c r="W65" i="4"/>
  <c r="W62" i="4"/>
  <c r="W63" i="4"/>
  <c r="W57" i="4"/>
  <c r="W56" i="4"/>
  <c r="W53" i="4"/>
  <c r="W54" i="4"/>
  <c r="W95" i="4"/>
  <c r="W96" i="4"/>
  <c r="W47" i="4"/>
  <c r="W48" i="4"/>
  <c r="W81" i="4"/>
  <c r="W80" i="4"/>
  <c r="W72" i="4"/>
  <c r="W71" i="4"/>
  <c r="W18" i="4"/>
  <c r="W17" i="4"/>
  <c r="W98" i="4"/>
  <c r="W99" i="4"/>
  <c r="W44" i="4"/>
  <c r="W45" i="4"/>
  <c r="W32" i="4"/>
  <c r="W33" i="4"/>
  <c r="W26" i="4"/>
  <c r="W27" i="4"/>
  <c r="W69" i="4"/>
  <c r="W68" i="4"/>
  <c r="W101" i="4"/>
  <c r="W102" i="4"/>
  <c r="W92" i="4"/>
  <c r="W93" i="4"/>
  <c r="W90" i="4"/>
  <c r="W89" i="4"/>
  <c r="W42" i="4"/>
  <c r="W41" i="4"/>
  <c r="W86" i="4"/>
  <c r="W87" i="4"/>
  <c r="W38" i="4"/>
  <c r="W39" i="4"/>
  <c r="W23" i="4"/>
  <c r="W24" i="4"/>
  <c r="W60" i="4"/>
  <c r="W59" i="4"/>
  <c r="W50" i="4"/>
  <c r="W51" i="4"/>
  <c r="W84" i="4"/>
  <c r="W83" i="4"/>
  <c r="W36" i="4"/>
  <c r="W35" i="4"/>
  <c r="AQ15" i="1"/>
  <c r="BB16" i="1"/>
  <c r="BC16" i="1" s="1"/>
  <c r="AQ31" i="1"/>
  <c r="AQ29" i="1"/>
  <c r="BB31" i="1"/>
  <c r="BC31" i="1" s="1"/>
  <c r="BB15" i="1"/>
  <c r="BC15" i="1" s="1"/>
  <c r="AQ28" i="1"/>
  <c r="AQ25" i="1"/>
  <c r="BB17" i="1"/>
  <c r="BC17" i="1" s="1"/>
  <c r="AQ40" i="1"/>
  <c r="AT40" i="1" s="1"/>
  <c r="AU40" i="1" s="1"/>
  <c r="AQ23" i="1"/>
  <c r="BB30" i="1"/>
  <c r="BC30" i="1" s="1"/>
  <c r="AQ27" i="1"/>
  <c r="BB18" i="1"/>
  <c r="BC18" i="1" s="1"/>
  <c r="BB33" i="1"/>
  <c r="BC33" i="1" s="1"/>
  <c r="AQ38" i="1"/>
  <c r="AT38" i="1" s="1"/>
  <c r="AU38" i="1" s="1"/>
  <c r="AQ22" i="1"/>
  <c r="AQ37" i="1"/>
  <c r="AT37" i="1" s="1"/>
  <c r="AU37" i="1" s="1"/>
  <c r="AQ21" i="1"/>
  <c r="AT21" i="1" s="1"/>
  <c r="AU21" i="1" s="1"/>
  <c r="BB29" i="1"/>
  <c r="BC29" i="1" s="1"/>
  <c r="BB13" i="1"/>
  <c r="BC13" i="1" s="1"/>
  <c r="AQ36" i="1"/>
  <c r="AQ20" i="1"/>
  <c r="BB28" i="1"/>
  <c r="BC28" i="1" s="1"/>
  <c r="AQ13" i="1"/>
  <c r="AT13" i="1" s="1"/>
  <c r="AU13" i="1" s="1"/>
  <c r="BB27" i="1"/>
  <c r="BC27" i="1" s="1"/>
  <c r="BB26" i="1"/>
  <c r="BC26" i="1" s="1"/>
  <c r="AQ33" i="1"/>
  <c r="BB41" i="1"/>
  <c r="BC41" i="1" s="1"/>
  <c r="BB25" i="1"/>
  <c r="BC25" i="1" s="1"/>
  <c r="AQ30" i="1"/>
  <c r="AQ26" i="1"/>
  <c r="AT26" i="1" s="1"/>
  <c r="AU26" i="1" s="1"/>
  <c r="AQ41" i="1"/>
  <c r="AQ24" i="1"/>
  <c r="AT24" i="1" s="1"/>
  <c r="AU24" i="1" s="1"/>
  <c r="BB32" i="1"/>
  <c r="BC32" i="1" s="1"/>
  <c r="AQ39" i="1"/>
  <c r="AQ35" i="1"/>
  <c r="AT35" i="1" s="1"/>
  <c r="AU35" i="1" s="1"/>
  <c r="AQ19" i="1"/>
  <c r="AT19" i="1" s="1"/>
  <c r="AU19" i="1" s="1"/>
  <c r="AQ18" i="1"/>
  <c r="AQ17" i="1"/>
  <c r="AQ32" i="1"/>
  <c r="AQ16" i="1"/>
  <c r="BB40" i="1"/>
  <c r="BC40" i="1" s="1"/>
  <c r="AQ14" i="1"/>
  <c r="AT14" i="1" s="1"/>
  <c r="AU14" i="1" s="1"/>
  <c r="AQ34" i="1"/>
  <c r="AT34" i="1" s="1"/>
  <c r="AU34" i="1" s="1"/>
  <c r="O24" i="1"/>
  <c r="AO24" i="1" s="1"/>
  <c r="BB24" i="1" s="1"/>
  <c r="BC24" i="1" s="1"/>
  <c r="J38" i="1"/>
  <c r="N38" i="1"/>
  <c r="O38" i="1" s="1"/>
  <c r="AO38" i="1" s="1"/>
  <c r="BB38" i="1" s="1"/>
  <c r="BC38" i="1" s="1"/>
  <c r="J37" i="1"/>
  <c r="J26" i="1"/>
  <c r="J35" i="1"/>
  <c r="AT27" i="1" l="1"/>
  <c r="AU27" i="1" s="1"/>
  <c r="AR27" i="1"/>
  <c r="AT36" i="1"/>
  <c r="AU36" i="1" s="1"/>
  <c r="AR36" i="1"/>
  <c r="AT29" i="1"/>
  <c r="AU29" i="1" s="1"/>
  <c r="AR29" i="1"/>
  <c r="AT31" i="1"/>
  <c r="AU31" i="1" s="1"/>
  <c r="AR31" i="1"/>
  <c r="AR40" i="1"/>
  <c r="AT18" i="1"/>
  <c r="AU18" i="1" s="1"/>
  <c r="AR18" i="1"/>
  <c r="AT23" i="1"/>
  <c r="AU23" i="1" s="1"/>
  <c r="AR23" i="1"/>
  <c r="AT20" i="1"/>
  <c r="AU20" i="1" s="1"/>
  <c r="AR20" i="1"/>
  <c r="AT39" i="1"/>
  <c r="AU39" i="1" s="1"/>
  <c r="AR39" i="1"/>
  <c r="AT25" i="1"/>
  <c r="AU25" i="1" s="1"/>
  <c r="AR25" i="1"/>
  <c r="AT28" i="1"/>
  <c r="AU28" i="1" s="1"/>
  <c r="AR28" i="1"/>
  <c r="AT30" i="1"/>
  <c r="AU30" i="1" s="1"/>
  <c r="AR30" i="1"/>
  <c r="AT16" i="1"/>
  <c r="AU16" i="1" s="1"/>
  <c r="AR16" i="1"/>
  <c r="AT32" i="1"/>
  <c r="AU32" i="1" s="1"/>
  <c r="AR32" i="1"/>
  <c r="AT41" i="1"/>
  <c r="AU41" i="1" s="1"/>
  <c r="AR41" i="1"/>
  <c r="AT22" i="1"/>
  <c r="AU22" i="1" s="1"/>
  <c r="AR22" i="1"/>
  <c r="AT33" i="1"/>
  <c r="AU33" i="1" s="1"/>
  <c r="AR33" i="1"/>
  <c r="AT17" i="1"/>
  <c r="AU17" i="1" s="1"/>
  <c r="AR17" i="1"/>
  <c r="AT15" i="1"/>
  <c r="AU15" i="1" s="1"/>
  <c r="AR15" i="1"/>
  <c r="AR19" i="1"/>
  <c r="AR37" i="1"/>
  <c r="AR21" i="1"/>
  <c r="AR38" i="1"/>
  <c r="O34" i="1"/>
  <c r="AO34" i="1" s="1"/>
  <c r="BD39" i="1"/>
  <c r="BD38" i="1"/>
  <c r="BD15" i="1"/>
  <c r="BD16" i="1"/>
  <c r="BD17" i="1"/>
  <c r="BD33" i="1"/>
  <c r="BD41" i="1"/>
  <c r="BD18" i="1"/>
  <c r="BD19" i="1"/>
  <c r="BD36" i="1"/>
  <c r="BD20" i="1"/>
  <c r="BD31" i="1"/>
  <c r="BD27" i="1"/>
  <c r="BD32" i="1"/>
  <c r="BD21" i="1"/>
  <c r="BD30" i="1"/>
  <c r="BD40" i="1"/>
  <c r="BD29" i="1"/>
  <c r="BD25" i="1"/>
  <c r="BD22" i="1"/>
  <c r="BD28" i="1"/>
  <c r="BD23" i="1"/>
  <c r="J34" i="1"/>
  <c r="J24" i="1"/>
  <c r="AR24" i="1" s="1"/>
  <c r="AR26" i="1"/>
  <c r="AR35" i="1"/>
  <c r="AR13" i="1"/>
  <c r="BB34" i="1" l="1"/>
  <c r="O11" i="1"/>
  <c r="AO11" i="1" s="1"/>
  <c r="AR34" i="1"/>
  <c r="BD13" i="1"/>
  <c r="BD24" i="1"/>
  <c r="BD26" i="1"/>
  <c r="BD35" i="1"/>
  <c r="BD37" i="1"/>
  <c r="AW12" i="1"/>
  <c r="AI12" i="1"/>
  <c r="AN12" i="1" s="1"/>
  <c r="AG12" i="1"/>
  <c r="AH12" i="1"/>
  <c r="AH11" i="1"/>
  <c r="AG11" i="1"/>
  <c r="AI11" i="1"/>
  <c r="AN11" i="1" s="1"/>
  <c r="AW11" i="1"/>
  <c r="BC34" i="1" l="1"/>
  <c r="BD34" i="1" s="1"/>
  <c r="T11" i="4"/>
  <c r="BB11" i="1"/>
  <c r="BC11" i="1" s="1"/>
  <c r="BB12" i="1"/>
  <c r="BC12" i="1" s="1"/>
  <c r="T14" i="4"/>
  <c r="W12" i="4"/>
  <c r="W11" i="4"/>
  <c r="O14" i="1"/>
  <c r="AO14" i="1" s="1"/>
  <c r="AR14" i="1" s="1"/>
  <c r="AQ11" i="1"/>
  <c r="AT11" i="1" s="1"/>
  <c r="AP12" i="1"/>
  <c r="AQ12" i="1"/>
  <c r="AT12" i="1" s="1"/>
  <c r="S12" i="1"/>
  <c r="T12" i="1" s="1"/>
  <c r="AS12" i="1" s="1"/>
  <c r="Y74" i="4" l="1"/>
  <c r="BE11" i="1"/>
  <c r="W14" i="4"/>
  <c r="W15" i="4"/>
  <c r="AC11" i="4"/>
  <c r="AK11" i="4" s="1"/>
  <c r="AC12" i="4"/>
  <c r="AK12" i="4" s="1"/>
  <c r="BB14" i="1"/>
  <c r="BC14" i="1" s="1"/>
  <c r="AU12" i="1"/>
  <c r="AR12" i="1"/>
  <c r="AS11" i="1"/>
  <c r="AU11" i="1" s="1"/>
  <c r="AP11" i="1"/>
  <c r="AR11" i="1" s="1"/>
  <c r="Y42" i="4" l="1"/>
  <c r="AC42" i="4" s="1"/>
  <c r="AK42" i="4" s="1"/>
  <c r="AC39" i="4"/>
  <c r="AK39" i="4" s="1"/>
  <c r="AC33" i="4"/>
  <c r="AK33" i="4" s="1"/>
  <c r="AC30" i="4"/>
  <c r="AK30" i="4" s="1"/>
  <c r="AC27" i="4"/>
  <c r="AK27" i="4" s="1"/>
  <c r="AC36" i="4"/>
  <c r="AK36" i="4" s="1"/>
  <c r="Y41" i="4"/>
  <c r="AC41" i="4" s="1"/>
  <c r="AK41" i="4" s="1"/>
  <c r="AC35" i="4"/>
  <c r="AK35" i="4" s="1"/>
  <c r="AC32" i="4"/>
  <c r="AK32" i="4" s="1"/>
  <c r="AC26" i="4"/>
  <c r="AK26" i="4" s="1"/>
  <c r="AC29" i="4"/>
  <c r="AK29" i="4" s="1"/>
  <c r="Y38" i="4"/>
  <c r="AC38" i="4" s="1"/>
  <c r="AK38" i="4" s="1"/>
  <c r="Y47" i="4"/>
  <c r="AC47" i="4" s="1"/>
  <c r="AK47" i="4" s="1"/>
  <c r="Y44" i="4"/>
  <c r="AC44" i="4" s="1"/>
  <c r="AK44" i="4" s="1"/>
  <c r="BE15" i="1"/>
  <c r="BE14" i="1"/>
  <c r="BF14" i="1" s="1"/>
  <c r="BE13" i="1"/>
  <c r="BE12" i="1"/>
  <c r="BF11" i="1"/>
  <c r="AC15" i="4"/>
  <c r="AK15" i="4" s="1"/>
  <c r="AC24" i="4"/>
  <c r="AK24" i="4" s="1"/>
  <c r="Y102" i="4"/>
  <c r="AC102" i="4" s="1"/>
  <c r="AK102" i="4" s="1"/>
  <c r="Y99" i="4"/>
  <c r="AC99" i="4" s="1"/>
  <c r="AK99" i="4" s="1"/>
  <c r="AC14" i="4"/>
  <c r="AK14" i="4" s="1"/>
  <c r="Y78" i="4"/>
  <c r="AC78" i="4" s="1"/>
  <c r="AK78" i="4" s="1"/>
  <c r="AC21" i="4"/>
  <c r="AK21" i="4" s="1"/>
  <c r="Y75" i="4"/>
  <c r="AC75" i="4" s="1"/>
  <c r="AK75" i="4" s="1"/>
  <c r="Y81" i="4"/>
  <c r="AC18" i="4"/>
  <c r="AK18" i="4" s="1"/>
  <c r="Y51" i="4"/>
  <c r="Y48" i="4"/>
  <c r="AC48" i="4" s="1"/>
  <c r="AK48" i="4" s="1"/>
  <c r="AC45" i="4"/>
  <c r="AK45" i="4" s="1"/>
  <c r="AC17" i="4"/>
  <c r="AK17" i="4" s="1"/>
  <c r="Y50" i="4"/>
  <c r="Y53" i="4" s="1"/>
  <c r="AC23" i="4"/>
  <c r="AK23" i="4" s="1"/>
  <c r="Y101" i="4"/>
  <c r="AC101" i="4" s="1"/>
  <c r="AK101" i="4" s="1"/>
  <c r="Y98" i="4"/>
  <c r="AC98" i="4" s="1"/>
  <c r="AK98" i="4" s="1"/>
  <c r="AC20" i="4"/>
  <c r="AK20" i="4" s="1"/>
  <c r="Y77" i="4"/>
  <c r="AC77" i="4" s="1"/>
  <c r="AK77" i="4" s="1"/>
  <c r="Y80" i="4"/>
  <c r="AC74" i="4"/>
  <c r="AK74" i="4" s="1"/>
  <c r="BD14" i="1"/>
  <c r="BD12" i="1"/>
  <c r="BD11" i="1"/>
  <c r="BE21" i="1" l="1"/>
  <c r="BF21" i="1" s="1"/>
  <c r="BE17" i="1"/>
  <c r="BF17" i="1" s="1"/>
  <c r="BE18" i="1"/>
  <c r="BF18" i="1" s="1"/>
  <c r="BE16" i="1"/>
  <c r="BF16" i="1" s="1"/>
  <c r="BE19" i="1"/>
  <c r="BF19" i="1" s="1"/>
  <c r="BE20" i="1"/>
  <c r="BF20" i="1" s="1"/>
  <c r="BF12" i="1"/>
  <c r="BE22" i="1"/>
  <c r="BF22" i="1" s="1"/>
  <c r="BE24" i="1"/>
  <c r="BE23" i="1"/>
  <c r="BF23" i="1" s="1"/>
  <c r="BF13" i="1"/>
  <c r="BE34" i="1"/>
  <c r="BE33" i="1"/>
  <c r="BF33" i="1" s="1"/>
  <c r="BE32" i="1"/>
  <c r="BF32" i="1" s="1"/>
  <c r="BE41" i="1"/>
  <c r="BF41" i="1" s="1"/>
  <c r="BE40" i="1"/>
  <c r="BF40" i="1" s="1"/>
  <c r="BF15" i="1"/>
  <c r="AC81" i="4"/>
  <c r="AK81" i="4" s="1"/>
  <c r="Y90" i="4"/>
  <c r="AC90" i="4" s="1"/>
  <c r="AK90" i="4" s="1"/>
  <c r="Y93" i="4"/>
  <c r="AC93" i="4" s="1"/>
  <c r="AK93" i="4" s="1"/>
  <c r="Y87" i="4"/>
  <c r="AC87" i="4" s="1"/>
  <c r="AK87" i="4" s="1"/>
  <c r="Y96" i="4"/>
  <c r="AC96" i="4" s="1"/>
  <c r="AK96" i="4" s="1"/>
  <c r="Y84" i="4"/>
  <c r="AC84" i="4" s="1"/>
  <c r="AK84" i="4" s="1"/>
  <c r="Y65" i="4"/>
  <c r="AC65" i="4" s="1"/>
  <c r="AK65" i="4" s="1"/>
  <c r="Y62" i="4"/>
  <c r="AC62" i="4" s="1"/>
  <c r="AK62" i="4" s="1"/>
  <c r="Y68" i="4"/>
  <c r="AC68" i="4" s="1"/>
  <c r="AK68" i="4" s="1"/>
  <c r="Y56" i="4"/>
  <c r="AC56" i="4" s="1"/>
  <c r="AK56" i="4" s="1"/>
  <c r="AC53" i="4"/>
  <c r="AK53" i="4" s="1"/>
  <c r="Y71" i="4"/>
  <c r="AC71" i="4" s="1"/>
  <c r="AK71" i="4" s="1"/>
  <c r="Y59" i="4"/>
  <c r="AC59" i="4" s="1"/>
  <c r="AK59" i="4" s="1"/>
  <c r="AC50" i="4"/>
  <c r="AK50" i="4" s="1"/>
  <c r="AC51" i="4"/>
  <c r="AK51" i="4" s="1"/>
  <c r="Y66" i="4"/>
  <c r="AC66" i="4" s="1"/>
  <c r="AK66" i="4" s="1"/>
  <c r="Y57" i="4"/>
  <c r="AC57" i="4" s="1"/>
  <c r="AK57" i="4" s="1"/>
  <c r="Y69" i="4"/>
  <c r="AC69" i="4" s="1"/>
  <c r="AK69" i="4" s="1"/>
  <c r="Y63" i="4"/>
  <c r="AC63" i="4" s="1"/>
  <c r="AK63" i="4" s="1"/>
  <c r="Y72" i="4"/>
  <c r="AC72" i="4" s="1"/>
  <c r="AK72" i="4" s="1"/>
  <c r="Y60" i="4"/>
  <c r="AC60" i="4" s="1"/>
  <c r="AK60" i="4" s="1"/>
  <c r="AC54" i="4"/>
  <c r="AK54" i="4" s="1"/>
  <c r="Y92" i="4"/>
  <c r="AC92" i="4" s="1"/>
  <c r="AK92" i="4" s="1"/>
  <c r="Y86" i="4"/>
  <c r="AC86" i="4" s="1"/>
  <c r="AK86" i="4" s="1"/>
  <c r="AC80" i="4"/>
  <c r="AK80" i="4" s="1"/>
  <c r="Y83" i="4"/>
  <c r="AC83" i="4" s="1"/>
  <c r="AK83" i="4" s="1"/>
  <c r="Y89" i="4"/>
  <c r="AC89" i="4" s="1"/>
  <c r="AK89" i="4" s="1"/>
  <c r="Y95" i="4"/>
  <c r="AC95" i="4" s="1"/>
  <c r="AK95" i="4" s="1"/>
  <c r="BE39" i="1" l="1"/>
  <c r="BF39" i="1" s="1"/>
  <c r="BE37" i="1"/>
  <c r="BF37" i="1" s="1"/>
  <c r="BE38" i="1"/>
  <c r="BF38" i="1" s="1"/>
  <c r="BE35" i="1"/>
  <c r="BF35" i="1" s="1"/>
  <c r="BE36" i="1"/>
  <c r="BF36" i="1" s="1"/>
  <c r="BF34" i="1"/>
  <c r="BE31" i="1"/>
  <c r="BF31" i="1" s="1"/>
  <c r="BE30" i="1"/>
  <c r="BF30" i="1" s="1"/>
  <c r="BE29" i="1"/>
  <c r="BF29" i="1" s="1"/>
  <c r="BE28" i="1"/>
  <c r="BF28" i="1" s="1"/>
  <c r="BE26" i="1"/>
  <c r="BF26" i="1" s="1"/>
  <c r="BE25" i="1"/>
  <c r="BF25" i="1" s="1"/>
  <c r="BE27" i="1"/>
  <c r="BF27" i="1" s="1"/>
  <c r="BF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azevedo</author>
  </authors>
  <commentList>
    <comment ref="AJ9" authorId="0" shapeId="0" xr:uid="{076EBFC0-7223-4B45-B34C-9DCCD5F1E03E}">
      <text>
        <r>
          <rPr>
            <b/>
            <sz val="9"/>
            <color indexed="81"/>
            <rFont val="Tahoma"/>
            <family val="2"/>
          </rPr>
          <t>Pag.393 - 394</t>
        </r>
      </text>
    </comment>
    <comment ref="AK9" authorId="0" shapeId="0" xr:uid="{B66B679F-29F3-44F8-BD2F-A91C77F49E69}">
      <text>
        <r>
          <rPr>
            <b/>
            <sz val="9"/>
            <color indexed="81"/>
            <rFont val="Tahoma"/>
            <family val="2"/>
          </rPr>
          <t>Pag.394 - 397</t>
        </r>
      </text>
    </comment>
    <comment ref="AL9" authorId="0" shapeId="0" xr:uid="{72D1E957-D04F-412D-A2EC-5DAA3DD77792}">
      <text>
        <r>
          <rPr>
            <b/>
            <sz val="9"/>
            <color indexed="81"/>
            <rFont val="Tahoma"/>
            <family val="2"/>
          </rPr>
          <t>Pag. 398</t>
        </r>
      </text>
    </comment>
    <comment ref="AM9" authorId="0" shapeId="0" xr:uid="{9F947AB7-D0E7-4DFB-9CB4-A0752EAB4498}">
      <text>
        <r>
          <rPr>
            <b/>
            <sz val="9"/>
            <color indexed="81"/>
            <rFont val="Tahoma"/>
            <family val="2"/>
          </rPr>
          <t>METODO: 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<sst xmlns="http://schemas.openxmlformats.org/spreadsheetml/2006/main" count="1032" uniqueCount="223">
  <si>
    <t>S (kVA)</t>
  </si>
  <si>
    <t>P (kW)</t>
  </si>
  <si>
    <t>Tensão (V)</t>
  </si>
  <si>
    <t>Ku</t>
  </si>
  <si>
    <t>Ks</t>
  </si>
  <si>
    <t>Ke</t>
  </si>
  <si>
    <t>S' (kVA)</t>
  </si>
  <si>
    <r>
      <t>I</t>
    </r>
    <r>
      <rPr>
        <b/>
        <sz val="8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(A)</t>
    </r>
  </si>
  <si>
    <t>I'B (A)</t>
  </si>
  <si>
    <t>Circuito</t>
  </si>
  <si>
    <t>Corrente de Serviço</t>
  </si>
  <si>
    <t>Origem</t>
  </si>
  <si>
    <t>Destino</t>
  </si>
  <si>
    <t xml:space="preserve">cos φ </t>
  </si>
  <si>
    <t>Tensões</t>
  </si>
  <si>
    <t>In</t>
  </si>
  <si>
    <t>Proteção</t>
  </si>
  <si>
    <t>Tipo</t>
  </si>
  <si>
    <t>I2</t>
  </si>
  <si>
    <t>D</t>
  </si>
  <si>
    <t>DR</t>
  </si>
  <si>
    <t>F</t>
  </si>
  <si>
    <t>&gt; 16</t>
  </si>
  <si>
    <t>&lt;= 16</t>
  </si>
  <si>
    <t>&lt;= 4</t>
  </si>
  <si>
    <t>1.45  * IN</t>
  </si>
  <si>
    <t>1.3 * IN</t>
  </si>
  <si>
    <t>2.1 * IN</t>
  </si>
  <si>
    <t>1.9 * IN</t>
  </si>
  <si>
    <t>1.6 * IN</t>
  </si>
  <si>
    <t>Metodo de referencia e modo de instalação</t>
  </si>
  <si>
    <t>Cabo</t>
  </si>
  <si>
    <t>L (m)</t>
  </si>
  <si>
    <t>Material</t>
  </si>
  <si>
    <t>Isolamento</t>
  </si>
  <si>
    <t>Dimensionamento de Canalizações Elétricas</t>
  </si>
  <si>
    <t>Correntes Admissiveis (Iz)</t>
  </si>
  <si>
    <t>S (mm2)</t>
  </si>
  <si>
    <t>Iz' (A)</t>
  </si>
  <si>
    <t>Verificação das condições proteção</t>
  </si>
  <si>
    <t>Tipo de instalação</t>
  </si>
  <si>
    <t>Tipo Instalações</t>
  </si>
  <si>
    <t>%</t>
  </si>
  <si>
    <t>Al</t>
  </si>
  <si>
    <t>Cu</t>
  </si>
  <si>
    <t>Resistividade</t>
  </si>
  <si>
    <t>A</t>
  </si>
  <si>
    <t>B</t>
  </si>
  <si>
    <t>E</t>
  </si>
  <si>
    <t>G</t>
  </si>
  <si>
    <t>PVC</t>
  </si>
  <si>
    <t>11A</t>
  </si>
  <si>
    <t>33A</t>
  </si>
  <si>
    <t>34A</t>
  </si>
  <si>
    <t>Métodos e Ref. Méodos  (pag.250)</t>
  </si>
  <si>
    <t>Semi-condutores</t>
  </si>
  <si>
    <t>Natureza</t>
  </si>
  <si>
    <t>Isolamentos</t>
  </si>
  <si>
    <t>XLPE/EPR</t>
  </si>
  <si>
    <t>Mineral</t>
  </si>
  <si>
    <t>Nº Condutores 
Carregados</t>
  </si>
  <si>
    <t>Ref. 
Modo de instalação (52H)</t>
  </si>
  <si>
    <t>S (mm2) total 
[fases]</t>
  </si>
  <si>
    <t>S (mm2) total
 [neutro]</t>
  </si>
  <si>
    <t>[N] Cabos 
Paralelo</t>
  </si>
  <si>
    <t>[F] Cabos 
Paralelos</t>
  </si>
  <si>
    <r>
      <t>I</t>
    </r>
    <r>
      <rPr>
        <b/>
        <sz val="8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</si>
  <si>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</si>
  <si>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/ I</t>
    </r>
    <r>
      <rPr>
        <b/>
        <sz val="8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(Percentagem regulada)</t>
    </r>
  </si>
  <si>
    <r>
      <t>I</t>
    </r>
    <r>
      <rPr>
        <b/>
        <sz val="8"/>
        <color theme="1"/>
        <rFont val="Aptos Narrow"/>
        <family val="2"/>
        <scheme val="minor"/>
      </rPr>
      <t>Z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</si>
  <si>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Z</t>
    </r>
    <r>
      <rPr>
        <b/>
        <sz val="11"/>
        <color theme="1"/>
        <rFont val="Aptos Narrow"/>
        <family val="2"/>
        <scheme val="minor"/>
      </rPr>
      <t xml:space="preserve"> (A) Total</t>
    </r>
  </si>
  <si>
    <r>
      <t>I</t>
    </r>
    <r>
      <rPr>
        <b/>
        <sz val="8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&lt;=I</t>
    </r>
    <r>
      <rPr>
        <b/>
        <sz val="8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&lt;=Iz</t>
    </r>
  </si>
  <si>
    <r>
      <t>I</t>
    </r>
    <r>
      <rPr>
        <b/>
        <sz val="8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&lt;= 1.45*Iz'</t>
    </r>
  </si>
  <si>
    <r>
      <rPr>
        <b/>
        <sz val="11"/>
        <color theme="1"/>
        <rFont val="Aptos Narrow"/>
        <family val="2"/>
      </rPr>
      <t xml:space="preserve">ρ </t>
    </r>
    <r>
      <rPr>
        <sz val="8"/>
        <color theme="1"/>
        <rFont val="Aptos Narrow"/>
        <family val="2"/>
        <scheme val="minor"/>
      </rPr>
      <t>(resistividade)</t>
    </r>
    <r>
      <rPr>
        <b/>
        <sz val="8"/>
        <color theme="1"/>
        <rFont val="Aptos Narrow"/>
        <family val="2"/>
        <scheme val="minor"/>
      </rPr>
      <t xml:space="preserve">
</t>
    </r>
    <r>
      <rPr>
        <b/>
        <sz val="9"/>
        <color theme="1"/>
        <rFont val="Aptos Narrow"/>
        <family val="2"/>
        <scheme val="minor"/>
      </rPr>
      <t>[</t>
    </r>
    <r>
      <rPr>
        <b/>
        <sz val="9"/>
        <color theme="1"/>
        <rFont val="Aptos Narrow"/>
        <family val="2"/>
      </rPr>
      <t>Ωmm2/m</t>
    </r>
    <r>
      <rPr>
        <b/>
        <sz val="9"/>
        <color theme="1"/>
        <rFont val="Aptos Narrow"/>
        <family val="2"/>
        <scheme val="minor"/>
      </rPr>
      <t>]</t>
    </r>
  </si>
  <si>
    <t>1.45*Iz' (A)</t>
  </si>
  <si>
    <t>Δu(%)</t>
  </si>
  <si>
    <r>
      <rPr>
        <b/>
        <sz val="11"/>
        <color theme="1"/>
        <rFont val="Aptos Narrow"/>
        <family val="2"/>
      </rPr>
      <t>Δu</t>
    </r>
    <r>
      <rPr>
        <b/>
        <sz val="8"/>
        <color theme="1"/>
        <rFont val="Aptos Narrow"/>
        <family val="2"/>
        <scheme val="minor"/>
      </rPr>
      <t>max</t>
    </r>
    <r>
      <rPr>
        <b/>
        <sz val="11"/>
        <color theme="1"/>
        <rFont val="Aptos Narrow"/>
        <family val="2"/>
        <scheme val="minor"/>
      </rPr>
      <t xml:space="preserve"> (%)</t>
    </r>
  </si>
  <si>
    <t>u(V)</t>
  </si>
  <si>
    <r>
      <t>Δu &lt; Δu</t>
    </r>
    <r>
      <rPr>
        <b/>
        <sz val="8"/>
        <color theme="1"/>
        <rFont val="Aptos Narrow"/>
        <family val="2"/>
        <scheme val="minor"/>
      </rPr>
      <t xml:space="preserve">max </t>
    </r>
  </si>
  <si>
    <t>A2_</t>
  </si>
  <si>
    <t>B2_</t>
  </si>
  <si>
    <t>C_</t>
  </si>
  <si>
    <t>Instalação coletiva - coluna</t>
  </si>
  <si>
    <t>Secção 
(Corrente Admissível)</t>
  </si>
  <si>
    <t>Tipos de 
proteção</t>
  </si>
  <si>
    <r>
      <t xml:space="preserve">Quadro RTIEBT
</t>
    </r>
    <r>
      <rPr>
        <sz val="8"/>
        <color theme="1"/>
        <rFont val="Aptos Narrow"/>
        <family val="2"/>
        <scheme val="minor"/>
      </rPr>
      <t>(pag. 378 - 392)</t>
    </r>
  </si>
  <si>
    <r>
      <t xml:space="preserve">Método Referencia
</t>
    </r>
    <r>
      <rPr>
        <sz val="8"/>
        <color theme="1"/>
        <rFont val="Aptos Narrow"/>
        <family val="2"/>
        <scheme val="minor"/>
      </rPr>
      <t>(pag.250 - 255)</t>
    </r>
  </si>
  <si>
    <r>
      <t>I</t>
    </r>
    <r>
      <rPr>
        <b/>
        <sz val="8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(A)  
</t>
    </r>
    <r>
      <rPr>
        <sz val="9"/>
        <color theme="1"/>
        <rFont val="Aptos Narrow"/>
        <family val="2"/>
        <scheme val="minor"/>
      </rPr>
      <t xml:space="preserve">(novo </t>
    </r>
    <r>
      <rPr>
        <b/>
        <sz val="9"/>
        <color theme="1"/>
        <rFont val="Aptos Narrow"/>
        <family val="2"/>
        <scheme val="minor"/>
      </rPr>
      <t>IN</t>
    </r>
    <r>
      <rPr>
        <sz val="9"/>
        <color theme="1"/>
        <rFont val="Aptos Narrow"/>
        <family val="2"/>
        <scheme val="minor"/>
      </rPr>
      <t>)</t>
    </r>
  </si>
  <si>
    <r>
      <t xml:space="preserve">Queda de tensão
</t>
    </r>
    <r>
      <rPr>
        <sz val="8"/>
        <color theme="1"/>
        <rFont val="Aptos Narrow"/>
        <family val="2"/>
        <scheme val="minor"/>
      </rPr>
      <t>(pag.270)</t>
    </r>
  </si>
  <si>
    <r>
      <t xml:space="preserve">cos </t>
    </r>
    <r>
      <rPr>
        <b/>
        <sz val="11"/>
        <color theme="1"/>
        <rFont val="Aptos Narrow"/>
        <family val="2"/>
      </rPr>
      <t>Φ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8"/>
        <color theme="1"/>
        <rFont val="Aptos Narrow"/>
        <family val="2"/>
        <scheme val="minor"/>
      </rPr>
      <t>(default = 0,8)</t>
    </r>
  </si>
  <si>
    <r>
      <t xml:space="preserve">sin Φ
</t>
    </r>
    <r>
      <rPr>
        <sz val="8"/>
        <color theme="1"/>
        <rFont val="Aptos Narrow"/>
        <family val="2"/>
        <scheme val="minor"/>
      </rPr>
      <t>(default = 0,6)</t>
    </r>
  </si>
  <si>
    <r>
      <rPr>
        <b/>
        <sz val="11"/>
        <color theme="1"/>
        <rFont val="Aptos Narrow"/>
        <family val="2"/>
      </rPr>
      <t>λ fase</t>
    </r>
    <r>
      <rPr>
        <sz val="8"/>
        <color theme="1"/>
        <rFont val="Aptos Narrow"/>
        <family val="2"/>
      </rPr>
      <t xml:space="preserve"> (</t>
    </r>
    <r>
      <rPr>
        <sz val="8"/>
        <color theme="1"/>
        <rFont val="Aptos Narrow"/>
        <family val="2"/>
        <scheme val="minor"/>
      </rPr>
      <t xml:space="preserve">reatancia linear) 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9"/>
        <color theme="1"/>
        <rFont val="Aptos Narrow"/>
        <family val="2"/>
        <scheme val="minor"/>
      </rPr>
      <t>[Ω/m]</t>
    </r>
    <r>
      <rPr>
        <sz val="8"/>
        <color theme="1"/>
        <rFont val="Aptos Narrow"/>
        <family val="2"/>
        <scheme val="minor"/>
      </rPr>
      <t xml:space="preserve"> (default = 0,00008)</t>
    </r>
  </si>
  <si>
    <t>Referencia 
Cabo</t>
  </si>
  <si>
    <t>Instalação Media Tensão (iluminação)</t>
  </si>
  <si>
    <t>Instalação Baixa Tensão (iluminação)</t>
  </si>
  <si>
    <t>Instalação coletiva - entrada</t>
  </si>
  <si>
    <t>Entrada individual - portinhola</t>
  </si>
  <si>
    <t>Instalação Baixa Tensão (outros usos)</t>
  </si>
  <si>
    <t>Instalação Media Tensão (outros usos)</t>
  </si>
  <si>
    <t>Tabelas 52-C</t>
  </si>
  <si>
    <t>QGBT</t>
  </si>
  <si>
    <t>QE</t>
  </si>
  <si>
    <t>QP-SA</t>
  </si>
  <si>
    <t>QP-AP1</t>
  </si>
  <si>
    <t>QP-AP2</t>
  </si>
  <si>
    <t>QP-CD</t>
  </si>
  <si>
    <t>QE-G</t>
  </si>
  <si>
    <t>QE-A.AF</t>
  </si>
  <si>
    <t>QE-S.R</t>
  </si>
  <si>
    <t>QE-AC</t>
  </si>
  <si>
    <t>QE-P</t>
  </si>
  <si>
    <t>QE-A.L</t>
  </si>
  <si>
    <t>QE-PIN</t>
  </si>
  <si>
    <t>QE-SEC</t>
  </si>
  <si>
    <t>QE-AP1</t>
  </si>
  <si>
    <t>QE-AVAC.1</t>
  </si>
  <si>
    <t>QE-M1</t>
  </si>
  <si>
    <t>QE-M2</t>
  </si>
  <si>
    <t>QE-M3</t>
  </si>
  <si>
    <t>QE-M4</t>
  </si>
  <si>
    <t>QE-M5</t>
  </si>
  <si>
    <t>QE-M6</t>
  </si>
  <si>
    <t>QE-A.P</t>
  </si>
  <si>
    <t>QE-A.M</t>
  </si>
  <si>
    <t>QE-AP2</t>
  </si>
  <si>
    <t>QE-M7</t>
  </si>
  <si>
    <t>QE-M8</t>
  </si>
  <si>
    <t>QE-M9</t>
  </si>
  <si>
    <t>QE-M10</t>
  </si>
  <si>
    <t>QE-AVAC.2</t>
  </si>
  <si>
    <t>QE-CD</t>
  </si>
  <si>
    <t>QE-B</t>
  </si>
  <si>
    <t>52-C11</t>
  </si>
  <si>
    <t xml:space="preserve">Balanço de potência </t>
  </si>
  <si>
    <t>Δu(%) acumulado</t>
  </si>
  <si>
    <t xml:space="preserve">Δu(%) acumulado &lt; Δumax(%) </t>
  </si>
  <si>
    <t>Cálculo das correntes de curto circuito</t>
  </si>
  <si>
    <t>Xr</t>
  </si>
  <si>
    <t>V</t>
  </si>
  <si>
    <t>MVA</t>
  </si>
  <si>
    <t>Ω</t>
  </si>
  <si>
    <t>P</t>
  </si>
  <si>
    <t>kVA</t>
  </si>
  <si>
    <t>W</t>
  </si>
  <si>
    <t>Tensão de curto circuito</t>
  </si>
  <si>
    <t>Perdas no ferro</t>
  </si>
  <si>
    <t>Perdas no cobre</t>
  </si>
  <si>
    <t xml:space="preserve">Xt </t>
  </si>
  <si>
    <t>Rede a montante (Xr)</t>
  </si>
  <si>
    <t>Transformador (Xt)</t>
  </si>
  <si>
    <t>Canalizações elétricas</t>
  </si>
  <si>
    <t>X</t>
  </si>
  <si>
    <t>Ω/m</t>
  </si>
  <si>
    <t>mΩ/m</t>
  </si>
  <si>
    <t>ρ0(Ω)</t>
  </si>
  <si>
    <t>ρ1(Ω)</t>
  </si>
  <si>
    <t>Troço</t>
  </si>
  <si>
    <t>Impedância da malha de defeito</t>
  </si>
  <si>
    <r>
      <t xml:space="preserve">L
</t>
    </r>
    <r>
      <rPr>
        <sz val="8"/>
        <color theme="1"/>
        <rFont val="Aptos Narrow"/>
        <family val="2"/>
      </rPr>
      <t>comprimento (m)</t>
    </r>
  </si>
  <si>
    <r>
      <t xml:space="preserve">S
</t>
    </r>
    <r>
      <rPr>
        <sz val="8"/>
        <color theme="1"/>
        <rFont val="Aptos Narrow"/>
        <family val="2"/>
        <scheme val="minor"/>
      </rPr>
      <t>secção (mm2)</t>
    </r>
  </si>
  <si>
    <r>
      <t xml:space="preserve">R
</t>
    </r>
    <r>
      <rPr>
        <sz val="8"/>
        <color theme="1"/>
        <rFont val="Aptos Narrow"/>
        <family val="2"/>
        <scheme val="minor"/>
      </rPr>
      <t>Resistencias (Ω)</t>
    </r>
  </si>
  <si>
    <r>
      <t xml:space="preserve">X
</t>
    </r>
    <r>
      <rPr>
        <sz val="8"/>
        <color theme="1"/>
        <rFont val="Aptos Narrow"/>
        <family val="2"/>
        <scheme val="minor"/>
      </rPr>
      <t>Reatancias (Ω/m)</t>
    </r>
  </si>
  <si>
    <t>Calculo da corrente de curto circuito</t>
  </si>
  <si>
    <t>Impredância da malha de defeito</t>
  </si>
  <si>
    <t>Curto Circuito 3ph max</t>
  </si>
  <si>
    <r>
      <t>U</t>
    </r>
    <r>
      <rPr>
        <b/>
        <sz val="8"/>
        <color theme="1"/>
        <rFont val="Aptos Narrow"/>
        <family val="2"/>
        <scheme val="minor"/>
      </rPr>
      <t>S</t>
    </r>
  </si>
  <si>
    <r>
      <t>U</t>
    </r>
    <r>
      <rPr>
        <b/>
        <sz val="8"/>
        <color theme="1"/>
        <rFont val="Aptos Narrow"/>
        <family val="2"/>
        <scheme val="minor"/>
      </rPr>
      <t>P</t>
    </r>
  </si>
  <si>
    <r>
      <t>S</t>
    </r>
    <r>
      <rPr>
        <b/>
        <sz val="8"/>
        <color theme="1"/>
        <rFont val="Aptos Narrow"/>
        <family val="2"/>
        <scheme val="minor"/>
      </rPr>
      <t>SC</t>
    </r>
  </si>
  <si>
    <r>
      <t>U</t>
    </r>
    <r>
      <rPr>
        <b/>
        <sz val="8"/>
        <color theme="1"/>
        <rFont val="Aptos Narrow"/>
        <family val="2"/>
        <scheme val="minor"/>
      </rPr>
      <t>CC</t>
    </r>
  </si>
  <si>
    <r>
      <t>W</t>
    </r>
    <r>
      <rPr>
        <b/>
        <sz val="8"/>
        <color theme="1"/>
        <rFont val="Aptos Narrow"/>
        <family val="2"/>
        <scheme val="minor"/>
      </rPr>
      <t>FE</t>
    </r>
  </si>
  <si>
    <r>
      <t>W</t>
    </r>
    <r>
      <rPr>
        <b/>
        <sz val="8"/>
        <color theme="1"/>
        <rFont val="Aptos Narrow"/>
        <family val="2"/>
        <scheme val="minor"/>
      </rPr>
      <t>CU</t>
    </r>
  </si>
  <si>
    <r>
      <t>I</t>
    </r>
    <r>
      <rPr>
        <b/>
        <sz val="8"/>
        <color theme="1"/>
        <rFont val="Aptos Narrow"/>
        <family val="2"/>
        <scheme val="minor"/>
      </rPr>
      <t>P</t>
    </r>
  </si>
  <si>
    <r>
      <t>I</t>
    </r>
    <r>
      <rPr>
        <b/>
        <sz val="8"/>
        <color theme="1"/>
        <rFont val="Aptos Narrow"/>
        <family val="2"/>
        <scheme val="minor"/>
      </rPr>
      <t>S</t>
    </r>
  </si>
  <si>
    <t>Reatância da rede a montante</t>
  </si>
  <si>
    <t xml:space="preserve">Potência do transformador </t>
  </si>
  <si>
    <t>Reatância do transformador</t>
  </si>
  <si>
    <t>Potência de curto circuito</t>
  </si>
  <si>
    <t>Tensão no secundário</t>
  </si>
  <si>
    <t>Tensão no primário</t>
  </si>
  <si>
    <t>Corrente no primário</t>
  </si>
  <si>
    <t>Corrente no secundário</t>
  </si>
  <si>
    <t>Resistividades</t>
  </si>
  <si>
    <r>
      <t xml:space="preserve">resistividade do </t>
    </r>
    <r>
      <rPr>
        <b/>
        <sz val="11"/>
        <color theme="1"/>
        <rFont val="Aptos Narrow"/>
        <family val="2"/>
        <scheme val="minor"/>
      </rPr>
      <t>cobre</t>
    </r>
    <r>
      <rPr>
        <sz val="11"/>
        <color theme="1"/>
        <rFont val="Aptos Narrow"/>
        <family val="2"/>
        <scheme val="minor"/>
      </rPr>
      <t xml:space="preserve"> (a 20ºC)</t>
    </r>
  </si>
  <si>
    <r>
      <t xml:space="preserve">resistividade do </t>
    </r>
    <r>
      <rPr>
        <b/>
        <sz val="11"/>
        <color theme="1"/>
        <rFont val="Aptos Narrow"/>
        <family val="2"/>
        <scheme val="minor"/>
      </rPr>
      <t>cobre</t>
    </r>
    <r>
      <rPr>
        <sz val="11"/>
        <color theme="1"/>
        <rFont val="Aptos Narrow"/>
        <family val="2"/>
        <scheme val="minor"/>
      </rPr>
      <t xml:space="preserve"> (x 1,25 o valor a 20ºC)</t>
    </r>
  </si>
  <si>
    <r>
      <t xml:space="preserve">resistividade do </t>
    </r>
    <r>
      <rPr>
        <b/>
        <sz val="11"/>
        <color theme="1"/>
        <rFont val="Aptos Narrow"/>
        <family val="2"/>
        <scheme val="minor"/>
      </rPr>
      <t>aluminio</t>
    </r>
    <r>
      <rPr>
        <sz val="11"/>
        <color theme="1"/>
        <rFont val="Aptos Narrow"/>
        <family val="2"/>
        <scheme val="minor"/>
      </rPr>
      <t xml:space="preserve"> (a 20ºC)</t>
    </r>
  </si>
  <si>
    <r>
      <t xml:space="preserve">resistividade do </t>
    </r>
    <r>
      <rPr>
        <b/>
        <sz val="11"/>
        <color theme="1"/>
        <rFont val="Aptos Narrow"/>
        <family val="2"/>
        <scheme val="minor"/>
      </rPr>
      <t>aluminio</t>
    </r>
    <r>
      <rPr>
        <sz val="11"/>
        <color theme="1"/>
        <rFont val="Aptos Narrow"/>
        <family val="2"/>
        <scheme val="minor"/>
      </rPr>
      <t xml:space="preserve"> (x 1,25 o valor a 20ºC)</t>
    </r>
  </si>
  <si>
    <t>Reatância</t>
  </si>
  <si>
    <t>Constantes</t>
  </si>
  <si>
    <t>Condutor</t>
  </si>
  <si>
    <t>Max/min</t>
  </si>
  <si>
    <t>Max</t>
  </si>
  <si>
    <t>Min</t>
  </si>
  <si>
    <r>
      <t>Z</t>
    </r>
    <r>
      <rPr>
        <b/>
        <sz val="8"/>
        <color theme="1"/>
        <rFont val="Aptos Narrow"/>
        <family val="2"/>
        <scheme val="minor"/>
      </rPr>
      <t>cc min</t>
    </r>
  </si>
  <si>
    <r>
      <t>Z</t>
    </r>
    <r>
      <rPr>
        <b/>
        <sz val="8"/>
        <color theme="1"/>
        <rFont val="Aptos Narrow"/>
        <family val="2"/>
        <scheme val="minor"/>
      </rPr>
      <t>cc max</t>
    </r>
  </si>
  <si>
    <r>
      <t>I</t>
    </r>
    <r>
      <rPr>
        <b/>
        <sz val="8"/>
        <color theme="1"/>
        <rFont val="Aptos Narrow"/>
        <family val="2"/>
        <scheme val="minor"/>
      </rPr>
      <t>cc max</t>
    </r>
  </si>
  <si>
    <r>
      <t>I</t>
    </r>
    <r>
      <rPr>
        <b/>
        <sz val="8"/>
        <color theme="1"/>
        <rFont val="Aptos Narrow"/>
        <family val="2"/>
        <scheme val="minor"/>
      </rPr>
      <t>cc min</t>
    </r>
  </si>
  <si>
    <r>
      <t>Z</t>
    </r>
    <r>
      <rPr>
        <b/>
        <sz val="8"/>
        <color theme="1"/>
        <rFont val="Aptos Narrow"/>
        <family val="2"/>
        <scheme val="minor"/>
      </rPr>
      <t>CC</t>
    </r>
  </si>
  <si>
    <r>
      <t xml:space="preserve">R </t>
    </r>
    <r>
      <rPr>
        <b/>
        <sz val="8"/>
        <color theme="1"/>
        <rFont val="Aptos Narrow"/>
        <family val="2"/>
        <scheme val="minor"/>
      </rPr>
      <t>total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8"/>
        <color theme="1"/>
        <rFont val="Aptos Narrow"/>
        <family val="2"/>
        <scheme val="minor"/>
      </rPr>
      <t>(acomulativa)</t>
    </r>
  </si>
  <si>
    <r>
      <t xml:space="preserve">X </t>
    </r>
    <r>
      <rPr>
        <b/>
        <sz val="8"/>
        <color theme="1"/>
        <rFont val="Aptos Narrow"/>
        <family val="2"/>
        <scheme val="minor"/>
      </rPr>
      <t>total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8"/>
        <color theme="1"/>
        <rFont val="Aptos Narrow"/>
        <family val="2"/>
        <scheme val="minor"/>
      </rPr>
      <t>(acomulativa)</t>
    </r>
  </si>
  <si>
    <t>Temperatura</t>
  </si>
  <si>
    <t>Enterrados e colocados dentro 
de tubos ou de travessias</t>
  </si>
  <si>
    <t>Agrupamento 
de cabos</t>
  </si>
  <si>
    <t>Resistividade 
térmica do solo</t>
  </si>
  <si>
    <t>Fator Correção</t>
  </si>
  <si>
    <t>Ref.</t>
  </si>
  <si>
    <t>Quadros</t>
  </si>
  <si>
    <t>PT</t>
  </si>
  <si>
    <t>52-C30</t>
  </si>
  <si>
    <t>52-C4</t>
  </si>
  <si>
    <t>Evolução</t>
  </si>
  <si>
    <t>Limite Carga Máxima</t>
  </si>
  <si>
    <t>Potência Total</t>
  </si>
  <si>
    <t>Valor  Transformador (kVA)</t>
  </si>
  <si>
    <t>Transformador (kVA)</t>
  </si>
  <si>
    <t>Transformador</t>
  </si>
  <si>
    <t>2x (XV-5G120)</t>
  </si>
  <si>
    <t>2x  (XV-5G70)</t>
  </si>
  <si>
    <t>XV-5G4</t>
  </si>
  <si>
    <t>XV-5G25</t>
  </si>
  <si>
    <t>XV-5G16</t>
  </si>
  <si>
    <t>XV-5G10</t>
  </si>
  <si>
    <t>XV-5G6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</si>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</sst>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rgb="FF1B1C1D"/>
      <name val="Aptos Narrow"/>
      <family val="2"/>
      <scheme val="minor"/>
    </font>
    <font>
      <sz val="11"/>
      <color rgb="FF1B1C1D"/>
      <name val="Aptos Narrow"/>
      <family val="2"/>
      <scheme val="minor"/>
    </font>
    <font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0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9" borderId="1" xfId="0" applyFill="1" applyBorder="1" applyAlignment="1">
      <alignment horizontal="center" vertical="center"/>
    </xf>
    <xf numFmtId="0" fontId="0" fillId="11" borderId="1" xfId="0" applyFill="1" applyBorder="1"/>
    <xf numFmtId="0" fontId="1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2" fontId="0" fillId="7" borderId="19" xfId="0" applyNumberFormat="1" applyFill="1" applyBorder="1" applyAlignment="1">
      <alignment horizontal="center" vertical="center"/>
    </xf>
    <xf numFmtId="2" fontId="0" fillId="7" borderId="34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right"/>
    </xf>
    <xf numFmtId="0" fontId="0" fillId="13" borderId="10" xfId="0" applyFill="1" applyBorder="1"/>
    <xf numFmtId="0" fontId="0" fillId="13" borderId="6" xfId="0" applyFill="1" applyBorder="1"/>
    <xf numFmtId="0" fontId="0" fillId="7" borderId="9" xfId="0" applyFill="1" applyBorder="1"/>
    <xf numFmtId="0" fontId="0" fillId="7" borderId="37" xfId="0" applyFill="1" applyBorder="1"/>
    <xf numFmtId="0" fontId="0" fillId="7" borderId="4" xfId="0" applyFill="1" applyBorder="1"/>
    <xf numFmtId="0" fontId="0" fillId="7" borderId="5" xfId="0" applyFill="1" applyBorder="1"/>
    <xf numFmtId="0" fontId="1" fillId="1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0" fillId="7" borderId="3" xfId="0" applyFill="1" applyBorder="1" applyAlignment="1">
      <alignment vertical="center"/>
    </xf>
    <xf numFmtId="0" fontId="0" fillId="7" borderId="38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2" fontId="0" fillId="7" borderId="8" xfId="0" applyNumberFormat="1" applyFill="1" applyBorder="1" applyAlignment="1">
      <alignment horizontal="center" vertical="center"/>
    </xf>
    <xf numFmtId="0" fontId="0" fillId="7" borderId="37" xfId="0" applyFill="1" applyBorder="1" applyAlignment="1">
      <alignment horizontal="left" vertical="center"/>
    </xf>
    <xf numFmtId="0" fontId="1" fillId="13" borderId="5" xfId="0" applyFont="1" applyFill="1" applyBorder="1" applyAlignment="1">
      <alignment horizontal="center" vertical="center"/>
    </xf>
    <xf numFmtId="0" fontId="0" fillId="7" borderId="35" xfId="0" applyFill="1" applyBorder="1" applyAlignment="1">
      <alignment horizontal="left" vertical="center"/>
    </xf>
    <xf numFmtId="0" fontId="0" fillId="7" borderId="34" xfId="0" applyFill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right" vertical="center"/>
    </xf>
    <xf numFmtId="0" fontId="0" fillId="4" borderId="20" xfId="0" applyFill="1" applyBorder="1" applyAlignment="1">
      <alignment horizontal="center" vertical="center"/>
    </xf>
    <xf numFmtId="2" fontId="0" fillId="7" borderId="28" xfId="0" applyNumberForma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7" borderId="17" xfId="0" applyNumberFormat="1" applyFill="1" applyBorder="1" applyAlignment="1">
      <alignment horizontal="center" vertical="center"/>
    </xf>
    <xf numFmtId="2" fontId="0" fillId="4" borderId="43" xfId="0" applyNumberFormat="1" applyFill="1" applyBorder="1" applyAlignment="1">
      <alignment horizontal="center" vertical="center"/>
    </xf>
    <xf numFmtId="2" fontId="0" fillId="4" borderId="42" xfId="0" applyNumberForma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6" fillId="24" borderId="17" xfId="0" applyFont="1" applyFill="1" applyBorder="1" applyAlignment="1">
      <alignment horizontal="center" vertical="center"/>
    </xf>
    <xf numFmtId="0" fontId="16" fillId="25" borderId="14" xfId="0" applyFont="1" applyFill="1" applyBorder="1" applyAlignment="1">
      <alignment horizontal="center" vertical="center"/>
    </xf>
    <xf numFmtId="0" fontId="16" fillId="25" borderId="1" xfId="0" applyFont="1" applyFill="1" applyBorder="1" applyAlignment="1">
      <alignment horizontal="center" vertical="center"/>
    </xf>
    <xf numFmtId="0" fontId="16" fillId="25" borderId="16" xfId="0" applyFont="1" applyFill="1" applyBorder="1" applyAlignment="1">
      <alignment horizontal="center" vertical="center"/>
    </xf>
    <xf numFmtId="0" fontId="16" fillId="25" borderId="17" xfId="0" applyFont="1" applyFill="1" applyBorder="1" applyAlignment="1">
      <alignment horizontal="center" vertical="center"/>
    </xf>
    <xf numFmtId="2" fontId="16" fillId="25" borderId="1" xfId="0" applyNumberFormat="1" applyFont="1" applyFill="1" applyBorder="1" applyAlignment="1">
      <alignment horizontal="center" vertical="center"/>
    </xf>
    <xf numFmtId="2" fontId="16" fillId="25" borderId="17" xfId="0" applyNumberFormat="1" applyFont="1" applyFill="1" applyBorder="1" applyAlignment="1">
      <alignment horizontal="center" vertical="center"/>
    </xf>
    <xf numFmtId="164" fontId="16" fillId="25" borderId="1" xfId="0" applyNumberFormat="1" applyFont="1" applyFill="1" applyBorder="1" applyAlignment="1">
      <alignment horizontal="center" vertical="center"/>
    </xf>
    <xf numFmtId="2" fontId="16" fillId="25" borderId="14" xfId="0" applyNumberFormat="1" applyFont="1" applyFill="1" applyBorder="1" applyAlignment="1">
      <alignment horizontal="center" vertical="center"/>
    </xf>
    <xf numFmtId="2" fontId="16" fillId="25" borderId="16" xfId="0" applyNumberFormat="1" applyFont="1" applyFill="1" applyBorder="1" applyAlignment="1">
      <alignment horizontal="center" vertical="center"/>
    </xf>
    <xf numFmtId="0" fontId="16" fillId="25" borderId="20" xfId="0" applyFont="1" applyFill="1" applyBorder="1" applyAlignment="1">
      <alignment horizontal="center" vertical="center"/>
    </xf>
    <xf numFmtId="0" fontId="16" fillId="25" borderId="15" xfId="0" applyFont="1" applyFill="1" applyBorder="1" applyAlignment="1">
      <alignment horizontal="center" vertical="center"/>
    </xf>
    <xf numFmtId="0" fontId="16" fillId="25" borderId="18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2" fontId="16" fillId="26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0" fontId="0" fillId="4" borderId="17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31" xfId="0" applyFill="1" applyBorder="1" applyAlignment="1">
      <alignment horizontal="center" vertical="center"/>
    </xf>
    <xf numFmtId="0" fontId="1" fillId="4" borderId="29" xfId="0" applyFont="1" applyFill="1" applyBorder="1"/>
    <xf numFmtId="0" fontId="1" fillId="4" borderId="26" xfId="0" applyFont="1" applyFill="1" applyBorder="1"/>
    <xf numFmtId="0" fontId="1" fillId="11" borderId="29" xfId="0" applyFont="1" applyFill="1" applyBorder="1"/>
    <xf numFmtId="0" fontId="1" fillId="7" borderId="29" xfId="0" applyFont="1" applyFill="1" applyBorder="1"/>
    <xf numFmtId="0" fontId="17" fillId="4" borderId="3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11" borderId="29" xfId="0" applyFont="1" applyFill="1" applyBorder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0" fontId="1" fillId="11" borderId="26" xfId="0" applyFont="1" applyFill="1" applyBorder="1" applyAlignment="1">
      <alignment horizontal="left" vertical="center"/>
    </xf>
    <xf numFmtId="0" fontId="0" fillId="11" borderId="31" xfId="0" applyFill="1" applyBorder="1" applyAlignment="1">
      <alignment horizontal="center" vertical="center"/>
    </xf>
    <xf numFmtId="0" fontId="8" fillId="11" borderId="31" xfId="0" applyFont="1" applyFill="1" applyBorder="1" applyAlignment="1">
      <alignment horizontal="center" vertical="center"/>
    </xf>
    <xf numFmtId="0" fontId="0" fillId="28" borderId="31" xfId="0" applyFill="1" applyBorder="1" applyAlignment="1">
      <alignment horizontal="center" vertical="center"/>
    </xf>
    <xf numFmtId="0" fontId="17" fillId="28" borderId="32" xfId="0" applyFont="1" applyFill="1" applyBorder="1" applyAlignment="1">
      <alignment horizontal="center" vertical="center"/>
    </xf>
    <xf numFmtId="0" fontId="8" fillId="11" borderId="24" xfId="0" applyFont="1" applyFill="1" applyBorder="1" applyAlignment="1">
      <alignment horizontal="center" vertical="center"/>
    </xf>
    <xf numFmtId="2" fontId="0" fillId="4" borderId="31" xfId="0" applyNumberForma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1" fillId="29" borderId="26" xfId="0" applyFont="1" applyFill="1" applyBorder="1" applyAlignment="1">
      <alignment horizontal="left" vertical="center"/>
    </xf>
    <xf numFmtId="0" fontId="1" fillId="11" borderId="31" xfId="0" applyFont="1" applyFill="1" applyBorder="1" applyAlignment="1">
      <alignment vertical="center" wrapText="1"/>
    </xf>
    <xf numFmtId="0" fontId="1" fillId="29" borderId="31" xfId="0" applyFont="1" applyFill="1" applyBorder="1" applyAlignment="1">
      <alignment horizontal="center" vertical="center"/>
    </xf>
    <xf numFmtId="0" fontId="1" fillId="27" borderId="26" xfId="0" applyFont="1" applyFill="1" applyBorder="1" applyAlignment="1">
      <alignment horizontal="center" vertical="center"/>
    </xf>
    <xf numFmtId="0" fontId="1" fillId="14" borderId="26" xfId="0" applyFont="1" applyFill="1" applyBorder="1" applyAlignment="1">
      <alignment horizontal="center" vertical="center"/>
    </xf>
    <xf numFmtId="165" fontId="0" fillId="4" borderId="31" xfId="0" applyNumberFormat="1" applyFill="1" applyBorder="1" applyAlignment="1">
      <alignment horizontal="center" vertical="center"/>
    </xf>
    <xf numFmtId="0" fontId="1" fillId="14" borderId="29" xfId="0" applyFont="1" applyFill="1" applyBorder="1" applyAlignment="1">
      <alignment horizontal="center" vertical="center"/>
    </xf>
    <xf numFmtId="165" fontId="0" fillId="15" borderId="31" xfId="0" applyNumberFormat="1" applyFill="1" applyBorder="1" applyAlignment="1">
      <alignment horizontal="center" vertical="center"/>
    </xf>
    <xf numFmtId="165" fontId="0" fillId="9" borderId="31" xfId="0" applyNumberFormat="1" applyFill="1" applyBorder="1" applyAlignment="1">
      <alignment horizontal="center" vertical="center"/>
    </xf>
    <xf numFmtId="0" fontId="1" fillId="29" borderId="30" xfId="0" applyFont="1" applyFill="1" applyBorder="1" applyAlignment="1">
      <alignment horizontal="left" vertical="center"/>
    </xf>
    <xf numFmtId="2" fontId="0" fillId="4" borderId="22" xfId="0" applyNumberForma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" fillId="14" borderId="44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1"/>
    <xf numFmtId="0" fontId="0" fillId="11" borderId="29" xfId="0" applyFill="1" applyBorder="1" applyAlignment="1">
      <alignment vertical="center"/>
    </xf>
    <xf numFmtId="0" fontId="0" fillId="11" borderId="24" xfId="0" applyFill="1" applyBorder="1" applyAlignment="1">
      <alignment vertical="center"/>
    </xf>
    <xf numFmtId="0" fontId="1" fillId="11" borderId="0" xfId="0" applyFont="1" applyFill="1" applyAlignment="1">
      <alignment vertical="center" wrapText="1"/>
    </xf>
    <xf numFmtId="165" fontId="0" fillId="15" borderId="0" xfId="0" applyNumberForma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11" borderId="0" xfId="0" applyFill="1" applyAlignment="1">
      <alignment vertical="center"/>
    </xf>
    <xf numFmtId="0" fontId="1" fillId="9" borderId="31" xfId="0" applyFont="1" applyFill="1" applyBorder="1" applyAlignment="1">
      <alignment horizontal="center" vertical="center"/>
    </xf>
    <xf numFmtId="2" fontId="0" fillId="4" borderId="49" xfId="0" applyNumberFormat="1" applyFill="1" applyBorder="1" applyAlignment="1">
      <alignment horizontal="center" vertical="center"/>
    </xf>
    <xf numFmtId="0" fontId="0" fillId="15" borderId="43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16" fillId="31" borderId="15" xfId="0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16" fillId="31" borderId="18" xfId="0" applyFont="1" applyFill="1" applyBorder="1" applyAlignment="1">
      <alignment horizontal="center" vertical="center"/>
    </xf>
    <xf numFmtId="2" fontId="0" fillId="4" borderId="27" xfId="0" applyNumberFormat="1" applyFill="1" applyBorder="1" applyAlignment="1">
      <alignment horizontal="center" vertical="center"/>
    </xf>
    <xf numFmtId="0" fontId="16" fillId="24" borderId="9" xfId="0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23" borderId="34" xfId="0" applyFont="1" applyFill="1" applyBorder="1" applyAlignment="1">
      <alignment horizontal="center" vertical="center"/>
    </xf>
    <xf numFmtId="0" fontId="1" fillId="23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1"/>
    </xf>
    <xf numFmtId="16" fontId="15" fillId="0" borderId="0" xfId="0" applyNumberFormat="1" applyFont="1" applyAlignment="1">
      <alignment horizontal="center" vertical="center" wrapText="1" readingOrder="1"/>
    </xf>
    <xf numFmtId="0" fontId="5" fillId="1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 readingOrder="1"/>
    </xf>
    <xf numFmtId="0" fontId="0" fillId="7" borderId="3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center" vertical="center"/>
    </xf>
    <xf numFmtId="2" fontId="0" fillId="7" borderId="20" xfId="0" applyNumberFormat="1" applyFill="1" applyBorder="1" applyAlignment="1">
      <alignment horizontal="center" vertical="center"/>
    </xf>
    <xf numFmtId="2" fontId="0" fillId="7" borderId="33" xfId="0" applyNumberForma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5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1" fontId="0" fillId="7" borderId="49" xfId="0" applyNumberFormat="1" applyFill="1" applyBorder="1" applyAlignment="1">
      <alignment horizontal="center" vertical="center"/>
    </xf>
    <xf numFmtId="1" fontId="0" fillId="7" borderId="43" xfId="0" applyNumberFormat="1" applyFill="1" applyBorder="1" applyAlignment="1">
      <alignment horizontal="center" vertical="center"/>
    </xf>
    <xf numFmtId="1" fontId="0" fillId="7" borderId="27" xfId="0" applyNumberFormat="1" applyFill="1" applyBorder="1" applyAlignment="1">
      <alignment horizontal="center" vertical="center"/>
    </xf>
    <xf numFmtId="0" fontId="0" fillId="15" borderId="49" xfId="0" applyFill="1" applyBorder="1" applyAlignment="1">
      <alignment horizontal="center" vertical="center"/>
    </xf>
    <xf numFmtId="0" fontId="1" fillId="23" borderId="33" xfId="0" applyFont="1" applyFill="1" applyBorder="1" applyAlignment="1">
      <alignment horizontal="center" vertical="center" wrapText="1"/>
    </xf>
    <xf numFmtId="0" fontId="16" fillId="25" borderId="33" xfId="0" applyFont="1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2" fontId="0" fillId="7" borderId="14" xfId="0" applyNumberFormat="1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0" fillId="7" borderId="14" xfId="0" applyFill="1" applyBorder="1" applyAlignment="1">
      <alignment horizontal="left" vertical="center"/>
    </xf>
    <xf numFmtId="0" fontId="0" fillId="9" borderId="20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2" fontId="0" fillId="7" borderId="1" xfId="0" applyNumberFormat="1" applyFill="1" applyBorder="1"/>
    <xf numFmtId="0" fontId="1" fillId="30" borderId="52" xfId="0" applyFont="1" applyFill="1" applyBorder="1"/>
    <xf numFmtId="0" fontId="1" fillId="30" borderId="53" xfId="0" applyFont="1" applyFill="1" applyBorder="1"/>
    <xf numFmtId="0" fontId="1" fillId="30" borderId="54" xfId="0" applyFont="1" applyFill="1" applyBorder="1"/>
    <xf numFmtId="0" fontId="1" fillId="30" borderId="44" xfId="0" applyFont="1" applyFill="1" applyBorder="1"/>
    <xf numFmtId="0" fontId="0" fillId="7" borderId="16" xfId="0" applyFill="1" applyBorder="1" applyAlignment="1">
      <alignment horizontal="left" vertical="center"/>
    </xf>
    <xf numFmtId="164" fontId="16" fillId="25" borderId="17" xfId="0" applyNumberFormat="1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3" fillId="16" borderId="30" xfId="0" applyFont="1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/>
    </xf>
    <xf numFmtId="0" fontId="3" fillId="16" borderId="23" xfId="0" applyFont="1" applyFill="1" applyBorder="1" applyAlignment="1">
      <alignment horizontal="center" vertical="center"/>
    </xf>
    <xf numFmtId="0" fontId="3" fillId="16" borderId="29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6" borderId="24" xfId="0" applyFont="1" applyFill="1" applyBorder="1" applyAlignment="1">
      <alignment horizontal="center" vertical="center"/>
    </xf>
    <xf numFmtId="0" fontId="3" fillId="16" borderId="26" xfId="0" applyFont="1" applyFill="1" applyBorder="1" applyAlignment="1">
      <alignment horizontal="center" vertical="center"/>
    </xf>
    <xf numFmtId="0" fontId="3" fillId="16" borderId="31" xfId="0" applyFont="1" applyFill="1" applyBorder="1" applyAlignment="1">
      <alignment horizontal="center" vertical="center"/>
    </xf>
    <xf numFmtId="0" fontId="3" fillId="16" borderId="32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0" fontId="1" fillId="14" borderId="48" xfId="0" applyFont="1" applyFill="1" applyBorder="1" applyAlignment="1">
      <alignment horizontal="center" vertical="center"/>
    </xf>
    <xf numFmtId="0" fontId="1" fillId="14" borderId="5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6" fillId="21" borderId="14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6" fillId="24" borderId="15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3" fillId="18" borderId="30" xfId="0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/>
    </xf>
    <xf numFmtId="0" fontId="3" fillId="18" borderId="29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26" xfId="0" applyFont="1" applyFill="1" applyBorder="1" applyAlignment="1">
      <alignment horizontal="center" vertical="center"/>
    </xf>
    <xf numFmtId="0" fontId="3" fillId="18" borderId="3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center" vertical="center"/>
    </xf>
    <xf numFmtId="0" fontId="3" fillId="17" borderId="40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 vertical="center"/>
    </xf>
    <xf numFmtId="0" fontId="3" fillId="17" borderId="16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17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17" borderId="18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30" borderId="41" xfId="0" applyFont="1" applyFill="1" applyBorder="1" applyAlignment="1">
      <alignment horizontal="center" vertical="center" wrapText="1"/>
    </xf>
    <xf numFmtId="0" fontId="1" fillId="30" borderId="42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6" fillId="21" borderId="17" xfId="0" applyFont="1" applyFill="1" applyBorder="1" applyAlignment="1">
      <alignment horizontal="center" vertical="center"/>
    </xf>
    <xf numFmtId="0" fontId="16" fillId="24" borderId="17" xfId="0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3" fillId="5" borderId="30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 wrapText="1"/>
    </xf>
    <xf numFmtId="0" fontId="3" fillId="20" borderId="12" xfId="0" applyFont="1" applyFill="1" applyBorder="1" applyAlignment="1">
      <alignment horizontal="center" vertical="center" wrapText="1"/>
    </xf>
    <xf numFmtId="0" fontId="3" fillId="20" borderId="13" xfId="0" applyFont="1" applyFill="1" applyBorder="1" applyAlignment="1">
      <alignment horizontal="center" vertical="center" wrapText="1"/>
    </xf>
    <xf numFmtId="0" fontId="3" fillId="20" borderId="14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0" borderId="15" xfId="0" applyFont="1" applyFill="1" applyBorder="1" applyAlignment="1">
      <alignment horizontal="center" vertical="center" wrapText="1"/>
    </xf>
    <xf numFmtId="0" fontId="3" fillId="20" borderId="16" xfId="0" applyFont="1" applyFill="1" applyBorder="1" applyAlignment="1">
      <alignment horizontal="center" vertical="center" wrapText="1"/>
    </xf>
    <xf numFmtId="0" fontId="3" fillId="20" borderId="17" xfId="0" applyFont="1" applyFill="1" applyBorder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/>
    </xf>
    <xf numFmtId="0" fontId="1" fillId="32" borderId="44" xfId="0" applyFont="1" applyFill="1" applyBorder="1" applyAlignment="1">
      <alignment horizontal="center" vertical="center" wrapText="1"/>
    </xf>
    <xf numFmtId="0" fontId="1" fillId="32" borderId="45" xfId="0" applyFont="1" applyFill="1" applyBorder="1" applyAlignment="1">
      <alignment horizontal="center" vertical="center" wrapText="1"/>
    </xf>
    <xf numFmtId="0" fontId="1" fillId="32" borderId="46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7" borderId="0" xfId="0" applyFill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24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4" borderId="22" xfId="0" applyFill="1" applyBorder="1" applyAlignment="1">
      <alignment horizontal="left" vertical="center"/>
    </xf>
    <xf numFmtId="0" fontId="0" fillId="4" borderId="23" xfId="0" applyFill="1" applyBorder="1" applyAlignment="1">
      <alignment horizontal="left" vertical="center"/>
    </xf>
    <xf numFmtId="0" fontId="0" fillId="4" borderId="31" xfId="0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18" fillId="13" borderId="0" xfId="0" applyFont="1" applyFill="1" applyAlignment="1">
      <alignment horizontal="center" vertical="center"/>
    </xf>
    <xf numFmtId="0" fontId="1" fillId="11" borderId="22" xfId="0" applyFont="1" applyFill="1" applyBorder="1" applyAlignment="1">
      <alignment horizontal="center" vertical="center" wrapText="1"/>
    </xf>
    <xf numFmtId="0" fontId="1" fillId="11" borderId="31" xfId="0" applyFont="1" applyFill="1" applyBorder="1" applyAlignment="1">
      <alignment horizontal="center" vertical="center" wrapText="1"/>
    </xf>
    <xf numFmtId="0" fontId="1" fillId="11" borderId="23" xfId="0" applyFont="1" applyFill="1" applyBorder="1" applyAlignment="1">
      <alignment horizontal="center" vertical="center" wrapText="1"/>
    </xf>
    <xf numFmtId="0" fontId="1" fillId="11" borderId="32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8" borderId="32" xfId="0" applyFont="1" applyFill="1" applyBorder="1" applyAlignment="1">
      <alignment horizontal="center" vertical="center" wrapText="1"/>
    </xf>
    <xf numFmtId="0" fontId="0" fillId="22" borderId="2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3" fillId="22" borderId="44" xfId="0" applyFont="1" applyFill="1" applyBorder="1" applyAlignment="1">
      <alignment horizontal="center" vertical="center"/>
    </xf>
    <xf numFmtId="0" fontId="3" fillId="22" borderId="45" xfId="0" applyFont="1" applyFill="1" applyBorder="1" applyAlignment="1">
      <alignment horizontal="center" vertical="center"/>
    </xf>
    <xf numFmtId="0" fontId="3" fillId="22" borderId="46" xfId="0" applyFont="1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4" xfId="0" applyFill="1" applyBorder="1" applyAlignment="1">
      <alignment horizontal="left" vertical="center"/>
    </xf>
    <xf numFmtId="0" fontId="0" fillId="7" borderId="24" xfId="0" applyFill="1" applyBorder="1" applyAlignment="1">
      <alignment horizontal="left" vertical="center"/>
    </xf>
    <xf numFmtId="0" fontId="3" fillId="22" borderId="44" xfId="0" applyFont="1" applyFill="1" applyBorder="1" applyAlignment="1">
      <alignment horizontal="center"/>
    </xf>
    <xf numFmtId="0" fontId="3" fillId="22" borderId="45" xfId="0" applyFont="1" applyFill="1" applyBorder="1" applyAlignment="1">
      <alignment horizontal="center"/>
    </xf>
    <xf numFmtId="0" fontId="3" fillId="22" borderId="46" xfId="0" applyFont="1" applyFill="1" applyBorder="1" applyAlignment="1">
      <alignment horizontal="center"/>
    </xf>
    <xf numFmtId="0" fontId="1" fillId="28" borderId="29" xfId="0" applyFont="1" applyFill="1" applyBorder="1" applyAlignment="1">
      <alignment horizontal="center" vertical="center"/>
    </xf>
    <xf numFmtId="0" fontId="1" fillId="28" borderId="26" xfId="0" applyFont="1" applyFill="1" applyBorder="1" applyAlignment="1">
      <alignment horizontal="center" vertical="center"/>
    </xf>
    <xf numFmtId="0" fontId="1" fillId="29" borderId="30" xfId="0" applyFont="1" applyFill="1" applyBorder="1" applyAlignment="1">
      <alignment horizontal="center" vertical="center"/>
    </xf>
    <xf numFmtId="0" fontId="1" fillId="29" borderId="22" xfId="0" applyFont="1" applyFill="1" applyBorder="1" applyAlignment="1">
      <alignment horizontal="center" vertical="center"/>
    </xf>
    <xf numFmtId="0" fontId="1" fillId="29" borderId="23" xfId="0" applyFont="1" applyFill="1" applyBorder="1" applyAlignment="1">
      <alignment horizontal="center" vertical="center"/>
    </xf>
    <xf numFmtId="0" fontId="1" fillId="29" borderId="26" xfId="0" applyFont="1" applyFill="1" applyBorder="1" applyAlignment="1">
      <alignment horizontal="center" vertical="center"/>
    </xf>
    <xf numFmtId="0" fontId="1" fillId="29" borderId="31" xfId="0" applyFont="1" applyFill="1" applyBorder="1" applyAlignment="1">
      <alignment horizontal="center" vertical="center"/>
    </xf>
    <xf numFmtId="0" fontId="1" fillId="29" borderId="32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 wrapText="1"/>
    </xf>
    <xf numFmtId="0" fontId="2" fillId="11" borderId="26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 wrapText="1"/>
    </xf>
    <xf numFmtId="0" fontId="1" fillId="14" borderId="3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11" borderId="31" xfId="0" applyFill="1" applyBorder="1" applyAlignment="1">
      <alignment horizontal="left" vertical="center"/>
    </xf>
    <xf numFmtId="0" fontId="0" fillId="11" borderId="32" xfId="0" applyFill="1" applyBorder="1" applyAlignment="1">
      <alignment horizontal="left" vertical="center"/>
    </xf>
    <xf numFmtId="0" fontId="1" fillId="15" borderId="47" xfId="0" applyFont="1" applyFill="1" applyBorder="1" applyAlignment="1">
      <alignment horizontal="center" vertical="center"/>
    </xf>
    <xf numFmtId="0" fontId="1" fillId="15" borderId="27" xfId="0" applyFont="1" applyFill="1" applyBorder="1" applyAlignment="1">
      <alignment horizontal="center" vertical="center"/>
    </xf>
    <xf numFmtId="165" fontId="0" fillId="9" borderId="22" xfId="0" applyNumberFormat="1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165" fontId="0" fillId="9" borderId="31" xfId="0" applyNumberFormat="1" applyFill="1" applyBorder="1" applyAlignment="1">
      <alignment horizontal="center" vertical="center"/>
    </xf>
    <xf numFmtId="0" fontId="0" fillId="22" borderId="31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62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FFCC00"/>
      <color rgb="FF669900"/>
      <color rgb="FFCC9900"/>
      <color rgb="FFCCFF33"/>
      <color rgb="FFFFE7E7"/>
      <color rgb="FFFFCCCC"/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268852</xdr:colOff>
      <xdr:row>42</xdr:row>
      <xdr:rowOff>92178</xdr:rowOff>
    </xdr:from>
    <xdr:to>
      <xdr:col>51</xdr:col>
      <xdr:colOff>359194</xdr:colOff>
      <xdr:row>44</xdr:row>
      <xdr:rowOff>149842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58FC8F-9295-408F-97DB-A25521B44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73408" y="8180747"/>
          <a:ext cx="1818670" cy="426374"/>
        </a:xfrm>
        <a:prstGeom prst="rect">
          <a:avLst/>
        </a:prstGeom>
      </xdr:spPr>
    </xdr:pic>
    <xdr:clientData/>
  </xdr:twoCellAnchor>
  <xdr:twoCellAnchor editAs="oneCell">
    <xdr:from>
      <xdr:col>1</xdr:col>
      <xdr:colOff>829596</xdr:colOff>
      <xdr:row>51</xdr:row>
      <xdr:rowOff>176673</xdr:rowOff>
    </xdr:from>
    <xdr:to>
      <xdr:col>8</xdr:col>
      <xdr:colOff>965390</xdr:colOff>
      <xdr:row>66</xdr:row>
      <xdr:rowOff>66609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754987-1A86-4579-81B7-324462CCE7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337" t="5455" r="6670" b="19091"/>
        <a:stretch>
          <a:fillRect/>
        </a:stretch>
      </xdr:blipFill>
      <xdr:spPr>
        <a:xfrm>
          <a:off x="1129173" y="9924436"/>
          <a:ext cx="6065875" cy="2655258"/>
        </a:xfrm>
        <a:prstGeom prst="rect">
          <a:avLst/>
        </a:prstGeom>
      </xdr:spPr>
    </xdr:pic>
    <xdr:clientData/>
  </xdr:twoCellAnchor>
  <xdr:twoCellAnchor editAs="oneCell">
    <xdr:from>
      <xdr:col>2</xdr:col>
      <xdr:colOff>2159</xdr:colOff>
      <xdr:row>68</xdr:row>
      <xdr:rowOff>35750</xdr:rowOff>
    </xdr:from>
    <xdr:to>
      <xdr:col>7</xdr:col>
      <xdr:colOff>1214572</xdr:colOff>
      <xdr:row>80</xdr:row>
      <xdr:rowOff>133719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A694727-3B84-4335-AFF7-9B96AB1E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6696" y="12917545"/>
          <a:ext cx="4922553" cy="2310227"/>
        </a:xfrm>
        <a:prstGeom prst="rect">
          <a:avLst/>
        </a:prstGeom>
      </xdr:spPr>
    </xdr:pic>
    <xdr:clientData/>
  </xdr:twoCellAnchor>
  <xdr:twoCellAnchor editAs="oneCell">
    <xdr:from>
      <xdr:col>1</xdr:col>
      <xdr:colOff>820741</xdr:colOff>
      <xdr:row>82</xdr:row>
      <xdr:rowOff>4664</xdr:rowOff>
    </xdr:from>
    <xdr:to>
      <xdr:col>11</xdr:col>
      <xdr:colOff>166686</xdr:colOff>
      <xdr:row>130</xdr:row>
      <xdr:rowOff>71331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BB13B08-A821-48B6-87AA-1A53B4CFE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8399" y="15077977"/>
          <a:ext cx="9299570" cy="8639167"/>
        </a:xfrm>
        <a:prstGeom prst="rect">
          <a:avLst/>
        </a:prstGeom>
      </xdr:spPr>
    </xdr:pic>
    <xdr:clientData/>
  </xdr:twoCellAnchor>
  <xdr:twoCellAnchor editAs="oneCell">
    <xdr:from>
      <xdr:col>1</xdr:col>
      <xdr:colOff>819431</xdr:colOff>
      <xdr:row>133</xdr:row>
      <xdr:rowOff>46217</xdr:rowOff>
    </xdr:from>
    <xdr:to>
      <xdr:col>7</xdr:col>
      <xdr:colOff>974026</xdr:colOff>
      <xdr:row>170</xdr:row>
      <xdr:rowOff>11895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EEFD98E-81E6-8A04-11BD-F4140978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089" y="24227812"/>
          <a:ext cx="4714687" cy="6573646"/>
        </a:xfrm>
        <a:prstGeom prst="rect">
          <a:avLst/>
        </a:prstGeom>
      </xdr:spPr>
    </xdr:pic>
    <xdr:clientData/>
  </xdr:twoCellAnchor>
  <xdr:twoCellAnchor editAs="oneCell">
    <xdr:from>
      <xdr:col>8</xdr:col>
      <xdr:colOff>11905</xdr:colOff>
      <xdr:row>133</xdr:row>
      <xdr:rowOff>35708</xdr:rowOff>
    </xdr:from>
    <xdr:to>
      <xdr:col>11</xdr:col>
      <xdr:colOff>571498</xdr:colOff>
      <xdr:row>149</xdr:row>
      <xdr:rowOff>24167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C5F21F9-A5E9-DA22-581E-666CFF100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38875" y="24217303"/>
          <a:ext cx="4583906" cy="2845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93947</xdr:colOff>
      <xdr:row>15</xdr:row>
      <xdr:rowOff>59338</xdr:rowOff>
    </xdr:from>
    <xdr:to>
      <xdr:col>13</xdr:col>
      <xdr:colOff>1005894</xdr:colOff>
      <xdr:row>30</xdr:row>
      <xdr:rowOff>18061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1B2322-DE9F-C417-BE7E-F3BB72C80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385" y="3034270"/>
          <a:ext cx="5386192" cy="2891987"/>
        </a:xfrm>
        <a:prstGeom prst="rect">
          <a:avLst/>
        </a:prstGeom>
      </xdr:spPr>
    </xdr:pic>
    <xdr:clientData/>
  </xdr:twoCellAnchor>
  <xdr:twoCellAnchor editAs="oneCell">
    <xdr:from>
      <xdr:col>8</xdr:col>
      <xdr:colOff>62630</xdr:colOff>
      <xdr:row>31</xdr:row>
      <xdr:rowOff>93945</xdr:rowOff>
    </xdr:from>
    <xdr:to>
      <xdr:col>13</xdr:col>
      <xdr:colOff>1011176</xdr:colOff>
      <xdr:row>43</xdr:row>
      <xdr:rowOff>123866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F71AE72-4CAF-2308-23BE-2541AB8D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068" y="6075123"/>
          <a:ext cx="5430411" cy="23695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80D28-0793-4932-9F84-E00976331C1B}" name="A" displayName="A" ref="U3:U8" totalsRowShown="0" headerRowDxfId="61" dataDxfId="59" headerRowBorderDxfId="60" tableBorderDxfId="58" totalsRowBorderDxfId="57">
  <autoFilter ref="U3:U8" xr:uid="{FE980D28-0793-4932-9F84-E00976331C1B}"/>
  <tableColumns count="1">
    <tableColumn id="1" xr3:uid="{3D97F461-B902-42E7-A346-56A19753AF43}" name="A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241D0D-A2F4-4584-BDB4-E488F1CBFEDB}" name="A2_" displayName="A2_" ref="V3:V5" totalsRowShown="0" headerRowDxfId="55" dataDxfId="53" headerRowBorderDxfId="54" tableBorderDxfId="52" totalsRowBorderDxfId="51">
  <autoFilter ref="V3:V5" xr:uid="{B8241D0D-A2F4-4584-BDB4-E488F1CBFEDB}"/>
  <tableColumns count="1">
    <tableColumn id="1" xr3:uid="{F89A011C-4AEA-4089-A7A3-C2E8624D5D68}" name="A2_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67AB12-AB0A-4080-84DD-D5BD8D37FC04}" name="B" displayName="B" ref="W3:W16" totalsRowShown="0" headerRowDxfId="49" dataDxfId="47" headerRowBorderDxfId="48" tableBorderDxfId="46" totalsRowBorderDxfId="45">
  <autoFilter ref="W3:W16" xr:uid="{6F67AB12-AB0A-4080-84DD-D5BD8D37FC04}"/>
  <tableColumns count="1">
    <tableColumn id="1" xr3:uid="{ADD75A34-D2F9-47B7-A5AF-D3F81D7FA313}" name="B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C8F501-ACE2-48FE-9ED4-56B1622B06D7}" name="B2_" displayName="B2_" ref="X3:X12" totalsRowShown="0" headerRowDxfId="43" dataDxfId="41" headerRowBorderDxfId="42" tableBorderDxfId="40" totalsRowBorderDxfId="39">
  <autoFilter ref="X3:X12" xr:uid="{73C8F501-ACE2-48FE-9ED4-56B1622B06D7}"/>
  <tableColumns count="1">
    <tableColumn id="1" xr3:uid="{E0130924-33CB-4ACC-8D74-BE7B98B7FB71}" name="B2_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6E5687-5AAE-4C07-AD3B-D4C2B9ED8573}" name="C_" displayName="C_" ref="Y3:Y9" totalsRowShown="0" headerRowDxfId="37" dataDxfId="35" headerRowBorderDxfId="36" tableBorderDxfId="34" totalsRowBorderDxfId="33">
  <autoFilter ref="Y3:Y9" xr:uid="{626E5687-5AAE-4C07-AD3B-D4C2B9ED8573}"/>
  <tableColumns count="1">
    <tableColumn id="1" xr3:uid="{24380F5D-658B-41AD-958C-7E5DAF82A5E9}" name="C_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9CDF4D-D7C5-47BC-981C-E4D28BB36132}" name="D" displayName="D" ref="Z3:Z6" totalsRowShown="0" headerRowDxfId="31" dataDxfId="29" headerRowBorderDxfId="30" tableBorderDxfId="28" totalsRowBorderDxfId="27">
  <autoFilter ref="Z3:Z6" xr:uid="{E79CDF4D-D7C5-47BC-981C-E4D28BB36132}"/>
  <tableColumns count="1">
    <tableColumn id="1" xr3:uid="{596CA041-888B-47AA-93C6-A930DA6FE9BD}" name="D" data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B72B0F-BEB5-46C6-9761-DF9F605C9D8F}" name="E" displayName="E" ref="AA3:AA8" totalsRowShown="0" headerRowDxfId="25" dataDxfId="23" headerRowBorderDxfId="24" tableBorderDxfId="22" totalsRowBorderDxfId="21">
  <autoFilter ref="AA3:AA8" xr:uid="{95B72B0F-BEB5-46C6-9761-DF9F605C9D8F}"/>
  <tableColumns count="1">
    <tableColumn id="1" xr3:uid="{07991659-6643-44B0-96A6-5E5E7F7A2577}" name="E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FA475F-2554-467A-A175-2D0E5EE7820B}" name="F" displayName="F" ref="AB3:AB7" totalsRowShown="0" headerRowDxfId="19" dataDxfId="17" headerRowBorderDxfId="18" tableBorderDxfId="16" totalsRowBorderDxfId="15">
  <autoFilter ref="AB3:AB7" xr:uid="{18FA475F-2554-467A-A175-2D0E5EE7820B}"/>
  <tableColumns count="1">
    <tableColumn id="1" xr3:uid="{D0818125-0B4D-46CF-8186-6F21D830C5FF}" name="F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375729-8D13-4197-AF6D-CA5BC2A99DE8}" name="G" displayName="G" ref="AC3:AC8" totalsRowShown="0" headerRowDxfId="13" dataDxfId="11" headerRowBorderDxfId="12" tableBorderDxfId="10" totalsRowBorderDxfId="9">
  <autoFilter ref="AC3:AC8" xr:uid="{84375729-8D13-4197-AF6D-CA5BC2A99DE8}"/>
  <tableColumns count="1">
    <tableColumn id="1" xr3:uid="{2021120F-027A-46AB-83B3-D45C3F7D36A5}" name="G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B931-EB9C-4B62-A90A-C1B97741C675}">
  <dimension ref="B1:BF82"/>
  <sheetViews>
    <sheetView topLeftCell="B1" zoomScale="40" zoomScaleNormal="40" workbookViewId="0">
      <selection activeCell="R132" sqref="R131:R132"/>
    </sheetView>
  </sheetViews>
  <sheetFormatPr defaultRowHeight="14.25" x14ac:dyDescent="0.45"/>
  <cols>
    <col min="1" max="1" width="4.19921875" customWidth="1"/>
    <col min="2" max="2" width="11.796875" customWidth="1"/>
    <col min="3" max="3" width="7" customWidth="1"/>
    <col min="4" max="4" width="10.53125" customWidth="1"/>
    <col min="5" max="5" width="7.796875" customWidth="1"/>
    <col min="6" max="6" width="13.796875" customWidth="1"/>
    <col min="7" max="7" width="12.796875" customWidth="1"/>
    <col min="8" max="8" width="19.19921875" customWidth="1"/>
    <col min="9" max="9" width="13.53125" customWidth="1"/>
    <col min="10" max="10" width="23.53125" customWidth="1"/>
    <col min="11" max="11" width="19.3984375" customWidth="1"/>
    <col min="12" max="15" width="13.46484375" customWidth="1"/>
    <col min="16" max="16" width="13.796875" customWidth="1"/>
    <col min="17" max="17" width="10.46484375" customWidth="1"/>
    <col min="18" max="18" width="22.46484375" customWidth="1"/>
    <col min="19" max="19" width="16.1328125" customWidth="1"/>
    <col min="20" max="20" width="15.1328125" customWidth="1"/>
    <col min="21" max="22" width="11.1328125" customWidth="1"/>
    <col min="23" max="23" width="12.46484375" customWidth="1"/>
    <col min="24" max="24" width="14.1328125" customWidth="1"/>
    <col min="25" max="25" width="19.86328125" customWidth="1"/>
    <col min="26" max="26" width="26.86328125" customWidth="1"/>
    <col min="27" max="27" width="15.46484375" customWidth="1"/>
    <col min="28" max="28" width="16.86328125" customWidth="1"/>
    <col min="29" max="29" width="11.86328125" bestFit="1" customWidth="1"/>
    <col min="30" max="30" width="12.796875" customWidth="1"/>
    <col min="31" max="31" width="12.1328125" customWidth="1"/>
    <col min="32" max="32" width="13.1328125" customWidth="1"/>
    <col min="33" max="33" width="16.46484375" customWidth="1"/>
    <col min="34" max="34" width="20.19921875" customWidth="1"/>
    <col min="35" max="35" width="13.46484375" customWidth="1"/>
    <col min="36" max="36" width="14.1328125" customWidth="1"/>
    <col min="37" max="37" width="16.1328125" customWidth="1"/>
    <col min="38" max="38" width="16.46484375" customWidth="1"/>
    <col min="39" max="39" width="29.46484375" customWidth="1"/>
    <col min="40" max="40" width="11.796875" customWidth="1"/>
    <col min="41" max="41" width="9.796875" customWidth="1"/>
    <col min="44" max="44" width="11.796875" customWidth="1"/>
    <col min="45" max="45" width="9.19921875" customWidth="1"/>
    <col min="46" max="46" width="13.53125" customWidth="1"/>
    <col min="47" max="47" width="13.19921875" customWidth="1"/>
    <col min="48" max="48" width="34.796875" customWidth="1"/>
    <col min="49" max="49" width="14.86328125" customWidth="1"/>
    <col min="50" max="50" width="12" customWidth="1"/>
    <col min="51" max="51" width="12.19921875" customWidth="1"/>
    <col min="52" max="52" width="13.1328125" customWidth="1"/>
    <col min="53" max="53" width="20.53125" customWidth="1"/>
    <col min="55" max="55" width="10" customWidth="1"/>
    <col min="56" max="56" width="13.1328125" customWidth="1"/>
    <col min="57" max="57" width="17" customWidth="1"/>
    <col min="58" max="58" width="27.46484375" customWidth="1"/>
  </cols>
  <sheetData>
    <row r="1" spans="2:58" x14ac:dyDescent="0.45">
      <c r="B1" s="14"/>
      <c r="C1" s="15"/>
      <c r="D1" s="15"/>
      <c r="E1" s="15"/>
      <c r="F1" s="15"/>
      <c r="G1" s="16"/>
      <c r="H1" s="15"/>
      <c r="I1" s="15"/>
      <c r="J1" s="15"/>
      <c r="K1" s="15"/>
      <c r="L1" s="15"/>
      <c r="M1" s="15"/>
      <c r="N1" s="15"/>
      <c r="O1" s="15"/>
      <c r="P1" s="15"/>
      <c r="Q1" s="15"/>
      <c r="R1" s="17"/>
    </row>
    <row r="2" spans="2:58" ht="14.45" customHeight="1" x14ac:dyDescent="0.45">
      <c r="B2" s="278" t="s">
        <v>35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  <c r="BB2" s="278"/>
      <c r="BC2" s="278"/>
      <c r="BD2" s="278"/>
      <c r="BE2" s="278"/>
      <c r="BF2" s="278"/>
    </row>
    <row r="3" spans="2:58" ht="14.45" customHeight="1" x14ac:dyDescent="0.45"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8"/>
      <c r="AR3" s="278"/>
      <c r="AS3" s="278"/>
      <c r="AT3" s="278"/>
      <c r="AU3" s="278"/>
      <c r="AV3" s="278"/>
      <c r="AW3" s="278"/>
      <c r="AX3" s="278"/>
      <c r="AY3" s="278"/>
      <c r="AZ3" s="278"/>
      <c r="BA3" s="278"/>
      <c r="BB3" s="278"/>
      <c r="BC3" s="278"/>
      <c r="BD3" s="278"/>
      <c r="BE3" s="278"/>
      <c r="BF3" s="278"/>
    </row>
    <row r="4" spans="2:58" ht="14.45" customHeight="1" thickBot="1" x14ac:dyDescent="0.5"/>
    <row r="5" spans="2:58" ht="14.45" customHeight="1" x14ac:dyDescent="0.45">
      <c r="B5" s="304" t="s">
        <v>9</v>
      </c>
      <c r="C5" s="305"/>
      <c r="D5" s="305"/>
      <c r="E5" s="306"/>
      <c r="F5" s="313" t="s">
        <v>10</v>
      </c>
      <c r="G5" s="314"/>
      <c r="H5" s="314"/>
      <c r="I5" s="314"/>
      <c r="J5" s="315"/>
      <c r="K5" s="279" t="s">
        <v>133</v>
      </c>
      <c r="L5" s="280"/>
      <c r="M5" s="280"/>
      <c r="N5" s="280"/>
      <c r="O5" s="281"/>
      <c r="P5" s="322" t="s">
        <v>16</v>
      </c>
      <c r="Q5" s="323"/>
      <c r="R5" s="323"/>
      <c r="S5" s="323"/>
      <c r="T5" s="324"/>
      <c r="U5" s="208" t="s">
        <v>31</v>
      </c>
      <c r="V5" s="209"/>
      <c r="W5" s="209"/>
      <c r="X5" s="210"/>
      <c r="Y5" s="197" t="s">
        <v>30</v>
      </c>
      <c r="Z5" s="198"/>
      <c r="AA5" s="199"/>
      <c r="AB5" s="249" t="s">
        <v>36</v>
      </c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1"/>
      <c r="AN5" s="252"/>
      <c r="AO5" s="238" t="s">
        <v>39</v>
      </c>
      <c r="AP5" s="239"/>
      <c r="AQ5" s="239"/>
      <c r="AR5" s="239"/>
      <c r="AS5" s="239"/>
      <c r="AT5" s="239"/>
      <c r="AU5" s="239"/>
      <c r="AV5" s="289" t="s">
        <v>88</v>
      </c>
      <c r="AW5" s="290"/>
      <c r="AX5" s="290"/>
      <c r="AY5" s="290"/>
      <c r="AZ5" s="290"/>
      <c r="BA5" s="290"/>
      <c r="BB5" s="290"/>
      <c r="BC5" s="290"/>
      <c r="BD5" s="290"/>
      <c r="BE5" s="290"/>
      <c r="BF5" s="291"/>
    </row>
    <row r="6" spans="2:58" ht="15" customHeight="1" x14ac:dyDescent="0.45">
      <c r="B6" s="307"/>
      <c r="C6" s="308"/>
      <c r="D6" s="308"/>
      <c r="E6" s="309"/>
      <c r="F6" s="316"/>
      <c r="G6" s="317"/>
      <c r="H6" s="317"/>
      <c r="I6" s="317"/>
      <c r="J6" s="318"/>
      <c r="K6" s="282"/>
      <c r="L6" s="283"/>
      <c r="M6" s="283"/>
      <c r="N6" s="283"/>
      <c r="O6" s="284"/>
      <c r="P6" s="325"/>
      <c r="Q6" s="326"/>
      <c r="R6" s="326"/>
      <c r="S6" s="326"/>
      <c r="T6" s="327"/>
      <c r="U6" s="211"/>
      <c r="V6" s="212"/>
      <c r="W6" s="212"/>
      <c r="X6" s="213"/>
      <c r="Y6" s="200"/>
      <c r="Z6" s="201"/>
      <c r="AA6" s="202"/>
      <c r="AB6" s="253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5"/>
      <c r="AN6" s="256"/>
      <c r="AO6" s="240"/>
      <c r="AP6" s="241"/>
      <c r="AQ6" s="241"/>
      <c r="AR6" s="241"/>
      <c r="AS6" s="241"/>
      <c r="AT6" s="241"/>
      <c r="AU6" s="241"/>
      <c r="AV6" s="292"/>
      <c r="AW6" s="293"/>
      <c r="AX6" s="293"/>
      <c r="AY6" s="293"/>
      <c r="AZ6" s="293"/>
      <c r="BA6" s="293"/>
      <c r="BB6" s="293"/>
      <c r="BC6" s="293"/>
      <c r="BD6" s="293"/>
      <c r="BE6" s="293"/>
      <c r="BF6" s="294"/>
    </row>
    <row r="7" spans="2:58" ht="14.65" thickBot="1" x14ac:dyDescent="0.5">
      <c r="B7" s="310"/>
      <c r="C7" s="311"/>
      <c r="D7" s="311"/>
      <c r="E7" s="312"/>
      <c r="F7" s="319"/>
      <c r="G7" s="320"/>
      <c r="H7" s="320"/>
      <c r="I7" s="320"/>
      <c r="J7" s="321"/>
      <c r="K7" s="282"/>
      <c r="L7" s="283"/>
      <c r="M7" s="283"/>
      <c r="N7" s="283"/>
      <c r="O7" s="284"/>
      <c r="P7" s="328"/>
      <c r="Q7" s="329"/>
      <c r="R7" s="329"/>
      <c r="S7" s="329"/>
      <c r="T7" s="330"/>
      <c r="U7" s="214"/>
      <c r="V7" s="215"/>
      <c r="W7" s="215"/>
      <c r="X7" s="216"/>
      <c r="Y7" s="203"/>
      <c r="Z7" s="204"/>
      <c r="AA7" s="205"/>
      <c r="AB7" s="257"/>
      <c r="AC7" s="258"/>
      <c r="AD7" s="258"/>
      <c r="AE7" s="259"/>
      <c r="AF7" s="259"/>
      <c r="AG7" s="259"/>
      <c r="AH7" s="259"/>
      <c r="AI7" s="259"/>
      <c r="AJ7" s="259"/>
      <c r="AK7" s="259"/>
      <c r="AL7" s="259"/>
      <c r="AM7" s="260"/>
      <c r="AN7" s="261"/>
      <c r="AO7" s="242"/>
      <c r="AP7" s="243"/>
      <c r="AQ7" s="243"/>
      <c r="AR7" s="243"/>
      <c r="AS7" s="243"/>
      <c r="AT7" s="243"/>
      <c r="AU7" s="243"/>
      <c r="AV7" s="295"/>
      <c r="AW7" s="296"/>
      <c r="AX7" s="296"/>
      <c r="AY7" s="296"/>
      <c r="AZ7" s="296"/>
      <c r="BA7" s="296"/>
      <c r="BB7" s="296"/>
      <c r="BC7" s="296"/>
      <c r="BD7" s="296"/>
      <c r="BE7" s="296"/>
      <c r="BF7" s="297"/>
    </row>
    <row r="8" spans="2:58" ht="25.25" customHeight="1" thickBot="1" x14ac:dyDescent="0.5">
      <c r="B8" s="226" t="s">
        <v>11</v>
      </c>
      <c r="C8" s="227"/>
      <c r="D8" s="224" t="s">
        <v>12</v>
      </c>
      <c r="E8" s="230"/>
      <c r="F8" s="206" t="s">
        <v>1</v>
      </c>
      <c r="G8" s="207" t="s">
        <v>13</v>
      </c>
      <c r="H8" s="207" t="s">
        <v>0</v>
      </c>
      <c r="I8" s="219" t="s">
        <v>2</v>
      </c>
      <c r="J8" s="220" t="s">
        <v>7</v>
      </c>
      <c r="K8" s="264" t="s">
        <v>3</v>
      </c>
      <c r="L8" s="285" t="s">
        <v>4</v>
      </c>
      <c r="M8" s="285" t="s">
        <v>5</v>
      </c>
      <c r="N8" s="219" t="s">
        <v>6</v>
      </c>
      <c r="O8" s="220" t="s">
        <v>8</v>
      </c>
      <c r="P8" s="222" t="s">
        <v>17</v>
      </c>
      <c r="Q8" s="224" t="s">
        <v>67</v>
      </c>
      <c r="R8" s="217" t="s">
        <v>68</v>
      </c>
      <c r="S8" s="302" t="s">
        <v>87</v>
      </c>
      <c r="T8" s="246" t="s">
        <v>66</v>
      </c>
      <c r="U8" s="206" t="s">
        <v>32</v>
      </c>
      <c r="V8" s="207" t="s">
        <v>33</v>
      </c>
      <c r="W8" s="207" t="s">
        <v>34</v>
      </c>
      <c r="X8" s="195" t="s">
        <v>92</v>
      </c>
      <c r="Y8" s="191" t="s">
        <v>86</v>
      </c>
      <c r="Z8" s="193" t="s">
        <v>61</v>
      </c>
      <c r="AA8" s="195" t="s">
        <v>85</v>
      </c>
      <c r="AB8" s="262" t="s">
        <v>60</v>
      </c>
      <c r="AC8" s="264" t="s">
        <v>37</v>
      </c>
      <c r="AD8" s="266" t="s">
        <v>69</v>
      </c>
      <c r="AE8" s="191" t="s">
        <v>65</v>
      </c>
      <c r="AF8" s="193" t="s">
        <v>64</v>
      </c>
      <c r="AG8" s="193" t="s">
        <v>62</v>
      </c>
      <c r="AH8" s="195" t="s">
        <v>63</v>
      </c>
      <c r="AI8" s="268" t="s">
        <v>70</v>
      </c>
      <c r="AJ8" s="299" t="s">
        <v>203</v>
      </c>
      <c r="AK8" s="300"/>
      <c r="AL8" s="300"/>
      <c r="AM8" s="301"/>
      <c r="AN8" s="220" t="s">
        <v>38</v>
      </c>
      <c r="AO8" s="206" t="s">
        <v>7</v>
      </c>
      <c r="AP8" s="207" t="s">
        <v>67</v>
      </c>
      <c r="AQ8" s="207" t="s">
        <v>38</v>
      </c>
      <c r="AR8" s="244" t="s">
        <v>71</v>
      </c>
      <c r="AS8" s="207" t="s">
        <v>66</v>
      </c>
      <c r="AT8" s="207" t="s">
        <v>74</v>
      </c>
      <c r="AU8" s="246" t="s">
        <v>72</v>
      </c>
      <c r="AV8" s="287" t="s">
        <v>40</v>
      </c>
      <c r="AW8" s="236" t="s">
        <v>76</v>
      </c>
      <c r="AX8" s="248" t="s">
        <v>89</v>
      </c>
      <c r="AY8" s="248" t="s">
        <v>90</v>
      </c>
      <c r="AZ8" s="248" t="s">
        <v>73</v>
      </c>
      <c r="BA8" s="248" t="s">
        <v>91</v>
      </c>
      <c r="BB8" s="236" t="s">
        <v>77</v>
      </c>
      <c r="BC8" s="236" t="s">
        <v>75</v>
      </c>
      <c r="BD8" s="244" t="s">
        <v>78</v>
      </c>
      <c r="BE8" s="244" t="s">
        <v>134</v>
      </c>
      <c r="BF8" s="246" t="s">
        <v>135</v>
      </c>
    </row>
    <row r="9" spans="2:58" ht="28.9" thickBot="1" x14ac:dyDescent="0.5">
      <c r="B9" s="228"/>
      <c r="C9" s="229"/>
      <c r="D9" s="225"/>
      <c r="E9" s="231"/>
      <c r="F9" s="192"/>
      <c r="G9" s="194"/>
      <c r="H9" s="194"/>
      <c r="I9" s="196"/>
      <c r="J9" s="221"/>
      <c r="K9" s="265"/>
      <c r="L9" s="286"/>
      <c r="M9" s="286"/>
      <c r="N9" s="196"/>
      <c r="O9" s="221"/>
      <c r="P9" s="223"/>
      <c r="Q9" s="225"/>
      <c r="R9" s="218"/>
      <c r="S9" s="303"/>
      <c r="T9" s="247"/>
      <c r="U9" s="192"/>
      <c r="V9" s="194"/>
      <c r="W9" s="194"/>
      <c r="X9" s="196"/>
      <c r="Y9" s="192"/>
      <c r="Z9" s="194"/>
      <c r="AA9" s="196"/>
      <c r="AB9" s="263"/>
      <c r="AC9" s="265"/>
      <c r="AD9" s="267"/>
      <c r="AE9" s="192"/>
      <c r="AF9" s="194"/>
      <c r="AG9" s="194"/>
      <c r="AH9" s="196"/>
      <c r="AI9" s="269"/>
      <c r="AJ9" s="145" t="s">
        <v>199</v>
      </c>
      <c r="AK9" s="146" t="s">
        <v>201</v>
      </c>
      <c r="AL9" s="146" t="s">
        <v>202</v>
      </c>
      <c r="AM9" s="171" t="s">
        <v>200</v>
      </c>
      <c r="AN9" s="221"/>
      <c r="AO9" s="192"/>
      <c r="AP9" s="194"/>
      <c r="AQ9" s="194"/>
      <c r="AR9" s="245"/>
      <c r="AS9" s="194"/>
      <c r="AT9" s="194"/>
      <c r="AU9" s="247"/>
      <c r="AV9" s="288"/>
      <c r="AW9" s="237"/>
      <c r="AX9" s="237"/>
      <c r="AY9" s="237"/>
      <c r="AZ9" s="237"/>
      <c r="BA9" s="237"/>
      <c r="BB9" s="237"/>
      <c r="BC9" s="237"/>
      <c r="BD9" s="245"/>
      <c r="BE9" s="245"/>
      <c r="BF9" s="298"/>
    </row>
    <row r="10" spans="2:58" x14ac:dyDescent="0.45">
      <c r="B10" s="274" t="s">
        <v>206</v>
      </c>
      <c r="C10" s="275"/>
      <c r="D10" s="276" t="s">
        <v>100</v>
      </c>
      <c r="E10" s="277"/>
      <c r="F10" s="54">
        <f>H10*G10</f>
        <v>320</v>
      </c>
      <c r="G10" s="7">
        <v>0.8</v>
      </c>
      <c r="H10" s="35">
        <v>400</v>
      </c>
      <c r="I10" s="64">
        <v>400</v>
      </c>
      <c r="J10" s="131">
        <f t="shared" ref="J10:J15" si="0">IF(I10 = 400,(H10*1000)/(SQRT(3)*400),(H10*1000)/(230))</f>
        <v>577.35026918962581</v>
      </c>
      <c r="K10" s="12">
        <v>1</v>
      </c>
      <c r="L10" s="8">
        <v>1</v>
      </c>
      <c r="M10" s="8">
        <v>1</v>
      </c>
      <c r="N10" s="158">
        <f>H10*K10*L10*M10</f>
        <v>400</v>
      </c>
      <c r="O10" s="131">
        <f>IF(I10=400,(N10*1000)/(SQRT(3)*400),(N10*1000)/230)</f>
        <v>577.35026918962581</v>
      </c>
      <c r="P10" s="161" t="s">
        <v>19</v>
      </c>
      <c r="Q10" s="52">
        <v>630</v>
      </c>
      <c r="R10" s="180">
        <v>1</v>
      </c>
      <c r="S10" s="143">
        <f>Q10*R10</f>
        <v>630</v>
      </c>
      <c r="T10" s="164" cm="1">
        <f t="array" ref="T10">IF(P10 ="D",1.45*S10,IF(P10 ="DR",1.3*S10,IF(E[](P10="F",S10&lt;=4),2.1*S10,IF(E[](P10="F",E[](S10&gt;4,S10&lt;=16)),1.9*S10,IF(E[](P10="F",S10&gt;16),1.6*S10)))))</f>
        <v>913.5</v>
      </c>
      <c r="U10" s="9">
        <v>3</v>
      </c>
      <c r="V10" s="6" t="s">
        <v>44</v>
      </c>
      <c r="W10" s="6" t="s">
        <v>58</v>
      </c>
      <c r="X10" s="11" t="s">
        <v>215</v>
      </c>
      <c r="Y10" s="166" t="s">
        <v>19</v>
      </c>
      <c r="Z10" s="6">
        <v>61</v>
      </c>
      <c r="AA10" s="11" t="s">
        <v>207</v>
      </c>
      <c r="AB10" s="181">
        <v>3</v>
      </c>
      <c r="AC10" s="136">
        <v>95</v>
      </c>
      <c r="AD10" s="179">
        <v>301</v>
      </c>
      <c r="AE10" s="9">
        <v>3</v>
      </c>
      <c r="AF10" s="7">
        <v>3</v>
      </c>
      <c r="AG10" s="6">
        <f>AC10*AE10</f>
        <v>285</v>
      </c>
      <c r="AH10" s="165">
        <f>AC10*AF10</f>
        <v>285</v>
      </c>
      <c r="AI10" s="170">
        <f>AD10*AE10</f>
        <v>903</v>
      </c>
      <c r="AJ10" s="9">
        <v>1</v>
      </c>
      <c r="AK10" s="182">
        <v>1</v>
      </c>
      <c r="AL10" s="182">
        <v>1</v>
      </c>
      <c r="AM10" s="183">
        <v>0.8</v>
      </c>
      <c r="AN10" s="173">
        <f t="shared" ref="AN10:AN41" si="1">AI10*AJ10*AK10*AL10*AM10</f>
        <v>722.40000000000009</v>
      </c>
      <c r="AO10" s="174">
        <f t="shared" ref="AO10:AO41" si="2">O10</f>
        <v>577.35026918962581</v>
      </c>
      <c r="AP10" s="6">
        <f>S10</f>
        <v>630</v>
      </c>
      <c r="AQ10" s="6">
        <f>AN10</f>
        <v>722.40000000000009</v>
      </c>
      <c r="AR10" s="6" t="str">
        <f>IF(AND(AO10&lt;=AP10, AP10&lt;=AQ10), "ok", "nok")</f>
        <v>ok</v>
      </c>
      <c r="AS10" s="6">
        <f t="shared" ref="AS10:AS41" si="3">T10</f>
        <v>913.5</v>
      </c>
      <c r="AT10" s="48">
        <f>1.45*AQ10</f>
        <v>1047.48</v>
      </c>
      <c r="AU10" s="175" t="str">
        <f>IF(AS10&lt;=AT10, "ok", "nok")</f>
        <v>ok</v>
      </c>
      <c r="AV10" s="178" t="s">
        <v>97</v>
      </c>
      <c r="AW10" s="6">
        <f xml:space="preserve"> IF(AV10="Instalação Media Tensão (iluminação)",6, IF(AV10="Instalação Media Tensão (outros usos)",8, IF(AV10="Instalação Baixa Tensão (iluminação)",3, IF(AV10="Instalação Baixa Tensão (outros usos)",5, IF(AV10="Instalação coletiva - coluna",1, IF(AV10="Instalação coletiva - entrada",0.5, IF(AV10="Entrada individual - portinhola",1.5)))))))</f>
        <v>5</v>
      </c>
      <c r="AX10" s="58">
        <f>G10</f>
        <v>0.8</v>
      </c>
      <c r="AY10" s="60">
        <f xml:space="preserve"> SQRT(1-AX10^2)</f>
        <v>0.59999999999999987</v>
      </c>
      <c r="AZ10" s="6">
        <f t="shared" ref="AZ10:AZ41" si="4">IF(V10="Cu",0.0225, IF(V10="Al",0.036,0))</f>
        <v>2.2499999999999999E-2</v>
      </c>
      <c r="BA10" s="6">
        <v>8.0000000000000007E-5</v>
      </c>
      <c r="BB10" s="48">
        <f t="shared" ref="BB10:BB41" si="5">IF(I10=400, (AZ10*(U10/AG10)*AX10+BA10*U10*AY10)*AO10, 2*(AZ10*(U10/AG10)*AX10+BA10*U10*AY10)*AO10)</f>
        <v>0.19253112134660361</v>
      </c>
      <c r="BC10" s="48">
        <f>(BB10/230)*100</f>
        <v>8.3709183194175488E-2</v>
      </c>
      <c r="BD10" s="69" t="str">
        <f>IF(BC10&lt;AW10,"ok","nok")</f>
        <v>ok</v>
      </c>
      <c r="BE10" s="70">
        <f>BC10</f>
        <v>8.3709183194175488E-2</v>
      </c>
      <c r="BF10" s="156" t="str">
        <f>IF(BE10&lt;AW10,"ok","nok")</f>
        <v>ok</v>
      </c>
    </row>
    <row r="11" spans="2:58" x14ac:dyDescent="0.45">
      <c r="B11" s="232" t="s">
        <v>100</v>
      </c>
      <c r="C11" s="233"/>
      <c r="D11" s="234" t="s">
        <v>101</v>
      </c>
      <c r="E11" s="235"/>
      <c r="F11" s="54">
        <f>H11*G11</f>
        <v>320</v>
      </c>
      <c r="G11" s="55">
        <v>0.8</v>
      </c>
      <c r="H11" s="68">
        <v>400</v>
      </c>
      <c r="I11" s="64">
        <v>400</v>
      </c>
      <c r="J11" s="131">
        <f t="shared" si="0"/>
        <v>577.35026918962581</v>
      </c>
      <c r="K11" s="136">
        <v>1</v>
      </c>
      <c r="L11" s="3">
        <v>0.8</v>
      </c>
      <c r="M11" s="3">
        <v>1</v>
      </c>
      <c r="N11" s="157">
        <f>H11*K11*L11*M11</f>
        <v>320</v>
      </c>
      <c r="O11" s="131">
        <f>IF(I11=400,(N11*1000)/(SQRT(3)*400),(N11*1000)/230)</f>
        <v>461.8802153517006</v>
      </c>
      <c r="P11" s="161" t="s">
        <v>19</v>
      </c>
      <c r="Q11" s="52">
        <v>500</v>
      </c>
      <c r="R11" s="141">
        <v>1</v>
      </c>
      <c r="S11" s="143">
        <f>Q11*R11</f>
        <v>500</v>
      </c>
      <c r="T11" s="164" cm="1">
        <f t="array" ref="T11">IF(P11 ="D",1.45*S11,IF(P11 ="DR",1.3*S11,IF(E[](P11="F",S11&lt;=4),2.1*S11,IF(E[](P11="F",E[](S11&gt;4,S11&lt;=16)),1.9*S11,IF(E[](P11="F",S11&gt;16),1.6*S11)))))</f>
        <v>725</v>
      </c>
      <c r="U11" s="54">
        <v>27</v>
      </c>
      <c r="V11" s="6" t="s">
        <v>44</v>
      </c>
      <c r="W11" s="6" t="s">
        <v>58</v>
      </c>
      <c r="X11" s="11" t="s">
        <v>216</v>
      </c>
      <c r="Y11" s="166" t="s">
        <v>21</v>
      </c>
      <c r="Z11" s="6">
        <v>13</v>
      </c>
      <c r="AA11" s="64" t="s">
        <v>132</v>
      </c>
      <c r="AB11" s="167">
        <v>3</v>
      </c>
      <c r="AC11" s="136">
        <v>95</v>
      </c>
      <c r="AD11" s="137">
        <v>328</v>
      </c>
      <c r="AE11" s="166">
        <v>2</v>
      </c>
      <c r="AF11" s="6">
        <v>2</v>
      </c>
      <c r="AG11" s="6">
        <f>AC11*AE11</f>
        <v>190</v>
      </c>
      <c r="AH11" s="165">
        <f>AC11*AF11</f>
        <v>190</v>
      </c>
      <c r="AI11" s="170">
        <f>AD11*AE11</f>
        <v>656</v>
      </c>
      <c r="AJ11" s="166">
        <v>1</v>
      </c>
      <c r="AK11" s="55">
        <v>0.85</v>
      </c>
      <c r="AL11" s="55">
        <v>1</v>
      </c>
      <c r="AM11" s="64">
        <v>1</v>
      </c>
      <c r="AN11" s="173">
        <f t="shared" si="1"/>
        <v>557.6</v>
      </c>
      <c r="AO11" s="174">
        <f t="shared" si="2"/>
        <v>461.8802153517006</v>
      </c>
      <c r="AP11" s="6">
        <f>S11</f>
        <v>500</v>
      </c>
      <c r="AQ11" s="6">
        <f>AN11</f>
        <v>557.6</v>
      </c>
      <c r="AR11" s="6" t="str">
        <f>IF(AND(AO11&lt;=AP11, AP11&lt;=AQ11), "ok", "nok")</f>
        <v>ok</v>
      </c>
      <c r="AS11" s="6">
        <f t="shared" si="3"/>
        <v>725</v>
      </c>
      <c r="AT11" s="48">
        <f>1.45*AQ11</f>
        <v>808.52</v>
      </c>
      <c r="AU11" s="175" t="str">
        <f>IF(AS11&lt;=AT11, "ok", "nok")</f>
        <v>ok</v>
      </c>
      <c r="AV11" s="178" t="s">
        <v>97</v>
      </c>
      <c r="AW11" s="6">
        <f xml:space="preserve"> IF(AV11="Instalação Media Tensão (iluminação)",6, IF(AV11="Instalação Media Tensão (outros usos)",8, IF(AV11="Instalação Baixa Tensão (iluminação)",3, IF(AV11="Instalação Baixa Tensão (outros usos)",5, IF(AV11="Instalação coletiva - coluna",1, IF(AV11="Instalação coletiva - entrada",0.5, IF(AV11="Entrada individual - portinhola",1.5)))))))</f>
        <v>5</v>
      </c>
      <c r="AX11" s="58">
        <f t="shared" ref="AX11:AX41" si="6">G11</f>
        <v>0.8</v>
      </c>
      <c r="AY11" s="60">
        <f t="shared" ref="AY11:AY41" si="7" xml:space="preserve"> SQRT(1-AX11^2)</f>
        <v>0.59999999999999987</v>
      </c>
      <c r="AZ11" s="6">
        <f t="shared" si="4"/>
        <v>2.2499999999999999E-2</v>
      </c>
      <c r="BA11" s="6">
        <v>8.0000000000000007E-5</v>
      </c>
      <c r="BB11" s="48">
        <f t="shared" si="5"/>
        <v>1.780037730995417</v>
      </c>
      <c r="BC11" s="48">
        <f t="shared" ref="BC11:BC41" si="8">(BB11/230)*100</f>
        <v>0.77392944825887688</v>
      </c>
      <c r="BD11" s="69" t="str">
        <f>IF(BC11&lt;AW11,"ok","nok")</f>
        <v>ok</v>
      </c>
      <c r="BE11" s="70">
        <f>BC11+BE10</f>
        <v>0.85763863145305241</v>
      </c>
      <c r="BF11" s="156" t="str">
        <f>IF(BE11&lt;AW11,"ok","nok")</f>
        <v>ok</v>
      </c>
    </row>
    <row r="12" spans="2:58" x14ac:dyDescent="0.45">
      <c r="B12" s="232" t="s">
        <v>101</v>
      </c>
      <c r="C12" s="233"/>
      <c r="D12" s="234" t="s">
        <v>102</v>
      </c>
      <c r="E12" s="235"/>
      <c r="F12" s="54">
        <f t="shared" ref="F12:F14" si="9">H12*G12</f>
        <v>29.900000000000002</v>
      </c>
      <c r="G12" s="55">
        <v>0.8</v>
      </c>
      <c r="H12" s="68">
        <f>H21+H20+H19+H18+H17+H16</f>
        <v>37.375</v>
      </c>
      <c r="I12" s="64">
        <v>400</v>
      </c>
      <c r="J12" s="131">
        <f t="shared" si="0"/>
        <v>53.94616577740566</v>
      </c>
      <c r="K12" s="12">
        <v>1</v>
      </c>
      <c r="L12" s="8">
        <v>0.7</v>
      </c>
      <c r="M12" s="8">
        <v>1</v>
      </c>
      <c r="N12" s="158">
        <f>H12*M12*L12*K12</f>
        <v>26.162499999999998</v>
      </c>
      <c r="O12" s="50">
        <f t="shared" ref="O12:O41" si="10">IF(I12=400,(N12*1000)/(SQRT(3)*400),(N12*1000)/230)</f>
        <v>37.762316044183954</v>
      </c>
      <c r="P12" s="162" t="s">
        <v>19</v>
      </c>
      <c r="Q12" s="52">
        <v>40</v>
      </c>
      <c r="R12" s="141">
        <v>1</v>
      </c>
      <c r="S12" s="143">
        <f>Q12*R12</f>
        <v>40</v>
      </c>
      <c r="T12" s="43">
        <f t="shared" ref="T12:T41" si="11">IF(P12 ="D",1.45*S12,IF(P12 ="DR",1.3*S12,IF(AND(P12="F",S12&lt;=4),2.1*S12,IF(AND(P12="F",AND(S12&gt;4,S12&lt;=16)),1.9*S12,IF(AND(P12="F",S12&gt;16),1.6*S12)))))</f>
        <v>58</v>
      </c>
      <c r="U12" s="54">
        <v>11</v>
      </c>
      <c r="V12" s="7" t="s">
        <v>44</v>
      </c>
      <c r="W12" s="7" t="s">
        <v>58</v>
      </c>
      <c r="X12" s="11" t="s">
        <v>217</v>
      </c>
      <c r="Y12" s="9" t="s">
        <v>48</v>
      </c>
      <c r="Z12" s="7">
        <v>13</v>
      </c>
      <c r="AA12" s="64" t="s">
        <v>132</v>
      </c>
      <c r="AB12" s="168">
        <v>3</v>
      </c>
      <c r="AC12" s="136">
        <v>4</v>
      </c>
      <c r="AD12" s="137">
        <v>42</v>
      </c>
      <c r="AE12" s="9">
        <v>1</v>
      </c>
      <c r="AF12" s="7">
        <v>1</v>
      </c>
      <c r="AG12" s="7">
        <f>AC12*AE12</f>
        <v>4</v>
      </c>
      <c r="AH12" s="11">
        <f t="shared" ref="AH12:AH41" si="12">AC12*AF12</f>
        <v>4</v>
      </c>
      <c r="AI12" s="132">
        <f>AD12*AE12</f>
        <v>42</v>
      </c>
      <c r="AJ12" s="9">
        <v>1</v>
      </c>
      <c r="AK12" s="55">
        <v>1</v>
      </c>
      <c r="AL12" s="55">
        <v>1</v>
      </c>
      <c r="AM12" s="63">
        <v>1</v>
      </c>
      <c r="AN12" s="134">
        <f t="shared" si="1"/>
        <v>42</v>
      </c>
      <c r="AO12" s="19">
        <f t="shared" si="2"/>
        <v>37.762316044183954</v>
      </c>
      <c r="AP12" s="7">
        <f t="shared" ref="AP12:AP41" si="13">Q12</f>
        <v>40</v>
      </c>
      <c r="AQ12" s="7">
        <f t="shared" ref="AQ12:AQ41" si="14">AN12</f>
        <v>42</v>
      </c>
      <c r="AR12" s="6" t="str">
        <f t="shared" ref="AR12:AR41" si="15">IF(AND(AO12&lt;=AP12, AP12&lt;=AQ12), "ok", "nok")</f>
        <v>ok</v>
      </c>
      <c r="AS12" s="7">
        <f t="shared" si="3"/>
        <v>58</v>
      </c>
      <c r="AT12" s="35">
        <f>1.45*AQ12</f>
        <v>60.9</v>
      </c>
      <c r="AU12" s="176" t="str">
        <f t="shared" ref="AU12:AU41" si="16">IF(AS12&lt;=AT12, "ok", "nok")</f>
        <v>ok</v>
      </c>
      <c r="AV12" s="178" t="s">
        <v>97</v>
      </c>
      <c r="AW12" s="6">
        <f t="shared" ref="AW12:AW41" si="17" xml:space="preserve"> IF(AV12="Instalação Media Tensão (iluminação)",6, IF(AV12="Instalação Media Tensão (outros usos)",8, IF(AV12="Instalação Baixa Tensão (iluminação)",3, IF(AV12="Instalação Baixa Tensão (outros usos)",5, IF(AV12="Instalação coletiva - coluna",1, IF(AV12="Instalação coletiva - entrada",0.5, IF(AV12="Entrada individual - portinhola",1.5)))))))</f>
        <v>5</v>
      </c>
      <c r="AX12" s="58">
        <f t="shared" si="6"/>
        <v>0.8</v>
      </c>
      <c r="AY12" s="60">
        <f t="shared" si="7"/>
        <v>0.59999999999999987</v>
      </c>
      <c r="AZ12" s="6">
        <f t="shared" si="4"/>
        <v>2.2499999999999999E-2</v>
      </c>
      <c r="BA12" s="6">
        <v>8.0000000000000007E-5</v>
      </c>
      <c r="BB12" s="35">
        <f t="shared" si="5"/>
        <v>1.889173147058435</v>
      </c>
      <c r="BC12" s="48">
        <f t="shared" si="8"/>
        <v>0.8213796291558414</v>
      </c>
      <c r="BD12" s="69" t="str">
        <f t="shared" ref="BD12:BD41" si="18">IF(BC12&lt;AW12,"ok","nok")</f>
        <v>ok</v>
      </c>
      <c r="BE12" s="70">
        <f>BC12+BE11</f>
        <v>1.6790182606088937</v>
      </c>
      <c r="BF12" s="74" t="str">
        <f t="shared" ref="BF12:BF41" si="19">IF(BE12&lt;AW12,"ok","nok")</f>
        <v>ok</v>
      </c>
    </row>
    <row r="13" spans="2:58" x14ac:dyDescent="0.45">
      <c r="B13" s="232" t="s">
        <v>101</v>
      </c>
      <c r="C13" s="233"/>
      <c r="D13" s="234" t="s">
        <v>103</v>
      </c>
      <c r="E13" s="235"/>
      <c r="F13" s="61">
        <f t="shared" si="9"/>
        <v>68.773737373737376</v>
      </c>
      <c r="G13" s="55">
        <v>0.8</v>
      </c>
      <c r="H13" s="68">
        <f>H24+H23+H22</f>
        <v>85.967171717171709</v>
      </c>
      <c r="I13" s="64">
        <v>400</v>
      </c>
      <c r="J13" s="131">
        <f t="shared" si="0"/>
        <v>124.08292433094967</v>
      </c>
      <c r="K13" s="12">
        <v>1</v>
      </c>
      <c r="L13" s="3">
        <v>0.9</v>
      </c>
      <c r="M13" s="8">
        <v>1</v>
      </c>
      <c r="N13" s="158">
        <f>H13*K13*L13*M13</f>
        <v>77.370454545454535</v>
      </c>
      <c r="O13" s="50">
        <f t="shared" si="10"/>
        <v>111.6746318978547</v>
      </c>
      <c r="P13" s="162" t="s">
        <v>19</v>
      </c>
      <c r="Q13" s="52">
        <v>125</v>
      </c>
      <c r="R13" s="141">
        <v>1</v>
      </c>
      <c r="S13" s="143">
        <f t="shared" ref="S13:S41" si="20">Q13*R13</f>
        <v>125</v>
      </c>
      <c r="T13" s="43">
        <f t="shared" si="11"/>
        <v>181.25</v>
      </c>
      <c r="U13" s="54">
        <v>21</v>
      </c>
      <c r="V13" s="7" t="s">
        <v>44</v>
      </c>
      <c r="W13" s="7" t="s">
        <v>58</v>
      </c>
      <c r="X13" s="11" t="s">
        <v>218</v>
      </c>
      <c r="Y13" s="9" t="s">
        <v>21</v>
      </c>
      <c r="Z13" s="7">
        <v>13</v>
      </c>
      <c r="AA13" s="64" t="s">
        <v>132</v>
      </c>
      <c r="AB13" s="168">
        <v>3</v>
      </c>
      <c r="AC13" s="136">
        <v>25</v>
      </c>
      <c r="AD13" s="137">
        <v>135</v>
      </c>
      <c r="AE13" s="9">
        <v>1</v>
      </c>
      <c r="AF13" s="7">
        <v>1</v>
      </c>
      <c r="AG13" s="7">
        <f t="shared" ref="AG13:AG41" si="21">AC13*AE13</f>
        <v>25</v>
      </c>
      <c r="AH13" s="11">
        <f t="shared" si="12"/>
        <v>25</v>
      </c>
      <c r="AI13" s="132">
        <f t="shared" ref="AI13:AI41" si="22">AD13*AE13</f>
        <v>135</v>
      </c>
      <c r="AJ13" s="9">
        <v>1</v>
      </c>
      <c r="AK13" s="55">
        <v>1</v>
      </c>
      <c r="AL13" s="55">
        <v>1</v>
      </c>
      <c r="AM13" s="63">
        <v>1</v>
      </c>
      <c r="AN13" s="134">
        <f t="shared" si="1"/>
        <v>135</v>
      </c>
      <c r="AO13" s="19">
        <f t="shared" si="2"/>
        <v>111.6746318978547</v>
      </c>
      <c r="AP13" s="7">
        <f t="shared" si="13"/>
        <v>125</v>
      </c>
      <c r="AQ13" s="7">
        <f t="shared" si="14"/>
        <v>135</v>
      </c>
      <c r="AR13" s="6" t="str">
        <f t="shared" si="15"/>
        <v>ok</v>
      </c>
      <c r="AS13" s="7">
        <f t="shared" si="3"/>
        <v>181.25</v>
      </c>
      <c r="AT13" s="35">
        <f>1.45*AQ13</f>
        <v>195.75</v>
      </c>
      <c r="AU13" s="176" t="str">
        <f t="shared" si="16"/>
        <v>ok</v>
      </c>
      <c r="AV13" s="178" t="s">
        <v>97</v>
      </c>
      <c r="AW13" s="6">
        <f t="shared" si="17"/>
        <v>5</v>
      </c>
      <c r="AX13" s="58">
        <f t="shared" si="6"/>
        <v>0.8</v>
      </c>
      <c r="AY13" s="60">
        <f t="shared" si="7"/>
        <v>0.59999999999999987</v>
      </c>
      <c r="AZ13" s="6">
        <f t="shared" si="4"/>
        <v>2.2499999999999999E-2</v>
      </c>
      <c r="BA13" s="6">
        <v>8.0000000000000007E-5</v>
      </c>
      <c r="BB13" s="35">
        <f t="shared" si="5"/>
        <v>1.8010884632486006</v>
      </c>
      <c r="BC13" s="48">
        <f t="shared" si="8"/>
        <v>0.78308194054286984</v>
      </c>
      <c r="BD13" s="69" t="str">
        <f t="shared" si="18"/>
        <v>ok</v>
      </c>
      <c r="BE13" s="70">
        <f>BC13+BE11</f>
        <v>1.6407205719959221</v>
      </c>
      <c r="BF13" s="74" t="str">
        <f t="shared" si="19"/>
        <v>ok</v>
      </c>
    </row>
    <row r="14" spans="2:58" x14ac:dyDescent="0.45">
      <c r="B14" s="232" t="s">
        <v>101</v>
      </c>
      <c r="C14" s="233"/>
      <c r="D14" s="234" t="s">
        <v>104</v>
      </c>
      <c r="E14" s="235"/>
      <c r="F14" s="61">
        <f t="shared" si="9"/>
        <v>52.595144998370806</v>
      </c>
      <c r="G14" s="55">
        <v>0.8</v>
      </c>
      <c r="H14" s="68">
        <f>H34+H33+H32</f>
        <v>65.743931247963502</v>
      </c>
      <c r="I14" s="64">
        <v>400</v>
      </c>
      <c r="J14" s="131">
        <f t="shared" si="0"/>
        <v>94.893191008989945</v>
      </c>
      <c r="K14" s="12">
        <v>1</v>
      </c>
      <c r="L14" s="8">
        <v>0.9</v>
      </c>
      <c r="M14" s="8">
        <v>1</v>
      </c>
      <c r="N14" s="158">
        <f>H14*L14*K14*M14</f>
        <v>59.16953812316715</v>
      </c>
      <c r="O14" s="50">
        <f t="shared" si="10"/>
        <v>85.403871908090949</v>
      </c>
      <c r="P14" s="162" t="s">
        <v>19</v>
      </c>
      <c r="Q14" s="52">
        <v>100</v>
      </c>
      <c r="R14" s="141">
        <v>1</v>
      </c>
      <c r="S14" s="143">
        <f t="shared" si="20"/>
        <v>100</v>
      </c>
      <c r="T14" s="43">
        <f t="shared" si="11"/>
        <v>145</v>
      </c>
      <c r="U14" s="54">
        <v>26</v>
      </c>
      <c r="V14" s="7" t="s">
        <v>44</v>
      </c>
      <c r="W14" s="7" t="s">
        <v>58</v>
      </c>
      <c r="X14" s="11" t="s">
        <v>219</v>
      </c>
      <c r="Y14" s="9" t="s">
        <v>48</v>
      </c>
      <c r="Z14" s="7">
        <v>13</v>
      </c>
      <c r="AA14" s="64" t="s">
        <v>132</v>
      </c>
      <c r="AB14" s="168">
        <v>3</v>
      </c>
      <c r="AC14" s="136">
        <v>16</v>
      </c>
      <c r="AD14" s="137">
        <v>100</v>
      </c>
      <c r="AE14" s="9">
        <v>1</v>
      </c>
      <c r="AF14" s="7">
        <v>1</v>
      </c>
      <c r="AG14" s="7">
        <f t="shared" si="21"/>
        <v>16</v>
      </c>
      <c r="AH14" s="11">
        <f t="shared" si="12"/>
        <v>16</v>
      </c>
      <c r="AI14" s="132">
        <f t="shared" si="22"/>
        <v>100</v>
      </c>
      <c r="AJ14" s="9">
        <v>1</v>
      </c>
      <c r="AK14" s="55">
        <v>1</v>
      </c>
      <c r="AL14" s="55">
        <v>1</v>
      </c>
      <c r="AM14" s="63">
        <v>1</v>
      </c>
      <c r="AN14" s="134">
        <f t="shared" si="1"/>
        <v>100</v>
      </c>
      <c r="AO14" s="19">
        <f t="shared" si="2"/>
        <v>85.403871908090949</v>
      </c>
      <c r="AP14" s="7">
        <f t="shared" si="13"/>
        <v>100</v>
      </c>
      <c r="AQ14" s="7">
        <f t="shared" si="14"/>
        <v>100</v>
      </c>
      <c r="AR14" s="6" t="str">
        <f t="shared" si="15"/>
        <v>ok</v>
      </c>
      <c r="AS14" s="7">
        <f t="shared" si="3"/>
        <v>145</v>
      </c>
      <c r="AT14" s="35">
        <f t="shared" ref="AT14:AT41" si="23">1.45*AQ14</f>
        <v>145</v>
      </c>
      <c r="AU14" s="176" t="str">
        <f t="shared" si="16"/>
        <v>ok</v>
      </c>
      <c r="AV14" s="178" t="s">
        <v>97</v>
      </c>
      <c r="AW14" s="6">
        <f t="shared" si="17"/>
        <v>5</v>
      </c>
      <c r="AX14" s="58">
        <f t="shared" si="6"/>
        <v>0.8</v>
      </c>
      <c r="AY14" s="60">
        <f t="shared" si="7"/>
        <v>0.59999999999999987</v>
      </c>
      <c r="AZ14" s="6">
        <f t="shared" si="4"/>
        <v>2.2499999999999999E-2</v>
      </c>
      <c r="BA14" s="6">
        <v>8.0000000000000007E-5</v>
      </c>
      <c r="BB14" s="35">
        <f t="shared" si="5"/>
        <v>2.6046472854529577</v>
      </c>
      <c r="BC14" s="48">
        <f t="shared" si="8"/>
        <v>1.1324553415012859</v>
      </c>
      <c r="BD14" s="69" t="str">
        <f t="shared" si="18"/>
        <v>ok</v>
      </c>
      <c r="BE14" s="71">
        <f>BC14+BE11</f>
        <v>1.9900939729543383</v>
      </c>
      <c r="BF14" s="74" t="str">
        <f t="shared" si="19"/>
        <v>ok</v>
      </c>
    </row>
    <row r="15" spans="2:58" x14ac:dyDescent="0.45">
      <c r="B15" s="232" t="s">
        <v>101</v>
      </c>
      <c r="C15" s="233"/>
      <c r="D15" s="234" t="s">
        <v>105</v>
      </c>
      <c r="E15" s="235"/>
      <c r="F15" s="54">
        <f>H15*G15</f>
        <v>9.7000000000000011</v>
      </c>
      <c r="G15" s="55">
        <v>0.8</v>
      </c>
      <c r="H15" s="68">
        <f>H41+H40</f>
        <v>12.125</v>
      </c>
      <c r="I15" s="64">
        <v>400</v>
      </c>
      <c r="J15" s="131">
        <f t="shared" si="0"/>
        <v>17.50093003481053</v>
      </c>
      <c r="K15" s="12">
        <v>1</v>
      </c>
      <c r="L15" s="3">
        <v>0.9</v>
      </c>
      <c r="M15" s="8">
        <v>1</v>
      </c>
      <c r="N15" s="158">
        <f>H15*L15*K15*M15</f>
        <v>10.9125</v>
      </c>
      <c r="O15" s="50">
        <f t="shared" si="10"/>
        <v>15.750837031329478</v>
      </c>
      <c r="P15" s="162" t="s">
        <v>19</v>
      </c>
      <c r="Q15" s="52">
        <v>16</v>
      </c>
      <c r="R15" s="141">
        <v>1</v>
      </c>
      <c r="S15" s="143">
        <f t="shared" si="20"/>
        <v>16</v>
      </c>
      <c r="T15" s="43">
        <f t="shared" si="11"/>
        <v>23.2</v>
      </c>
      <c r="U15" s="54">
        <v>12</v>
      </c>
      <c r="V15" s="7" t="s">
        <v>44</v>
      </c>
      <c r="W15" s="7" t="s">
        <v>58</v>
      </c>
      <c r="X15" s="11" t="s">
        <v>217</v>
      </c>
      <c r="Y15" s="9" t="s">
        <v>48</v>
      </c>
      <c r="Z15" s="7">
        <v>13</v>
      </c>
      <c r="AA15" s="64" t="s">
        <v>132</v>
      </c>
      <c r="AB15" s="168">
        <v>3</v>
      </c>
      <c r="AC15" s="136">
        <v>4</v>
      </c>
      <c r="AD15" s="137">
        <v>42</v>
      </c>
      <c r="AE15" s="9">
        <v>1</v>
      </c>
      <c r="AF15" s="7">
        <v>1</v>
      </c>
      <c r="AG15" s="7">
        <f t="shared" si="21"/>
        <v>4</v>
      </c>
      <c r="AH15" s="11">
        <f t="shared" si="12"/>
        <v>4</v>
      </c>
      <c r="AI15" s="132">
        <f t="shared" si="22"/>
        <v>42</v>
      </c>
      <c r="AJ15" s="9">
        <v>1</v>
      </c>
      <c r="AK15" s="55">
        <v>1</v>
      </c>
      <c r="AL15" s="55">
        <v>1</v>
      </c>
      <c r="AM15" s="63">
        <v>1</v>
      </c>
      <c r="AN15" s="134">
        <f t="shared" si="1"/>
        <v>42</v>
      </c>
      <c r="AO15" s="19">
        <f t="shared" si="2"/>
        <v>15.750837031329478</v>
      </c>
      <c r="AP15" s="7">
        <f t="shared" si="13"/>
        <v>16</v>
      </c>
      <c r="AQ15" s="7">
        <f t="shared" si="14"/>
        <v>42</v>
      </c>
      <c r="AR15" s="6" t="str">
        <f t="shared" si="15"/>
        <v>ok</v>
      </c>
      <c r="AS15" s="7">
        <f t="shared" si="3"/>
        <v>23.2</v>
      </c>
      <c r="AT15" s="35">
        <f t="shared" si="23"/>
        <v>60.9</v>
      </c>
      <c r="AU15" s="176" t="str">
        <f t="shared" si="16"/>
        <v>ok</v>
      </c>
      <c r="AV15" s="178" t="s">
        <v>97</v>
      </c>
      <c r="AW15" s="6">
        <f t="shared" si="17"/>
        <v>5</v>
      </c>
      <c r="AX15" s="58">
        <f t="shared" si="6"/>
        <v>0.8</v>
      </c>
      <c r="AY15" s="60">
        <f t="shared" si="7"/>
        <v>0.59999999999999987</v>
      </c>
      <c r="AZ15" s="6">
        <f t="shared" si="4"/>
        <v>2.2499999999999999E-2</v>
      </c>
      <c r="BA15" s="6">
        <v>8.0000000000000007E-5</v>
      </c>
      <c r="BB15" s="35">
        <f t="shared" si="5"/>
        <v>0.85961768182183773</v>
      </c>
      <c r="BC15" s="48">
        <f t="shared" si="8"/>
        <v>0.37374681818340771</v>
      </c>
      <c r="BD15" s="69" t="str">
        <f t="shared" si="18"/>
        <v>ok</v>
      </c>
      <c r="BE15" s="71">
        <f>BC15+BE11</f>
        <v>1.23138544963646</v>
      </c>
      <c r="BF15" s="74" t="str">
        <f t="shared" si="19"/>
        <v>ok</v>
      </c>
    </row>
    <row r="16" spans="2:58" ht="14.45" customHeight="1" x14ac:dyDescent="0.45">
      <c r="B16" s="232" t="s">
        <v>102</v>
      </c>
      <c r="C16" s="233"/>
      <c r="D16" s="234" t="s">
        <v>106</v>
      </c>
      <c r="E16" s="235"/>
      <c r="F16" s="61">
        <v>4.3</v>
      </c>
      <c r="G16" s="55">
        <v>0.8</v>
      </c>
      <c r="H16" s="58">
        <f>F16/G16</f>
        <v>5.3749999999999991</v>
      </c>
      <c r="I16" s="64">
        <v>400</v>
      </c>
      <c r="J16" s="131">
        <f t="shared" ref="J16:J41" si="24">IF(I16 = 400,(H16*1000)/(SQRT(3)*400),(H16*1000)/(230))</f>
        <v>7.7581442422355948</v>
      </c>
      <c r="K16" s="12">
        <v>1</v>
      </c>
      <c r="L16" s="8">
        <v>1</v>
      </c>
      <c r="M16" s="8">
        <v>1</v>
      </c>
      <c r="N16" s="159">
        <f>H16*K16*L16*M16</f>
        <v>5.3749999999999991</v>
      </c>
      <c r="O16" s="50">
        <f t="shared" si="10"/>
        <v>7.7581442422355948</v>
      </c>
      <c r="P16" s="162" t="s">
        <v>19</v>
      </c>
      <c r="Q16" s="52">
        <v>10</v>
      </c>
      <c r="R16" s="141">
        <v>1</v>
      </c>
      <c r="S16" s="143">
        <f t="shared" si="20"/>
        <v>10</v>
      </c>
      <c r="T16" s="43">
        <f t="shared" si="11"/>
        <v>14.5</v>
      </c>
      <c r="U16" s="54">
        <v>11</v>
      </c>
      <c r="V16" s="7" t="s">
        <v>44</v>
      </c>
      <c r="W16" s="7" t="s">
        <v>58</v>
      </c>
      <c r="X16" s="11" t="s">
        <v>217</v>
      </c>
      <c r="Y16" s="9" t="s">
        <v>81</v>
      </c>
      <c r="Z16" s="7">
        <v>11</v>
      </c>
      <c r="AA16" s="64" t="s">
        <v>208</v>
      </c>
      <c r="AB16" s="168">
        <v>3</v>
      </c>
      <c r="AC16" s="136">
        <v>4</v>
      </c>
      <c r="AD16" s="137">
        <v>40</v>
      </c>
      <c r="AE16" s="9">
        <v>1</v>
      </c>
      <c r="AF16" s="7">
        <v>1</v>
      </c>
      <c r="AG16" s="7">
        <f t="shared" si="21"/>
        <v>4</v>
      </c>
      <c r="AH16" s="11">
        <f t="shared" si="12"/>
        <v>4</v>
      </c>
      <c r="AI16" s="132">
        <f t="shared" si="22"/>
        <v>40</v>
      </c>
      <c r="AJ16" s="9">
        <v>1</v>
      </c>
      <c r="AK16" s="55">
        <v>1</v>
      </c>
      <c r="AL16" s="55">
        <v>1</v>
      </c>
      <c r="AM16" s="63">
        <v>1</v>
      </c>
      <c r="AN16" s="134">
        <f t="shared" si="1"/>
        <v>40</v>
      </c>
      <c r="AO16" s="19">
        <f t="shared" si="2"/>
        <v>7.7581442422355948</v>
      </c>
      <c r="AP16" s="7">
        <f t="shared" si="13"/>
        <v>10</v>
      </c>
      <c r="AQ16" s="7">
        <f t="shared" si="14"/>
        <v>40</v>
      </c>
      <c r="AR16" s="6" t="str">
        <f t="shared" si="15"/>
        <v>ok</v>
      </c>
      <c r="AS16" s="7">
        <f t="shared" si="3"/>
        <v>14.5</v>
      </c>
      <c r="AT16" s="35">
        <f t="shared" si="23"/>
        <v>58</v>
      </c>
      <c r="AU16" s="176" t="str">
        <f t="shared" si="16"/>
        <v>ok</v>
      </c>
      <c r="AV16" s="178" t="s">
        <v>97</v>
      </c>
      <c r="AW16" s="6">
        <f t="shared" si="17"/>
        <v>5</v>
      </c>
      <c r="AX16" s="58">
        <f t="shared" si="6"/>
        <v>0.8</v>
      </c>
      <c r="AY16" s="60">
        <f t="shared" si="7"/>
        <v>0.59999999999999987</v>
      </c>
      <c r="AZ16" s="6">
        <f t="shared" si="4"/>
        <v>2.2499999999999999E-2</v>
      </c>
      <c r="BA16" s="6">
        <v>8.0000000000000007E-5</v>
      </c>
      <c r="BB16" s="35">
        <f t="shared" si="5"/>
        <v>0.38812444015056236</v>
      </c>
      <c r="BC16" s="48">
        <f t="shared" si="8"/>
        <v>0.16874975658720104</v>
      </c>
      <c r="BD16" s="69" t="str">
        <f t="shared" si="18"/>
        <v>ok</v>
      </c>
      <c r="BE16" s="71">
        <f>BC16+$BE$12</f>
        <v>1.8477680171960946</v>
      </c>
      <c r="BF16" s="74" t="str">
        <f t="shared" si="19"/>
        <v>ok</v>
      </c>
    </row>
    <row r="17" spans="2:58" ht="14.45" customHeight="1" x14ac:dyDescent="0.45">
      <c r="B17" s="232" t="s">
        <v>102</v>
      </c>
      <c r="C17" s="233"/>
      <c r="D17" s="234" t="s">
        <v>107</v>
      </c>
      <c r="E17" s="235"/>
      <c r="F17" s="61">
        <v>8.5</v>
      </c>
      <c r="G17" s="55">
        <v>0.8</v>
      </c>
      <c r="H17" s="58">
        <f t="shared" ref="H17:H23" si="25">F17/G17</f>
        <v>10.625</v>
      </c>
      <c r="I17" s="64">
        <v>400</v>
      </c>
      <c r="J17" s="131">
        <f t="shared" si="24"/>
        <v>15.335866525349434</v>
      </c>
      <c r="K17" s="12">
        <v>1</v>
      </c>
      <c r="L17" s="3">
        <v>1</v>
      </c>
      <c r="M17" s="8">
        <v>1</v>
      </c>
      <c r="N17" s="159">
        <f>H17*K17*L17*M17</f>
        <v>10.625</v>
      </c>
      <c r="O17" s="50">
        <f t="shared" si="10"/>
        <v>15.335866525349434</v>
      </c>
      <c r="P17" s="162" t="s">
        <v>19</v>
      </c>
      <c r="Q17" s="52">
        <v>16</v>
      </c>
      <c r="R17" s="141">
        <v>1</v>
      </c>
      <c r="S17" s="143">
        <f t="shared" si="20"/>
        <v>16</v>
      </c>
      <c r="T17" s="43">
        <f t="shared" si="11"/>
        <v>23.2</v>
      </c>
      <c r="U17" s="54">
        <v>13</v>
      </c>
      <c r="V17" s="7" t="s">
        <v>44</v>
      </c>
      <c r="W17" s="7" t="s">
        <v>58</v>
      </c>
      <c r="X17" s="11" t="s">
        <v>217</v>
      </c>
      <c r="Y17" s="9" t="s">
        <v>81</v>
      </c>
      <c r="Z17" s="7">
        <v>11</v>
      </c>
      <c r="AA17" s="64" t="s">
        <v>208</v>
      </c>
      <c r="AB17" s="168">
        <v>3</v>
      </c>
      <c r="AC17" s="136">
        <v>4</v>
      </c>
      <c r="AD17" s="137">
        <v>40</v>
      </c>
      <c r="AE17" s="9">
        <v>1</v>
      </c>
      <c r="AF17" s="7">
        <v>1</v>
      </c>
      <c r="AG17" s="7">
        <f t="shared" si="21"/>
        <v>4</v>
      </c>
      <c r="AH17" s="11">
        <f t="shared" si="12"/>
        <v>4</v>
      </c>
      <c r="AI17" s="132">
        <f t="shared" si="22"/>
        <v>40</v>
      </c>
      <c r="AJ17" s="9">
        <v>1</v>
      </c>
      <c r="AK17" s="55">
        <v>1</v>
      </c>
      <c r="AL17" s="55">
        <v>1</v>
      </c>
      <c r="AM17" s="63">
        <v>1</v>
      </c>
      <c r="AN17" s="134">
        <f t="shared" si="1"/>
        <v>40</v>
      </c>
      <c r="AO17" s="19">
        <f t="shared" si="2"/>
        <v>15.335866525349434</v>
      </c>
      <c r="AP17" s="7">
        <f t="shared" si="13"/>
        <v>16</v>
      </c>
      <c r="AQ17" s="7">
        <f t="shared" si="14"/>
        <v>40</v>
      </c>
      <c r="AR17" s="6" t="str">
        <f t="shared" si="15"/>
        <v>ok</v>
      </c>
      <c r="AS17" s="7">
        <f t="shared" si="3"/>
        <v>23.2</v>
      </c>
      <c r="AT17" s="35">
        <f t="shared" si="23"/>
        <v>58</v>
      </c>
      <c r="AU17" s="176" t="str">
        <f t="shared" si="16"/>
        <v>ok</v>
      </c>
      <c r="AV17" s="178" t="s">
        <v>97</v>
      </c>
      <c r="AW17" s="6">
        <f t="shared" si="17"/>
        <v>5</v>
      </c>
      <c r="AX17" s="58">
        <f t="shared" si="6"/>
        <v>0.8</v>
      </c>
      <c r="AY17" s="60">
        <f t="shared" si="7"/>
        <v>0.59999999999999987</v>
      </c>
      <c r="AZ17" s="6">
        <f t="shared" si="4"/>
        <v>2.2499999999999999E-2</v>
      </c>
      <c r="BA17" s="6">
        <v>8.0000000000000007E-5</v>
      </c>
      <c r="BB17" s="35">
        <f t="shared" si="5"/>
        <v>0.90671777244475993</v>
      </c>
      <c r="BC17" s="48">
        <f t="shared" si="8"/>
        <v>0.39422511845424341</v>
      </c>
      <c r="BD17" s="69" t="str">
        <f t="shared" si="18"/>
        <v>ok</v>
      </c>
      <c r="BE17" s="71">
        <f t="shared" ref="BE17:BE20" si="26">BC17+$BE$12</f>
        <v>2.073243379063137</v>
      </c>
      <c r="BF17" s="74" t="str">
        <f t="shared" si="19"/>
        <v>ok</v>
      </c>
    </row>
    <row r="18" spans="2:58" ht="15" customHeight="1" x14ac:dyDescent="0.45">
      <c r="B18" s="232" t="s">
        <v>102</v>
      </c>
      <c r="C18" s="233"/>
      <c r="D18" s="234" t="s">
        <v>108</v>
      </c>
      <c r="E18" s="235"/>
      <c r="F18" s="61">
        <v>3.2</v>
      </c>
      <c r="G18" s="55">
        <v>0.8</v>
      </c>
      <c r="H18" s="58">
        <f t="shared" si="25"/>
        <v>4</v>
      </c>
      <c r="I18" s="64">
        <v>400</v>
      </c>
      <c r="J18" s="131">
        <f t="shared" si="24"/>
        <v>5.7735026918962582</v>
      </c>
      <c r="K18" s="12">
        <v>1</v>
      </c>
      <c r="L18" s="8">
        <v>1</v>
      </c>
      <c r="M18" s="8">
        <v>1</v>
      </c>
      <c r="N18" s="159">
        <f t="shared" ref="N18:N41" si="27">H18*K18*L18*M18</f>
        <v>4</v>
      </c>
      <c r="O18" s="50">
        <f t="shared" si="10"/>
        <v>5.7735026918962582</v>
      </c>
      <c r="P18" s="162" t="s">
        <v>19</v>
      </c>
      <c r="Q18" s="52">
        <v>6</v>
      </c>
      <c r="R18" s="141">
        <v>1</v>
      </c>
      <c r="S18" s="143">
        <f t="shared" si="20"/>
        <v>6</v>
      </c>
      <c r="T18" s="43">
        <f t="shared" si="11"/>
        <v>8.6999999999999993</v>
      </c>
      <c r="U18" s="54">
        <v>20</v>
      </c>
      <c r="V18" s="7" t="s">
        <v>44</v>
      </c>
      <c r="W18" s="7" t="s">
        <v>58</v>
      </c>
      <c r="X18" s="11" t="s">
        <v>217</v>
      </c>
      <c r="Y18" s="9" t="s">
        <v>81</v>
      </c>
      <c r="Z18" s="7">
        <v>11</v>
      </c>
      <c r="AA18" s="64" t="s">
        <v>208</v>
      </c>
      <c r="AB18" s="168">
        <v>3</v>
      </c>
      <c r="AC18" s="136">
        <v>4</v>
      </c>
      <c r="AD18" s="137">
        <v>40</v>
      </c>
      <c r="AE18" s="9">
        <v>1</v>
      </c>
      <c r="AF18" s="7">
        <v>1</v>
      </c>
      <c r="AG18" s="7">
        <f t="shared" si="21"/>
        <v>4</v>
      </c>
      <c r="AH18" s="11">
        <f t="shared" si="12"/>
        <v>4</v>
      </c>
      <c r="AI18" s="132">
        <f t="shared" si="22"/>
        <v>40</v>
      </c>
      <c r="AJ18" s="9">
        <v>1</v>
      </c>
      <c r="AK18" s="55">
        <v>1</v>
      </c>
      <c r="AL18" s="55">
        <v>1</v>
      </c>
      <c r="AM18" s="63">
        <v>1</v>
      </c>
      <c r="AN18" s="134">
        <f t="shared" si="1"/>
        <v>40</v>
      </c>
      <c r="AO18" s="19">
        <f t="shared" si="2"/>
        <v>5.7735026918962582</v>
      </c>
      <c r="AP18" s="7">
        <f t="shared" si="13"/>
        <v>6</v>
      </c>
      <c r="AQ18" s="7">
        <f t="shared" si="14"/>
        <v>40</v>
      </c>
      <c r="AR18" s="6" t="str">
        <f t="shared" si="15"/>
        <v>ok</v>
      </c>
      <c r="AS18" s="7">
        <f t="shared" si="3"/>
        <v>8.6999999999999993</v>
      </c>
      <c r="AT18" s="35">
        <f t="shared" si="23"/>
        <v>58</v>
      </c>
      <c r="AU18" s="176" t="str">
        <f t="shared" si="16"/>
        <v>ok</v>
      </c>
      <c r="AV18" s="178" t="s">
        <v>97</v>
      </c>
      <c r="AW18" s="6">
        <f t="shared" si="17"/>
        <v>5</v>
      </c>
      <c r="AX18" s="58">
        <f t="shared" si="6"/>
        <v>0.8</v>
      </c>
      <c r="AY18" s="60">
        <f t="shared" si="7"/>
        <v>0.59999999999999987</v>
      </c>
      <c r="AZ18" s="6">
        <f t="shared" si="4"/>
        <v>2.2499999999999999E-2</v>
      </c>
      <c r="BA18" s="6">
        <v>8.0000000000000007E-5</v>
      </c>
      <c r="BB18" s="35">
        <f t="shared" si="5"/>
        <v>0.52515780485488361</v>
      </c>
      <c r="BC18" s="48">
        <f t="shared" si="8"/>
        <v>0.22832948037168851</v>
      </c>
      <c r="BD18" s="69" t="str">
        <f t="shared" si="18"/>
        <v>ok</v>
      </c>
      <c r="BE18" s="71">
        <f t="shared" si="26"/>
        <v>1.9073477409805821</v>
      </c>
      <c r="BF18" s="74" t="str">
        <f t="shared" si="19"/>
        <v>ok</v>
      </c>
    </row>
    <row r="19" spans="2:58" x14ac:dyDescent="0.45">
      <c r="B19" s="232" t="s">
        <v>102</v>
      </c>
      <c r="C19" s="233"/>
      <c r="D19" s="234" t="s">
        <v>109</v>
      </c>
      <c r="E19" s="235"/>
      <c r="F19" s="61">
        <v>3.2</v>
      </c>
      <c r="G19" s="55">
        <v>0.8</v>
      </c>
      <c r="H19" s="58">
        <f t="shared" si="25"/>
        <v>4</v>
      </c>
      <c r="I19" s="64">
        <v>400</v>
      </c>
      <c r="J19" s="131">
        <f t="shared" si="24"/>
        <v>5.7735026918962582</v>
      </c>
      <c r="K19" s="12">
        <v>1</v>
      </c>
      <c r="L19" s="3">
        <v>1</v>
      </c>
      <c r="M19" s="8">
        <v>1</v>
      </c>
      <c r="N19" s="159">
        <f t="shared" si="27"/>
        <v>4</v>
      </c>
      <c r="O19" s="50">
        <f t="shared" si="10"/>
        <v>5.7735026918962582</v>
      </c>
      <c r="P19" s="162" t="s">
        <v>19</v>
      </c>
      <c r="Q19" s="52">
        <v>6</v>
      </c>
      <c r="R19" s="141">
        <v>1</v>
      </c>
      <c r="S19" s="143">
        <f t="shared" si="20"/>
        <v>6</v>
      </c>
      <c r="T19" s="43">
        <f t="shared" si="11"/>
        <v>8.6999999999999993</v>
      </c>
      <c r="U19" s="54">
        <v>14</v>
      </c>
      <c r="V19" s="7" t="s">
        <v>44</v>
      </c>
      <c r="W19" s="7" t="s">
        <v>58</v>
      </c>
      <c r="X19" s="11" t="s">
        <v>217</v>
      </c>
      <c r="Y19" s="9" t="s">
        <v>81</v>
      </c>
      <c r="Z19" s="7">
        <v>11</v>
      </c>
      <c r="AA19" s="64" t="s">
        <v>208</v>
      </c>
      <c r="AB19" s="168">
        <v>3</v>
      </c>
      <c r="AC19" s="136">
        <v>4</v>
      </c>
      <c r="AD19" s="137">
        <v>40</v>
      </c>
      <c r="AE19" s="9">
        <v>1</v>
      </c>
      <c r="AF19" s="7">
        <v>1</v>
      </c>
      <c r="AG19" s="7">
        <f t="shared" si="21"/>
        <v>4</v>
      </c>
      <c r="AH19" s="11">
        <f t="shared" si="12"/>
        <v>4</v>
      </c>
      <c r="AI19" s="132">
        <f t="shared" si="22"/>
        <v>40</v>
      </c>
      <c r="AJ19" s="9">
        <v>1</v>
      </c>
      <c r="AK19" s="55">
        <v>1</v>
      </c>
      <c r="AL19" s="55">
        <v>1</v>
      </c>
      <c r="AM19" s="63">
        <v>1</v>
      </c>
      <c r="AN19" s="134">
        <f t="shared" si="1"/>
        <v>40</v>
      </c>
      <c r="AO19" s="19">
        <f t="shared" si="2"/>
        <v>5.7735026918962582</v>
      </c>
      <c r="AP19" s="7">
        <f t="shared" si="13"/>
        <v>6</v>
      </c>
      <c r="AQ19" s="7">
        <f t="shared" si="14"/>
        <v>40</v>
      </c>
      <c r="AR19" s="6" t="str">
        <f t="shared" si="15"/>
        <v>ok</v>
      </c>
      <c r="AS19" s="7">
        <f t="shared" si="3"/>
        <v>8.6999999999999993</v>
      </c>
      <c r="AT19" s="35">
        <f t="shared" si="23"/>
        <v>58</v>
      </c>
      <c r="AU19" s="176" t="str">
        <f t="shared" si="16"/>
        <v>ok</v>
      </c>
      <c r="AV19" s="178" t="s">
        <v>97</v>
      </c>
      <c r="AW19" s="6">
        <f t="shared" si="17"/>
        <v>5</v>
      </c>
      <c r="AX19" s="58">
        <f t="shared" si="6"/>
        <v>0.8</v>
      </c>
      <c r="AY19" s="60">
        <f t="shared" si="7"/>
        <v>0.59999999999999987</v>
      </c>
      <c r="AZ19" s="6">
        <f t="shared" si="4"/>
        <v>2.2499999999999999E-2</v>
      </c>
      <c r="BA19" s="6">
        <v>8.0000000000000007E-5</v>
      </c>
      <c r="BB19" s="35">
        <f t="shared" si="5"/>
        <v>0.36761046339841857</v>
      </c>
      <c r="BC19" s="48">
        <f t="shared" si="8"/>
        <v>0.15983063626018199</v>
      </c>
      <c r="BD19" s="69" t="str">
        <f t="shared" si="18"/>
        <v>ok</v>
      </c>
      <c r="BE19" s="71">
        <f t="shared" si="26"/>
        <v>1.8388488968690757</v>
      </c>
      <c r="BF19" s="74" t="str">
        <f t="shared" si="19"/>
        <v>ok</v>
      </c>
    </row>
    <row r="20" spans="2:58" x14ac:dyDescent="0.45">
      <c r="B20" s="232" t="s">
        <v>102</v>
      </c>
      <c r="C20" s="233"/>
      <c r="D20" s="234" t="s">
        <v>110</v>
      </c>
      <c r="E20" s="235"/>
      <c r="F20" s="61">
        <v>4.3</v>
      </c>
      <c r="G20" s="55">
        <v>0.8</v>
      </c>
      <c r="H20" s="58">
        <f t="shared" si="25"/>
        <v>5.3749999999999991</v>
      </c>
      <c r="I20" s="64">
        <v>400</v>
      </c>
      <c r="J20" s="131">
        <f t="shared" si="24"/>
        <v>7.7581442422355948</v>
      </c>
      <c r="K20" s="12">
        <v>1</v>
      </c>
      <c r="L20" s="8">
        <v>1</v>
      </c>
      <c r="M20" s="8">
        <v>1</v>
      </c>
      <c r="N20" s="159">
        <f t="shared" si="27"/>
        <v>5.3749999999999991</v>
      </c>
      <c r="O20" s="50">
        <f t="shared" si="10"/>
        <v>7.7581442422355948</v>
      </c>
      <c r="P20" s="162" t="s">
        <v>19</v>
      </c>
      <c r="Q20" s="52">
        <v>10</v>
      </c>
      <c r="R20" s="141">
        <v>1</v>
      </c>
      <c r="S20" s="143">
        <f t="shared" si="20"/>
        <v>10</v>
      </c>
      <c r="T20" s="43">
        <f t="shared" si="11"/>
        <v>14.5</v>
      </c>
      <c r="U20" s="54">
        <v>23</v>
      </c>
      <c r="V20" s="7" t="s">
        <v>44</v>
      </c>
      <c r="W20" s="7" t="s">
        <v>58</v>
      </c>
      <c r="X20" s="11" t="s">
        <v>217</v>
      </c>
      <c r="Y20" s="9" t="s">
        <v>81</v>
      </c>
      <c r="Z20" s="7">
        <v>11</v>
      </c>
      <c r="AA20" s="64" t="s">
        <v>208</v>
      </c>
      <c r="AB20" s="168">
        <v>3</v>
      </c>
      <c r="AC20" s="136">
        <v>4</v>
      </c>
      <c r="AD20" s="137">
        <v>40</v>
      </c>
      <c r="AE20" s="9">
        <v>1</v>
      </c>
      <c r="AF20" s="7">
        <v>1</v>
      </c>
      <c r="AG20" s="7">
        <f t="shared" si="21"/>
        <v>4</v>
      </c>
      <c r="AH20" s="11">
        <f t="shared" si="12"/>
        <v>4</v>
      </c>
      <c r="AI20" s="132">
        <f t="shared" si="22"/>
        <v>40</v>
      </c>
      <c r="AJ20" s="9">
        <v>1</v>
      </c>
      <c r="AK20" s="55">
        <v>1</v>
      </c>
      <c r="AL20" s="55">
        <v>1</v>
      </c>
      <c r="AM20" s="63">
        <v>1</v>
      </c>
      <c r="AN20" s="134">
        <f t="shared" si="1"/>
        <v>40</v>
      </c>
      <c r="AO20" s="19">
        <f t="shared" si="2"/>
        <v>7.7581442422355948</v>
      </c>
      <c r="AP20" s="7">
        <f t="shared" si="13"/>
        <v>10</v>
      </c>
      <c r="AQ20" s="7">
        <f t="shared" si="14"/>
        <v>40</v>
      </c>
      <c r="AR20" s="6" t="str">
        <f t="shared" si="15"/>
        <v>ok</v>
      </c>
      <c r="AS20" s="7">
        <f t="shared" si="3"/>
        <v>14.5</v>
      </c>
      <c r="AT20" s="35">
        <f t="shared" si="23"/>
        <v>58</v>
      </c>
      <c r="AU20" s="176" t="str">
        <f t="shared" si="16"/>
        <v>ok</v>
      </c>
      <c r="AV20" s="178" t="s">
        <v>97</v>
      </c>
      <c r="AW20" s="6">
        <f t="shared" si="17"/>
        <v>5</v>
      </c>
      <c r="AX20" s="58">
        <f t="shared" si="6"/>
        <v>0.8</v>
      </c>
      <c r="AY20" s="60">
        <f t="shared" si="7"/>
        <v>0.59999999999999987</v>
      </c>
      <c r="AZ20" s="6">
        <f t="shared" si="4"/>
        <v>2.2499999999999999E-2</v>
      </c>
      <c r="BA20" s="6">
        <v>8.0000000000000007E-5</v>
      </c>
      <c r="BB20" s="35">
        <f t="shared" si="5"/>
        <v>0.81153292031481206</v>
      </c>
      <c r="BC20" s="48">
        <f t="shared" si="8"/>
        <v>0.35284040013687484</v>
      </c>
      <c r="BD20" s="69" t="str">
        <f t="shared" si="18"/>
        <v>ok</v>
      </c>
      <c r="BE20" s="71">
        <f t="shared" si="26"/>
        <v>2.0318586607457685</v>
      </c>
      <c r="BF20" s="74" t="str">
        <f t="shared" si="19"/>
        <v>ok</v>
      </c>
    </row>
    <row r="21" spans="2:58" ht="14.45" customHeight="1" x14ac:dyDescent="0.45">
      <c r="B21" s="232" t="s">
        <v>102</v>
      </c>
      <c r="C21" s="233"/>
      <c r="D21" s="234" t="s">
        <v>111</v>
      </c>
      <c r="E21" s="235"/>
      <c r="F21" s="61">
        <v>6.4</v>
      </c>
      <c r="G21" s="55">
        <v>0.8</v>
      </c>
      <c r="H21" s="58">
        <f t="shared" si="25"/>
        <v>8</v>
      </c>
      <c r="I21" s="64">
        <v>400</v>
      </c>
      <c r="J21" s="131">
        <f t="shared" si="24"/>
        <v>11.547005383792516</v>
      </c>
      <c r="K21" s="12">
        <v>1</v>
      </c>
      <c r="L21" s="3">
        <v>1</v>
      </c>
      <c r="M21" s="8">
        <v>1</v>
      </c>
      <c r="N21" s="159">
        <f t="shared" si="27"/>
        <v>8</v>
      </c>
      <c r="O21" s="50">
        <f t="shared" si="10"/>
        <v>11.547005383792516</v>
      </c>
      <c r="P21" s="162" t="s">
        <v>19</v>
      </c>
      <c r="Q21" s="52">
        <v>16</v>
      </c>
      <c r="R21" s="141">
        <v>1</v>
      </c>
      <c r="S21" s="143">
        <f t="shared" si="20"/>
        <v>16</v>
      </c>
      <c r="T21" s="43">
        <f t="shared" si="11"/>
        <v>23.2</v>
      </c>
      <c r="U21" s="54">
        <v>15</v>
      </c>
      <c r="V21" s="7" t="s">
        <v>44</v>
      </c>
      <c r="W21" s="7" t="s">
        <v>58</v>
      </c>
      <c r="X21" s="11" t="s">
        <v>217</v>
      </c>
      <c r="Y21" s="9" t="s">
        <v>81</v>
      </c>
      <c r="Z21" s="7">
        <v>11</v>
      </c>
      <c r="AA21" s="64" t="s">
        <v>208</v>
      </c>
      <c r="AB21" s="168">
        <v>3</v>
      </c>
      <c r="AC21" s="136">
        <v>4</v>
      </c>
      <c r="AD21" s="137">
        <v>40</v>
      </c>
      <c r="AE21" s="9">
        <v>1</v>
      </c>
      <c r="AF21" s="7">
        <v>1</v>
      </c>
      <c r="AG21" s="7">
        <f t="shared" si="21"/>
        <v>4</v>
      </c>
      <c r="AH21" s="11">
        <f t="shared" si="12"/>
        <v>4</v>
      </c>
      <c r="AI21" s="132">
        <f t="shared" si="22"/>
        <v>40</v>
      </c>
      <c r="AJ21" s="9">
        <v>1</v>
      </c>
      <c r="AK21" s="55">
        <v>1</v>
      </c>
      <c r="AL21" s="55">
        <v>1</v>
      </c>
      <c r="AM21" s="63">
        <v>1</v>
      </c>
      <c r="AN21" s="134">
        <f t="shared" si="1"/>
        <v>40</v>
      </c>
      <c r="AO21" s="19">
        <f t="shared" si="2"/>
        <v>11.547005383792516</v>
      </c>
      <c r="AP21" s="7">
        <f t="shared" si="13"/>
        <v>16</v>
      </c>
      <c r="AQ21" s="7">
        <f t="shared" si="14"/>
        <v>40</v>
      </c>
      <c r="AR21" s="6" t="str">
        <f t="shared" si="15"/>
        <v>ok</v>
      </c>
      <c r="AS21" s="7">
        <f t="shared" si="3"/>
        <v>23.2</v>
      </c>
      <c r="AT21" s="35">
        <f t="shared" si="23"/>
        <v>58</v>
      </c>
      <c r="AU21" s="176" t="str">
        <f t="shared" si="16"/>
        <v>ok</v>
      </c>
      <c r="AV21" s="178" t="s">
        <v>97</v>
      </c>
      <c r="AW21" s="6">
        <f t="shared" si="17"/>
        <v>5</v>
      </c>
      <c r="AX21" s="58">
        <f t="shared" si="6"/>
        <v>0.8</v>
      </c>
      <c r="AY21" s="60">
        <f t="shared" si="7"/>
        <v>0.59999999999999987</v>
      </c>
      <c r="AZ21" s="6">
        <f t="shared" si="4"/>
        <v>2.2499999999999999E-2</v>
      </c>
      <c r="BA21" s="6">
        <v>8.0000000000000007E-5</v>
      </c>
      <c r="BB21" s="35">
        <f t="shared" si="5"/>
        <v>0.78773670728232537</v>
      </c>
      <c r="BC21" s="48">
        <f t="shared" si="8"/>
        <v>0.34249422055753276</v>
      </c>
      <c r="BD21" s="69" t="str">
        <f t="shared" si="18"/>
        <v>ok</v>
      </c>
      <c r="BE21" s="71">
        <f>BC21+$BE$12</f>
        <v>2.0215124811664262</v>
      </c>
      <c r="BF21" s="74" t="str">
        <f t="shared" si="19"/>
        <v>ok</v>
      </c>
    </row>
    <row r="22" spans="2:58" ht="14.25" customHeight="1" x14ac:dyDescent="0.45">
      <c r="B22" s="232" t="s">
        <v>103</v>
      </c>
      <c r="C22" s="233"/>
      <c r="D22" s="234" t="s">
        <v>112</v>
      </c>
      <c r="E22" s="235"/>
      <c r="F22" s="61">
        <v>12.2</v>
      </c>
      <c r="G22" s="55">
        <v>0.8</v>
      </c>
      <c r="H22" s="58">
        <f t="shared" si="25"/>
        <v>15.249999999999998</v>
      </c>
      <c r="I22" s="64">
        <v>400</v>
      </c>
      <c r="J22" s="131">
        <f t="shared" si="24"/>
        <v>22.01147901285448</v>
      </c>
      <c r="K22" s="12">
        <v>1</v>
      </c>
      <c r="L22" s="8">
        <v>1</v>
      </c>
      <c r="M22" s="8">
        <v>1</v>
      </c>
      <c r="N22" s="159">
        <f t="shared" si="27"/>
        <v>15.249999999999998</v>
      </c>
      <c r="O22" s="50">
        <f t="shared" si="10"/>
        <v>22.01147901285448</v>
      </c>
      <c r="P22" s="162" t="s">
        <v>19</v>
      </c>
      <c r="Q22" s="52">
        <v>25</v>
      </c>
      <c r="R22" s="141">
        <v>1</v>
      </c>
      <c r="S22" s="143">
        <f t="shared" si="20"/>
        <v>25</v>
      </c>
      <c r="T22" s="43">
        <f t="shared" si="11"/>
        <v>36.25</v>
      </c>
      <c r="U22" s="54">
        <v>50</v>
      </c>
      <c r="V22" s="7" t="s">
        <v>44</v>
      </c>
      <c r="W22" s="7" t="s">
        <v>58</v>
      </c>
      <c r="X22" s="11" t="s">
        <v>217</v>
      </c>
      <c r="Y22" s="9" t="s">
        <v>81</v>
      </c>
      <c r="Z22" s="7">
        <v>11</v>
      </c>
      <c r="AA22" s="64" t="s">
        <v>208</v>
      </c>
      <c r="AB22" s="168">
        <v>3</v>
      </c>
      <c r="AC22" s="136">
        <v>4</v>
      </c>
      <c r="AD22" s="137">
        <v>40</v>
      </c>
      <c r="AE22" s="9">
        <v>1</v>
      </c>
      <c r="AF22" s="7">
        <v>1</v>
      </c>
      <c r="AG22" s="7">
        <f t="shared" si="21"/>
        <v>4</v>
      </c>
      <c r="AH22" s="11">
        <f t="shared" si="12"/>
        <v>4</v>
      </c>
      <c r="AI22" s="132">
        <f t="shared" si="22"/>
        <v>40</v>
      </c>
      <c r="AJ22" s="9">
        <v>1</v>
      </c>
      <c r="AK22" s="55">
        <v>1</v>
      </c>
      <c r="AL22" s="55">
        <v>1</v>
      </c>
      <c r="AM22" s="63">
        <v>1</v>
      </c>
      <c r="AN22" s="134">
        <f t="shared" si="1"/>
        <v>40</v>
      </c>
      <c r="AO22" s="19">
        <f t="shared" si="2"/>
        <v>22.01147901285448</v>
      </c>
      <c r="AP22" s="7">
        <f t="shared" si="13"/>
        <v>25</v>
      </c>
      <c r="AQ22" s="7">
        <f t="shared" si="14"/>
        <v>40</v>
      </c>
      <c r="AR22" s="6" t="str">
        <f t="shared" si="15"/>
        <v>ok</v>
      </c>
      <c r="AS22" s="7">
        <f t="shared" si="3"/>
        <v>36.25</v>
      </c>
      <c r="AT22" s="35">
        <f t="shared" si="23"/>
        <v>58</v>
      </c>
      <c r="AU22" s="176" t="str">
        <f t="shared" si="16"/>
        <v>ok</v>
      </c>
      <c r="AV22" s="178" t="s">
        <v>97</v>
      </c>
      <c r="AW22" s="6">
        <f t="shared" si="17"/>
        <v>5</v>
      </c>
      <c r="AX22" s="58">
        <f t="shared" si="6"/>
        <v>0.8</v>
      </c>
      <c r="AY22" s="60">
        <f t="shared" si="7"/>
        <v>0.59999999999999987</v>
      </c>
      <c r="AZ22" s="6">
        <f t="shared" si="4"/>
        <v>2.2499999999999999E-2</v>
      </c>
      <c r="BA22" s="6">
        <v>8.0000000000000007E-5</v>
      </c>
      <c r="BB22" s="35">
        <f t="shared" si="5"/>
        <v>5.0054103275231085</v>
      </c>
      <c r="BC22" s="48">
        <f t="shared" si="8"/>
        <v>2.176265359792656</v>
      </c>
      <c r="BD22" s="69" t="str">
        <f t="shared" si="18"/>
        <v>ok</v>
      </c>
      <c r="BE22" s="71">
        <f>BC22+$BE$13</f>
        <v>3.8169859317885781</v>
      </c>
      <c r="BF22" s="74" t="str">
        <f t="shared" si="19"/>
        <v>ok</v>
      </c>
    </row>
    <row r="23" spans="2:58" ht="16.149999999999999" customHeight="1" x14ac:dyDescent="0.45">
      <c r="B23" s="232" t="s">
        <v>103</v>
      </c>
      <c r="C23" s="233"/>
      <c r="D23" s="234" t="s">
        <v>113</v>
      </c>
      <c r="E23" s="235"/>
      <c r="F23" s="54">
        <v>8.6</v>
      </c>
      <c r="G23" s="55">
        <v>0.8</v>
      </c>
      <c r="H23" s="58">
        <f t="shared" si="25"/>
        <v>10.749999999999998</v>
      </c>
      <c r="I23" s="64">
        <v>400</v>
      </c>
      <c r="J23" s="131">
        <f t="shared" si="24"/>
        <v>15.51628848447119</v>
      </c>
      <c r="K23" s="12">
        <v>1</v>
      </c>
      <c r="L23" s="3">
        <v>1</v>
      </c>
      <c r="M23" s="8">
        <v>1</v>
      </c>
      <c r="N23" s="159">
        <f t="shared" si="27"/>
        <v>10.749999999999998</v>
      </c>
      <c r="O23" s="50">
        <f t="shared" si="10"/>
        <v>15.51628848447119</v>
      </c>
      <c r="P23" s="162" t="s">
        <v>19</v>
      </c>
      <c r="Q23" s="52">
        <v>16</v>
      </c>
      <c r="R23" s="141">
        <v>1</v>
      </c>
      <c r="S23" s="143">
        <f t="shared" si="20"/>
        <v>16</v>
      </c>
      <c r="T23" s="43">
        <f t="shared" si="11"/>
        <v>23.2</v>
      </c>
      <c r="U23" s="54">
        <v>50</v>
      </c>
      <c r="V23" s="7" t="s">
        <v>44</v>
      </c>
      <c r="W23" s="7" t="s">
        <v>58</v>
      </c>
      <c r="X23" s="11" t="s">
        <v>217</v>
      </c>
      <c r="Y23" s="9" t="s">
        <v>81</v>
      </c>
      <c r="Z23" s="7">
        <v>11</v>
      </c>
      <c r="AA23" s="64" t="s">
        <v>208</v>
      </c>
      <c r="AB23" s="168">
        <v>3</v>
      </c>
      <c r="AC23" s="136">
        <v>4</v>
      </c>
      <c r="AD23" s="137">
        <v>40</v>
      </c>
      <c r="AE23" s="9">
        <v>1</v>
      </c>
      <c r="AF23" s="7">
        <v>1</v>
      </c>
      <c r="AG23" s="7">
        <f t="shared" si="21"/>
        <v>4</v>
      </c>
      <c r="AH23" s="11">
        <f t="shared" si="12"/>
        <v>4</v>
      </c>
      <c r="AI23" s="132">
        <f t="shared" si="22"/>
        <v>40</v>
      </c>
      <c r="AJ23" s="9">
        <v>1</v>
      </c>
      <c r="AK23" s="55">
        <v>1</v>
      </c>
      <c r="AL23" s="55">
        <v>1</v>
      </c>
      <c r="AM23" s="63">
        <v>1</v>
      </c>
      <c r="AN23" s="134">
        <f t="shared" si="1"/>
        <v>40</v>
      </c>
      <c r="AO23" s="19">
        <f t="shared" si="2"/>
        <v>15.51628848447119</v>
      </c>
      <c r="AP23" s="7">
        <f t="shared" si="13"/>
        <v>16</v>
      </c>
      <c r="AQ23" s="7">
        <f t="shared" si="14"/>
        <v>40</v>
      </c>
      <c r="AR23" s="6" t="str">
        <f t="shared" si="15"/>
        <v>ok</v>
      </c>
      <c r="AS23" s="7">
        <f t="shared" si="3"/>
        <v>23.2</v>
      </c>
      <c r="AT23" s="35">
        <f t="shared" si="23"/>
        <v>58</v>
      </c>
      <c r="AU23" s="176" t="str">
        <f t="shared" si="16"/>
        <v>ok</v>
      </c>
      <c r="AV23" s="178" t="s">
        <v>97</v>
      </c>
      <c r="AW23" s="6">
        <f t="shared" si="17"/>
        <v>5</v>
      </c>
      <c r="AX23" s="58">
        <f t="shared" si="6"/>
        <v>0.8</v>
      </c>
      <c r="AY23" s="60">
        <f t="shared" si="7"/>
        <v>0.59999999999999987</v>
      </c>
      <c r="AZ23" s="6">
        <f t="shared" si="4"/>
        <v>2.2499999999999999E-2</v>
      </c>
      <c r="BA23" s="6">
        <v>8.0000000000000007E-5</v>
      </c>
      <c r="BB23" s="35">
        <f t="shared" si="5"/>
        <v>3.5284040013687483</v>
      </c>
      <c r="BC23" s="48">
        <f t="shared" si="8"/>
        <v>1.5340886962472817</v>
      </c>
      <c r="BD23" s="69" t="str">
        <f t="shared" si="18"/>
        <v>ok</v>
      </c>
      <c r="BE23" s="71">
        <f>BC23+$BE$13</f>
        <v>3.1748092682432039</v>
      </c>
      <c r="BF23" s="74" t="str">
        <f t="shared" si="19"/>
        <v>ok</v>
      </c>
    </row>
    <row r="24" spans="2:58" ht="13.25" customHeight="1" x14ac:dyDescent="0.45">
      <c r="B24" s="232" t="s">
        <v>103</v>
      </c>
      <c r="C24" s="233"/>
      <c r="D24" s="234" t="s">
        <v>114</v>
      </c>
      <c r="E24" s="235"/>
      <c r="F24" s="61">
        <f>H24*G24</f>
        <v>47.973737373737379</v>
      </c>
      <c r="G24" s="55">
        <v>0.8</v>
      </c>
      <c r="H24" s="68">
        <f>H31+H30+H29+H28+H27+H26+H25</f>
        <v>59.967171717171716</v>
      </c>
      <c r="I24" s="64">
        <v>400</v>
      </c>
      <c r="J24" s="131">
        <f t="shared" si="24"/>
        <v>86.555156833624011</v>
      </c>
      <c r="K24" s="12">
        <v>1</v>
      </c>
      <c r="L24" s="8">
        <v>0.7</v>
      </c>
      <c r="M24" s="8">
        <v>1</v>
      </c>
      <c r="N24" s="158">
        <f>H24*M24*L24*K24</f>
        <v>41.977020202020199</v>
      </c>
      <c r="O24" s="50">
        <f t="shared" si="10"/>
        <v>60.588609783536803</v>
      </c>
      <c r="P24" s="162" t="s">
        <v>19</v>
      </c>
      <c r="Q24" s="52">
        <v>63</v>
      </c>
      <c r="R24" s="141">
        <v>1</v>
      </c>
      <c r="S24" s="143">
        <f t="shared" si="20"/>
        <v>63</v>
      </c>
      <c r="T24" s="43">
        <f t="shared" si="11"/>
        <v>91.35</v>
      </c>
      <c r="U24" s="54">
        <v>28</v>
      </c>
      <c r="V24" s="7" t="s">
        <v>44</v>
      </c>
      <c r="W24" s="7" t="s">
        <v>58</v>
      </c>
      <c r="X24" s="11" t="s">
        <v>220</v>
      </c>
      <c r="Y24" s="9" t="s">
        <v>48</v>
      </c>
      <c r="Z24" s="7">
        <v>13</v>
      </c>
      <c r="AA24" s="64" t="s">
        <v>132</v>
      </c>
      <c r="AB24" s="168">
        <v>3</v>
      </c>
      <c r="AC24" s="136">
        <v>10</v>
      </c>
      <c r="AD24" s="137">
        <v>75</v>
      </c>
      <c r="AE24" s="9">
        <v>1</v>
      </c>
      <c r="AF24" s="7">
        <v>1</v>
      </c>
      <c r="AG24" s="7">
        <f t="shared" si="21"/>
        <v>10</v>
      </c>
      <c r="AH24" s="11">
        <f t="shared" si="12"/>
        <v>10</v>
      </c>
      <c r="AI24" s="132">
        <f t="shared" si="22"/>
        <v>75</v>
      </c>
      <c r="AJ24" s="9">
        <v>1</v>
      </c>
      <c r="AK24" s="55">
        <v>1</v>
      </c>
      <c r="AL24" s="55">
        <v>1</v>
      </c>
      <c r="AM24" s="63">
        <v>1</v>
      </c>
      <c r="AN24" s="134">
        <f t="shared" si="1"/>
        <v>75</v>
      </c>
      <c r="AO24" s="19">
        <f t="shared" si="2"/>
        <v>60.588609783536803</v>
      </c>
      <c r="AP24" s="7">
        <f t="shared" si="13"/>
        <v>63</v>
      </c>
      <c r="AQ24" s="7">
        <f t="shared" si="14"/>
        <v>75</v>
      </c>
      <c r="AR24" s="6" t="str">
        <f t="shared" si="15"/>
        <v>ok</v>
      </c>
      <c r="AS24" s="7">
        <f t="shared" si="3"/>
        <v>91.35</v>
      </c>
      <c r="AT24" s="35">
        <f t="shared" si="23"/>
        <v>108.75</v>
      </c>
      <c r="AU24" s="176" t="str">
        <f t="shared" si="16"/>
        <v>ok</v>
      </c>
      <c r="AV24" s="178" t="s">
        <v>97</v>
      </c>
      <c r="AW24" s="6">
        <f t="shared" si="17"/>
        <v>5</v>
      </c>
      <c r="AX24" s="58">
        <f t="shared" si="6"/>
        <v>0.8</v>
      </c>
      <c r="AY24" s="60">
        <f t="shared" si="7"/>
        <v>0.59999999999999987</v>
      </c>
      <c r="AZ24" s="6">
        <f t="shared" si="4"/>
        <v>2.2499999999999999E-2</v>
      </c>
      <c r="BA24" s="6">
        <v>8.0000000000000007E-5</v>
      </c>
      <c r="BB24" s="35">
        <f t="shared" si="5"/>
        <v>3.1350970246393284</v>
      </c>
      <c r="BC24" s="48">
        <f t="shared" si="8"/>
        <v>1.3630856628866646</v>
      </c>
      <c r="BD24" s="69" t="str">
        <f t="shared" si="18"/>
        <v>ok</v>
      </c>
      <c r="BE24" s="71">
        <f>BC24+$BE$13</f>
        <v>3.0038062348825867</v>
      </c>
      <c r="BF24" s="74" t="str">
        <f t="shared" si="19"/>
        <v>ok</v>
      </c>
    </row>
    <row r="25" spans="2:58" x14ac:dyDescent="0.45">
      <c r="B25" s="232" t="s">
        <v>114</v>
      </c>
      <c r="C25" s="233"/>
      <c r="D25" s="234" t="s">
        <v>115</v>
      </c>
      <c r="E25" s="235"/>
      <c r="F25" s="61">
        <v>23.6</v>
      </c>
      <c r="G25" s="55">
        <v>0.8</v>
      </c>
      <c r="H25" s="58">
        <f>F25/G25</f>
        <v>29.5</v>
      </c>
      <c r="I25" s="64">
        <v>400</v>
      </c>
      <c r="J25" s="131">
        <f t="shared" si="24"/>
        <v>42.579582352734903</v>
      </c>
      <c r="K25" s="12">
        <v>1</v>
      </c>
      <c r="L25" s="3">
        <v>1</v>
      </c>
      <c r="M25" s="8">
        <v>1</v>
      </c>
      <c r="N25" s="159">
        <f t="shared" si="27"/>
        <v>29.5</v>
      </c>
      <c r="O25" s="50">
        <f t="shared" si="10"/>
        <v>42.579582352734903</v>
      </c>
      <c r="P25" s="162" t="s">
        <v>19</v>
      </c>
      <c r="Q25" s="52">
        <v>50</v>
      </c>
      <c r="R25" s="141">
        <v>1</v>
      </c>
      <c r="S25" s="143">
        <f t="shared" si="20"/>
        <v>50</v>
      </c>
      <c r="T25" s="43">
        <f t="shared" si="11"/>
        <v>72.5</v>
      </c>
      <c r="U25" s="54">
        <v>9</v>
      </c>
      <c r="V25" s="7" t="s">
        <v>44</v>
      </c>
      <c r="W25" s="7" t="s">
        <v>58</v>
      </c>
      <c r="X25" s="11" t="s">
        <v>221</v>
      </c>
      <c r="Y25" s="9" t="s">
        <v>48</v>
      </c>
      <c r="Z25" s="7">
        <v>13</v>
      </c>
      <c r="AA25" s="64" t="s">
        <v>132</v>
      </c>
      <c r="AB25" s="168">
        <v>3</v>
      </c>
      <c r="AC25" s="136">
        <v>6</v>
      </c>
      <c r="AD25" s="137">
        <v>54</v>
      </c>
      <c r="AE25" s="9">
        <v>1</v>
      </c>
      <c r="AF25" s="7">
        <v>1</v>
      </c>
      <c r="AG25" s="7">
        <f t="shared" si="21"/>
        <v>6</v>
      </c>
      <c r="AH25" s="11">
        <f t="shared" si="12"/>
        <v>6</v>
      </c>
      <c r="AI25" s="132">
        <f t="shared" si="22"/>
        <v>54</v>
      </c>
      <c r="AJ25" s="9">
        <v>1</v>
      </c>
      <c r="AK25" s="55">
        <v>1</v>
      </c>
      <c r="AL25" s="55">
        <v>1</v>
      </c>
      <c r="AM25" s="63">
        <v>1</v>
      </c>
      <c r="AN25" s="134">
        <f t="shared" si="1"/>
        <v>54</v>
      </c>
      <c r="AO25" s="19">
        <f t="shared" si="2"/>
        <v>42.579582352734903</v>
      </c>
      <c r="AP25" s="7">
        <f t="shared" si="13"/>
        <v>50</v>
      </c>
      <c r="AQ25" s="7">
        <f t="shared" si="14"/>
        <v>54</v>
      </c>
      <c r="AR25" s="6" t="str">
        <f t="shared" si="15"/>
        <v>ok</v>
      </c>
      <c r="AS25" s="7">
        <f t="shared" si="3"/>
        <v>72.5</v>
      </c>
      <c r="AT25" s="35">
        <f t="shared" si="23"/>
        <v>78.3</v>
      </c>
      <c r="AU25" s="176" t="str">
        <f t="shared" si="16"/>
        <v>ok</v>
      </c>
      <c r="AV25" s="178" t="s">
        <v>97</v>
      </c>
      <c r="AW25" s="6">
        <f t="shared" si="17"/>
        <v>5</v>
      </c>
      <c r="AX25" s="58">
        <f t="shared" si="6"/>
        <v>0.8</v>
      </c>
      <c r="AY25" s="60">
        <f t="shared" si="7"/>
        <v>0.59999999999999987</v>
      </c>
      <c r="AZ25" s="6">
        <f t="shared" si="4"/>
        <v>2.2499999999999999E-2</v>
      </c>
      <c r="BA25" s="6">
        <v>8.0000000000000007E-5</v>
      </c>
      <c r="BB25" s="35">
        <f t="shared" si="5"/>
        <v>1.1680431031002239</v>
      </c>
      <c r="BC25" s="48">
        <f t="shared" si="8"/>
        <v>0.50784482743487991</v>
      </c>
      <c r="BD25" s="69" t="str">
        <f t="shared" si="18"/>
        <v>ok</v>
      </c>
      <c r="BE25" s="71">
        <f t="shared" ref="BE25:BE31" si="28">BC25+$BE$24</f>
        <v>3.5116510623174664</v>
      </c>
      <c r="BF25" s="74" t="str">
        <f t="shared" si="19"/>
        <v>ok</v>
      </c>
    </row>
    <row r="26" spans="2:58" x14ac:dyDescent="0.45">
      <c r="B26" s="232" t="s">
        <v>114</v>
      </c>
      <c r="C26" s="233"/>
      <c r="D26" s="234" t="s">
        <v>116</v>
      </c>
      <c r="E26" s="235"/>
      <c r="F26" s="54">
        <v>3</v>
      </c>
      <c r="G26" s="55">
        <v>0.9</v>
      </c>
      <c r="H26" s="58">
        <f t="shared" ref="H26:H33" si="29">F26/G26</f>
        <v>3.333333333333333</v>
      </c>
      <c r="I26" s="64">
        <v>400</v>
      </c>
      <c r="J26" s="131">
        <f t="shared" si="24"/>
        <v>4.8112522432468809</v>
      </c>
      <c r="K26" s="12">
        <v>1</v>
      </c>
      <c r="L26" s="8">
        <v>1</v>
      </c>
      <c r="M26" s="8">
        <v>1</v>
      </c>
      <c r="N26" s="159">
        <f t="shared" si="27"/>
        <v>3.333333333333333</v>
      </c>
      <c r="O26" s="50">
        <f t="shared" si="10"/>
        <v>4.8112522432468809</v>
      </c>
      <c r="P26" s="162" t="s">
        <v>19</v>
      </c>
      <c r="Q26" s="52">
        <v>6</v>
      </c>
      <c r="R26" s="141">
        <v>1</v>
      </c>
      <c r="S26" s="143">
        <f t="shared" si="20"/>
        <v>6</v>
      </c>
      <c r="T26" s="43">
        <f t="shared" si="11"/>
        <v>8.6999999999999993</v>
      </c>
      <c r="U26" s="54">
        <v>23</v>
      </c>
      <c r="V26" s="7" t="s">
        <v>44</v>
      </c>
      <c r="W26" s="7" t="s">
        <v>58</v>
      </c>
      <c r="X26" s="11" t="s">
        <v>217</v>
      </c>
      <c r="Y26" s="9" t="s">
        <v>48</v>
      </c>
      <c r="Z26" s="7">
        <v>13</v>
      </c>
      <c r="AA26" s="64" t="s">
        <v>132</v>
      </c>
      <c r="AB26" s="168">
        <v>3</v>
      </c>
      <c r="AC26" s="136">
        <v>4</v>
      </c>
      <c r="AD26" s="137">
        <v>42</v>
      </c>
      <c r="AE26" s="9">
        <v>1</v>
      </c>
      <c r="AF26" s="7">
        <v>1</v>
      </c>
      <c r="AG26" s="7">
        <f>AC26*AE26</f>
        <v>4</v>
      </c>
      <c r="AH26" s="11">
        <f t="shared" si="12"/>
        <v>4</v>
      </c>
      <c r="AI26" s="132">
        <f t="shared" si="22"/>
        <v>42</v>
      </c>
      <c r="AJ26" s="9">
        <v>1</v>
      </c>
      <c r="AK26" s="55">
        <v>1</v>
      </c>
      <c r="AL26" s="55">
        <v>1</v>
      </c>
      <c r="AM26" s="63">
        <v>1</v>
      </c>
      <c r="AN26" s="134">
        <f t="shared" si="1"/>
        <v>42</v>
      </c>
      <c r="AO26" s="19">
        <f t="shared" si="2"/>
        <v>4.8112522432468809</v>
      </c>
      <c r="AP26" s="7">
        <f t="shared" si="13"/>
        <v>6</v>
      </c>
      <c r="AQ26" s="7">
        <f t="shared" si="14"/>
        <v>42</v>
      </c>
      <c r="AR26" s="6" t="str">
        <f t="shared" si="15"/>
        <v>ok</v>
      </c>
      <c r="AS26" s="7">
        <f t="shared" si="3"/>
        <v>8.6999999999999993</v>
      </c>
      <c r="AT26" s="35">
        <f t="shared" si="23"/>
        <v>60.9</v>
      </c>
      <c r="AU26" s="176" t="str">
        <f t="shared" si="16"/>
        <v>ok</v>
      </c>
      <c r="AV26" s="178" t="s">
        <v>97</v>
      </c>
      <c r="AW26" s="6">
        <f t="shared" si="17"/>
        <v>5</v>
      </c>
      <c r="AX26" s="58">
        <f t="shared" si="6"/>
        <v>0.9</v>
      </c>
      <c r="AY26" s="60">
        <f t="shared" si="7"/>
        <v>0.43588989435406728</v>
      </c>
      <c r="AZ26" s="6">
        <f t="shared" si="4"/>
        <v>2.2499999999999999E-2</v>
      </c>
      <c r="BA26" s="6">
        <v>8.0000000000000007E-5</v>
      </c>
      <c r="BB26" s="35">
        <f t="shared" si="5"/>
        <v>0.56406898733997479</v>
      </c>
      <c r="BC26" s="48">
        <f t="shared" si="8"/>
        <v>0.24524738579998906</v>
      </c>
      <c r="BD26" s="69" t="str">
        <f t="shared" si="18"/>
        <v>ok</v>
      </c>
      <c r="BE26" s="71">
        <f t="shared" si="28"/>
        <v>3.2490536206825755</v>
      </c>
      <c r="BF26" s="74" t="str">
        <f t="shared" si="19"/>
        <v>ok</v>
      </c>
    </row>
    <row r="27" spans="2:58" x14ac:dyDescent="0.45">
      <c r="B27" s="232" t="s">
        <v>114</v>
      </c>
      <c r="C27" s="233"/>
      <c r="D27" s="234" t="s">
        <v>117</v>
      </c>
      <c r="E27" s="235"/>
      <c r="F27" s="54">
        <v>1.5</v>
      </c>
      <c r="G27" s="55">
        <v>0.9</v>
      </c>
      <c r="H27" s="58">
        <f t="shared" si="29"/>
        <v>1.6666666666666665</v>
      </c>
      <c r="I27" s="64">
        <v>400</v>
      </c>
      <c r="J27" s="131">
        <f t="shared" si="24"/>
        <v>2.4056261216234405</v>
      </c>
      <c r="K27" s="12">
        <v>1</v>
      </c>
      <c r="L27" s="3">
        <v>1</v>
      </c>
      <c r="M27" s="8">
        <v>1</v>
      </c>
      <c r="N27" s="159">
        <f t="shared" si="27"/>
        <v>1.6666666666666665</v>
      </c>
      <c r="O27" s="50">
        <f t="shared" si="10"/>
        <v>2.4056261216234405</v>
      </c>
      <c r="P27" s="162" t="s">
        <v>19</v>
      </c>
      <c r="Q27" s="52">
        <v>6</v>
      </c>
      <c r="R27" s="141">
        <v>1</v>
      </c>
      <c r="S27" s="143">
        <f t="shared" si="20"/>
        <v>6</v>
      </c>
      <c r="T27" s="43">
        <f t="shared" si="11"/>
        <v>8.6999999999999993</v>
      </c>
      <c r="U27" s="54">
        <v>27</v>
      </c>
      <c r="V27" s="7" t="s">
        <v>44</v>
      </c>
      <c r="W27" s="7" t="s">
        <v>58</v>
      </c>
      <c r="X27" s="11" t="s">
        <v>217</v>
      </c>
      <c r="Y27" s="9" t="s">
        <v>48</v>
      </c>
      <c r="Z27" s="7">
        <v>13</v>
      </c>
      <c r="AA27" s="64" t="s">
        <v>132</v>
      </c>
      <c r="AB27" s="168">
        <v>3</v>
      </c>
      <c r="AC27" s="136">
        <v>4</v>
      </c>
      <c r="AD27" s="137">
        <v>42</v>
      </c>
      <c r="AE27" s="9">
        <v>1</v>
      </c>
      <c r="AF27" s="7">
        <v>1</v>
      </c>
      <c r="AG27" s="7">
        <f t="shared" si="21"/>
        <v>4</v>
      </c>
      <c r="AH27" s="11">
        <f t="shared" si="12"/>
        <v>4</v>
      </c>
      <c r="AI27" s="132">
        <f t="shared" si="22"/>
        <v>42</v>
      </c>
      <c r="AJ27" s="9">
        <v>1</v>
      </c>
      <c r="AK27" s="55">
        <v>1</v>
      </c>
      <c r="AL27" s="55">
        <v>1</v>
      </c>
      <c r="AM27" s="63">
        <v>1</v>
      </c>
      <c r="AN27" s="134">
        <f t="shared" si="1"/>
        <v>42</v>
      </c>
      <c r="AO27" s="19">
        <f t="shared" si="2"/>
        <v>2.4056261216234405</v>
      </c>
      <c r="AP27" s="7">
        <f t="shared" si="13"/>
        <v>6</v>
      </c>
      <c r="AQ27" s="7">
        <f t="shared" si="14"/>
        <v>42</v>
      </c>
      <c r="AR27" s="6" t="str">
        <f t="shared" si="15"/>
        <v>ok</v>
      </c>
      <c r="AS27" s="7">
        <f t="shared" si="3"/>
        <v>8.6999999999999993</v>
      </c>
      <c r="AT27" s="35">
        <f t="shared" si="23"/>
        <v>60.9</v>
      </c>
      <c r="AU27" s="176" t="str">
        <f t="shared" si="16"/>
        <v>ok</v>
      </c>
      <c r="AV27" s="178" t="s">
        <v>97</v>
      </c>
      <c r="AW27" s="6">
        <f t="shared" si="17"/>
        <v>5</v>
      </c>
      <c r="AX27" s="58">
        <f t="shared" si="6"/>
        <v>0.9</v>
      </c>
      <c r="AY27" s="60">
        <f t="shared" si="7"/>
        <v>0.43588989435406728</v>
      </c>
      <c r="AZ27" s="6">
        <f t="shared" si="4"/>
        <v>2.2499999999999999E-2</v>
      </c>
      <c r="BA27" s="6">
        <v>8.0000000000000007E-5</v>
      </c>
      <c r="BB27" s="35">
        <f t="shared" si="5"/>
        <v>0.33108397082998525</v>
      </c>
      <c r="BC27" s="48">
        <f t="shared" si="8"/>
        <v>0.14394955253477618</v>
      </c>
      <c r="BD27" s="69" t="str">
        <f t="shared" si="18"/>
        <v>ok</v>
      </c>
      <c r="BE27" s="71">
        <f t="shared" si="28"/>
        <v>3.1477557874173629</v>
      </c>
      <c r="BF27" s="74" t="str">
        <f t="shared" si="19"/>
        <v>ok</v>
      </c>
    </row>
    <row r="28" spans="2:58" x14ac:dyDescent="0.45">
      <c r="B28" s="232" t="s">
        <v>114</v>
      </c>
      <c r="C28" s="233"/>
      <c r="D28" s="234" t="s">
        <v>118</v>
      </c>
      <c r="E28" s="235"/>
      <c r="F28" s="54">
        <v>5</v>
      </c>
      <c r="G28" s="55">
        <v>0.88</v>
      </c>
      <c r="H28" s="58">
        <f t="shared" si="29"/>
        <v>5.6818181818181817</v>
      </c>
      <c r="I28" s="64">
        <v>400</v>
      </c>
      <c r="J28" s="131">
        <f t="shared" si="24"/>
        <v>8.2009981418980935</v>
      </c>
      <c r="K28" s="12">
        <v>1</v>
      </c>
      <c r="L28" s="8">
        <v>1</v>
      </c>
      <c r="M28" s="8">
        <v>1</v>
      </c>
      <c r="N28" s="159">
        <f t="shared" si="27"/>
        <v>5.6818181818181817</v>
      </c>
      <c r="O28" s="50">
        <f t="shared" si="10"/>
        <v>8.2009981418980935</v>
      </c>
      <c r="P28" s="162" t="s">
        <v>19</v>
      </c>
      <c r="Q28" s="52">
        <v>10</v>
      </c>
      <c r="R28" s="141">
        <v>1</v>
      </c>
      <c r="S28" s="143">
        <f t="shared" si="20"/>
        <v>10</v>
      </c>
      <c r="T28" s="43">
        <f t="shared" si="11"/>
        <v>14.5</v>
      </c>
      <c r="U28" s="54">
        <v>22</v>
      </c>
      <c r="V28" s="7" t="s">
        <v>44</v>
      </c>
      <c r="W28" s="7" t="s">
        <v>58</v>
      </c>
      <c r="X28" s="11" t="s">
        <v>217</v>
      </c>
      <c r="Y28" s="9" t="s">
        <v>48</v>
      </c>
      <c r="Z28" s="7">
        <v>13</v>
      </c>
      <c r="AA28" s="64" t="s">
        <v>132</v>
      </c>
      <c r="AB28" s="168">
        <v>3</v>
      </c>
      <c r="AC28" s="136">
        <v>4</v>
      </c>
      <c r="AD28" s="137">
        <v>42</v>
      </c>
      <c r="AE28" s="9">
        <v>1</v>
      </c>
      <c r="AF28" s="7">
        <v>1</v>
      </c>
      <c r="AG28" s="7">
        <f t="shared" si="21"/>
        <v>4</v>
      </c>
      <c r="AH28" s="11">
        <f t="shared" si="12"/>
        <v>4</v>
      </c>
      <c r="AI28" s="132">
        <f t="shared" si="22"/>
        <v>42</v>
      </c>
      <c r="AJ28" s="9">
        <v>1</v>
      </c>
      <c r="AK28" s="55">
        <v>1</v>
      </c>
      <c r="AL28" s="55">
        <v>1</v>
      </c>
      <c r="AM28" s="63">
        <v>1</v>
      </c>
      <c r="AN28" s="134">
        <f t="shared" si="1"/>
        <v>42</v>
      </c>
      <c r="AO28" s="19">
        <f t="shared" si="2"/>
        <v>8.2009981418980935</v>
      </c>
      <c r="AP28" s="7">
        <f t="shared" si="13"/>
        <v>10</v>
      </c>
      <c r="AQ28" s="7">
        <f t="shared" si="14"/>
        <v>42</v>
      </c>
      <c r="AR28" s="6" t="str">
        <f t="shared" si="15"/>
        <v>ok</v>
      </c>
      <c r="AS28" s="7">
        <f t="shared" si="3"/>
        <v>14.5</v>
      </c>
      <c r="AT28" s="35">
        <f t="shared" si="23"/>
        <v>60.9</v>
      </c>
      <c r="AU28" s="176" t="str">
        <f t="shared" si="16"/>
        <v>ok</v>
      </c>
      <c r="AV28" s="178" t="s">
        <v>97</v>
      </c>
      <c r="AW28" s="6">
        <f t="shared" si="17"/>
        <v>5</v>
      </c>
      <c r="AX28" s="58">
        <f t="shared" si="6"/>
        <v>0.88</v>
      </c>
      <c r="AY28" s="60">
        <f t="shared" si="7"/>
        <v>0.4749736834815167</v>
      </c>
      <c r="AZ28" s="6">
        <f t="shared" si="4"/>
        <v>2.2499999999999999E-2</v>
      </c>
      <c r="BA28" s="6">
        <v>8.0000000000000007E-5</v>
      </c>
      <c r="BB28" s="35">
        <f t="shared" si="5"/>
        <v>0.89994435225310332</v>
      </c>
      <c r="BC28" s="48">
        <f t="shared" si="8"/>
        <v>0.39128015315352321</v>
      </c>
      <c r="BD28" s="69" t="str">
        <f t="shared" si="18"/>
        <v>ok</v>
      </c>
      <c r="BE28" s="71">
        <f t="shared" si="28"/>
        <v>3.39508638803611</v>
      </c>
      <c r="BF28" s="74" t="str">
        <f t="shared" si="19"/>
        <v>ok</v>
      </c>
    </row>
    <row r="29" spans="2:58" x14ac:dyDescent="0.45">
      <c r="B29" s="232" t="s">
        <v>114</v>
      </c>
      <c r="C29" s="233"/>
      <c r="D29" s="234" t="s">
        <v>119</v>
      </c>
      <c r="E29" s="235"/>
      <c r="F29" s="54">
        <v>4</v>
      </c>
      <c r="G29" s="55">
        <v>0.9</v>
      </c>
      <c r="H29" s="58">
        <f t="shared" si="29"/>
        <v>4.4444444444444446</v>
      </c>
      <c r="I29" s="64">
        <v>400</v>
      </c>
      <c r="J29" s="131">
        <f t="shared" si="24"/>
        <v>6.4150029909958421</v>
      </c>
      <c r="K29" s="12">
        <v>1</v>
      </c>
      <c r="L29" s="3">
        <v>1</v>
      </c>
      <c r="M29" s="8">
        <v>1</v>
      </c>
      <c r="N29" s="159">
        <f t="shared" si="27"/>
        <v>4.4444444444444446</v>
      </c>
      <c r="O29" s="50">
        <f t="shared" si="10"/>
        <v>6.4150029909958421</v>
      </c>
      <c r="P29" s="162" t="s">
        <v>19</v>
      </c>
      <c r="Q29" s="52">
        <v>10</v>
      </c>
      <c r="R29" s="141">
        <v>1</v>
      </c>
      <c r="S29" s="143">
        <f t="shared" si="20"/>
        <v>10</v>
      </c>
      <c r="T29" s="43">
        <f t="shared" si="11"/>
        <v>14.5</v>
      </c>
      <c r="U29" s="54">
        <v>21</v>
      </c>
      <c r="V29" s="7" t="s">
        <v>44</v>
      </c>
      <c r="W29" s="7" t="s">
        <v>58</v>
      </c>
      <c r="X29" s="11" t="s">
        <v>217</v>
      </c>
      <c r="Y29" s="9" t="s">
        <v>48</v>
      </c>
      <c r="Z29" s="7">
        <v>13</v>
      </c>
      <c r="AA29" s="64" t="s">
        <v>132</v>
      </c>
      <c r="AB29" s="168">
        <v>3</v>
      </c>
      <c r="AC29" s="136">
        <v>4</v>
      </c>
      <c r="AD29" s="137">
        <v>42</v>
      </c>
      <c r="AE29" s="9">
        <v>1</v>
      </c>
      <c r="AF29" s="7">
        <v>1</v>
      </c>
      <c r="AG29" s="7">
        <f t="shared" si="21"/>
        <v>4</v>
      </c>
      <c r="AH29" s="11">
        <f t="shared" si="12"/>
        <v>4</v>
      </c>
      <c r="AI29" s="132">
        <f t="shared" si="22"/>
        <v>42</v>
      </c>
      <c r="AJ29" s="9">
        <v>1</v>
      </c>
      <c r="AK29" s="55">
        <v>1</v>
      </c>
      <c r="AL29" s="55">
        <v>1</v>
      </c>
      <c r="AM29" s="63">
        <v>1</v>
      </c>
      <c r="AN29" s="134">
        <f t="shared" si="1"/>
        <v>42</v>
      </c>
      <c r="AO29" s="19">
        <f t="shared" si="2"/>
        <v>6.4150029909958421</v>
      </c>
      <c r="AP29" s="7">
        <f t="shared" si="13"/>
        <v>10</v>
      </c>
      <c r="AQ29" s="7">
        <f t="shared" si="14"/>
        <v>42</v>
      </c>
      <c r="AR29" s="6" t="str">
        <f t="shared" si="15"/>
        <v>ok</v>
      </c>
      <c r="AS29" s="7">
        <f t="shared" si="3"/>
        <v>14.5</v>
      </c>
      <c r="AT29" s="35">
        <f t="shared" si="23"/>
        <v>60.9</v>
      </c>
      <c r="AU29" s="176" t="str">
        <f t="shared" si="16"/>
        <v>ok</v>
      </c>
      <c r="AV29" s="178" t="s">
        <v>97</v>
      </c>
      <c r="AW29" s="6">
        <f t="shared" si="17"/>
        <v>5</v>
      </c>
      <c r="AX29" s="58">
        <f t="shared" si="6"/>
        <v>0.9</v>
      </c>
      <c r="AY29" s="60">
        <f t="shared" si="7"/>
        <v>0.43588989435406728</v>
      </c>
      <c r="AZ29" s="6">
        <f t="shared" si="4"/>
        <v>2.2499999999999999E-2</v>
      </c>
      <c r="BA29" s="6">
        <v>8.0000000000000007E-5</v>
      </c>
      <c r="BB29" s="35">
        <f t="shared" si="5"/>
        <v>0.68669268023996943</v>
      </c>
      <c r="BC29" s="48">
        <f t="shared" si="8"/>
        <v>0.29856203488694327</v>
      </c>
      <c r="BD29" s="69" t="str">
        <f t="shared" si="18"/>
        <v>ok</v>
      </c>
      <c r="BE29" s="71">
        <f t="shared" si="28"/>
        <v>3.3023682697695298</v>
      </c>
      <c r="BF29" s="74" t="str">
        <f t="shared" si="19"/>
        <v>ok</v>
      </c>
    </row>
    <row r="30" spans="2:58" x14ac:dyDescent="0.45">
      <c r="B30" s="232" t="s">
        <v>114</v>
      </c>
      <c r="C30" s="233"/>
      <c r="D30" s="234" t="s">
        <v>120</v>
      </c>
      <c r="E30" s="235"/>
      <c r="F30" s="54">
        <v>7.5</v>
      </c>
      <c r="G30" s="55">
        <v>0.88</v>
      </c>
      <c r="H30" s="58">
        <f t="shared" si="29"/>
        <v>8.5227272727272734</v>
      </c>
      <c r="I30" s="64">
        <v>400</v>
      </c>
      <c r="J30" s="131">
        <f t="shared" si="24"/>
        <v>12.301497212847142</v>
      </c>
      <c r="K30" s="12">
        <v>1</v>
      </c>
      <c r="L30" s="8">
        <v>1</v>
      </c>
      <c r="M30" s="8">
        <v>1</v>
      </c>
      <c r="N30" s="159">
        <f t="shared" si="27"/>
        <v>8.5227272727272734</v>
      </c>
      <c r="O30" s="50">
        <f t="shared" si="10"/>
        <v>12.301497212847142</v>
      </c>
      <c r="P30" s="162" t="s">
        <v>19</v>
      </c>
      <c r="Q30" s="52">
        <v>16</v>
      </c>
      <c r="R30" s="141">
        <v>1</v>
      </c>
      <c r="S30" s="143">
        <f t="shared" si="20"/>
        <v>16</v>
      </c>
      <c r="T30" s="43">
        <f t="shared" si="11"/>
        <v>23.2</v>
      </c>
      <c r="U30" s="54">
        <v>13</v>
      </c>
      <c r="V30" s="7" t="s">
        <v>44</v>
      </c>
      <c r="W30" s="7" t="s">
        <v>58</v>
      </c>
      <c r="X30" s="11" t="s">
        <v>217</v>
      </c>
      <c r="Y30" s="9" t="s">
        <v>48</v>
      </c>
      <c r="Z30" s="7">
        <v>13</v>
      </c>
      <c r="AA30" s="64" t="s">
        <v>132</v>
      </c>
      <c r="AB30" s="168">
        <v>3</v>
      </c>
      <c r="AC30" s="136">
        <v>4</v>
      </c>
      <c r="AD30" s="137">
        <v>42</v>
      </c>
      <c r="AE30" s="9">
        <v>1</v>
      </c>
      <c r="AF30" s="7">
        <v>1</v>
      </c>
      <c r="AG30" s="7">
        <f t="shared" si="21"/>
        <v>4</v>
      </c>
      <c r="AH30" s="11">
        <f t="shared" si="12"/>
        <v>4</v>
      </c>
      <c r="AI30" s="132">
        <f t="shared" si="22"/>
        <v>42</v>
      </c>
      <c r="AJ30" s="9">
        <v>1</v>
      </c>
      <c r="AK30" s="55">
        <v>1</v>
      </c>
      <c r="AL30" s="55">
        <v>1</v>
      </c>
      <c r="AM30" s="63">
        <v>1</v>
      </c>
      <c r="AN30" s="134">
        <f t="shared" si="1"/>
        <v>42</v>
      </c>
      <c r="AO30" s="19">
        <f t="shared" si="2"/>
        <v>12.301497212847142</v>
      </c>
      <c r="AP30" s="7">
        <f t="shared" si="13"/>
        <v>16</v>
      </c>
      <c r="AQ30" s="7">
        <f t="shared" si="14"/>
        <v>42</v>
      </c>
      <c r="AR30" s="6" t="str">
        <f t="shared" si="15"/>
        <v>ok</v>
      </c>
      <c r="AS30" s="7">
        <f t="shared" si="3"/>
        <v>23.2</v>
      </c>
      <c r="AT30" s="35">
        <f t="shared" si="23"/>
        <v>60.9</v>
      </c>
      <c r="AU30" s="176" t="str">
        <f t="shared" si="16"/>
        <v>ok</v>
      </c>
      <c r="AV30" s="178" t="s">
        <v>97</v>
      </c>
      <c r="AW30" s="6">
        <f t="shared" si="17"/>
        <v>5</v>
      </c>
      <c r="AX30" s="58">
        <f t="shared" si="6"/>
        <v>0.88</v>
      </c>
      <c r="AY30" s="60">
        <f t="shared" si="7"/>
        <v>0.4749736834815167</v>
      </c>
      <c r="AZ30" s="6">
        <f t="shared" si="4"/>
        <v>2.2499999999999999E-2</v>
      </c>
      <c r="BA30" s="6">
        <v>8.0000000000000007E-5</v>
      </c>
      <c r="BB30" s="35">
        <f t="shared" si="5"/>
        <v>0.79767794858797803</v>
      </c>
      <c r="BC30" s="48">
        <f t="shared" si="8"/>
        <v>0.34681649938607739</v>
      </c>
      <c r="BD30" s="69" t="str">
        <f t="shared" si="18"/>
        <v>ok</v>
      </c>
      <c r="BE30" s="71">
        <f t="shared" si="28"/>
        <v>3.3506227342686641</v>
      </c>
      <c r="BF30" s="74" t="str">
        <f t="shared" si="19"/>
        <v>ok</v>
      </c>
    </row>
    <row r="31" spans="2:58" x14ac:dyDescent="0.45">
      <c r="B31" s="232" t="s">
        <v>114</v>
      </c>
      <c r="C31" s="233"/>
      <c r="D31" s="234" t="s">
        <v>121</v>
      </c>
      <c r="E31" s="235"/>
      <c r="F31" s="54">
        <v>6</v>
      </c>
      <c r="G31" s="55">
        <v>0.88</v>
      </c>
      <c r="H31" s="58">
        <f t="shared" si="29"/>
        <v>6.8181818181818183</v>
      </c>
      <c r="I31" s="64">
        <v>400</v>
      </c>
      <c r="J31" s="131">
        <f t="shared" si="24"/>
        <v>9.8411977702777111</v>
      </c>
      <c r="K31" s="12">
        <v>1</v>
      </c>
      <c r="L31" s="3">
        <v>1</v>
      </c>
      <c r="M31" s="8">
        <v>1</v>
      </c>
      <c r="N31" s="159">
        <f t="shared" si="27"/>
        <v>6.8181818181818183</v>
      </c>
      <c r="O31" s="50">
        <f t="shared" si="10"/>
        <v>9.8411977702777111</v>
      </c>
      <c r="P31" s="162" t="s">
        <v>19</v>
      </c>
      <c r="Q31" s="52">
        <v>10</v>
      </c>
      <c r="R31" s="141">
        <v>1</v>
      </c>
      <c r="S31" s="143">
        <f t="shared" si="20"/>
        <v>10</v>
      </c>
      <c r="T31" s="43">
        <f t="shared" si="11"/>
        <v>14.5</v>
      </c>
      <c r="U31" s="54">
        <v>15</v>
      </c>
      <c r="V31" s="7" t="s">
        <v>44</v>
      </c>
      <c r="W31" s="7" t="s">
        <v>58</v>
      </c>
      <c r="X31" s="11" t="s">
        <v>217</v>
      </c>
      <c r="Y31" s="9" t="s">
        <v>48</v>
      </c>
      <c r="Z31" s="7">
        <v>13</v>
      </c>
      <c r="AA31" s="64" t="s">
        <v>132</v>
      </c>
      <c r="AB31" s="168">
        <v>3</v>
      </c>
      <c r="AC31" s="136">
        <v>4</v>
      </c>
      <c r="AD31" s="137">
        <v>42</v>
      </c>
      <c r="AE31" s="9">
        <v>1</v>
      </c>
      <c r="AF31" s="7">
        <v>1</v>
      </c>
      <c r="AG31" s="7">
        <f t="shared" si="21"/>
        <v>4</v>
      </c>
      <c r="AH31" s="11">
        <f t="shared" si="12"/>
        <v>4</v>
      </c>
      <c r="AI31" s="132">
        <f t="shared" si="22"/>
        <v>42</v>
      </c>
      <c r="AJ31" s="9">
        <v>1</v>
      </c>
      <c r="AK31" s="55">
        <v>1</v>
      </c>
      <c r="AL31" s="55">
        <v>1</v>
      </c>
      <c r="AM31" s="63">
        <v>1</v>
      </c>
      <c r="AN31" s="134">
        <f t="shared" si="1"/>
        <v>42</v>
      </c>
      <c r="AO31" s="19">
        <f t="shared" si="2"/>
        <v>9.8411977702777111</v>
      </c>
      <c r="AP31" s="7">
        <f t="shared" si="13"/>
        <v>10</v>
      </c>
      <c r="AQ31" s="7">
        <f t="shared" si="14"/>
        <v>42</v>
      </c>
      <c r="AR31" s="6" t="str">
        <f t="shared" si="15"/>
        <v>ok</v>
      </c>
      <c r="AS31" s="7">
        <f t="shared" si="3"/>
        <v>14.5</v>
      </c>
      <c r="AT31" s="35">
        <f t="shared" si="23"/>
        <v>60.9</v>
      </c>
      <c r="AU31" s="176" t="str">
        <f t="shared" si="16"/>
        <v>ok</v>
      </c>
      <c r="AV31" s="178" t="s">
        <v>97</v>
      </c>
      <c r="AW31" s="6">
        <f t="shared" si="17"/>
        <v>5</v>
      </c>
      <c r="AX31" s="58">
        <f t="shared" si="6"/>
        <v>0.88</v>
      </c>
      <c r="AY31" s="60">
        <f t="shared" si="7"/>
        <v>0.4749736834815167</v>
      </c>
      <c r="AZ31" s="6">
        <f t="shared" si="4"/>
        <v>2.2499999999999999E-2</v>
      </c>
      <c r="BA31" s="6">
        <v>8.0000000000000007E-5</v>
      </c>
      <c r="BB31" s="35">
        <f t="shared" si="5"/>
        <v>0.7363181063889026</v>
      </c>
      <c r="BC31" s="48">
        <f t="shared" si="8"/>
        <v>0.32013830712560981</v>
      </c>
      <c r="BD31" s="69" t="str">
        <f t="shared" si="18"/>
        <v>ok</v>
      </c>
      <c r="BE31" s="71">
        <f t="shared" si="28"/>
        <v>3.3239445420081966</v>
      </c>
      <c r="BF31" s="74" t="str">
        <f t="shared" si="19"/>
        <v>ok</v>
      </c>
    </row>
    <row r="32" spans="2:58" x14ac:dyDescent="0.45">
      <c r="B32" s="232" t="s">
        <v>104</v>
      </c>
      <c r="C32" s="233"/>
      <c r="D32" s="234" t="s">
        <v>122</v>
      </c>
      <c r="E32" s="235"/>
      <c r="F32" s="61">
        <v>2</v>
      </c>
      <c r="G32" s="55">
        <v>0.8</v>
      </c>
      <c r="H32" s="58">
        <f t="shared" si="29"/>
        <v>2.5</v>
      </c>
      <c r="I32" s="64">
        <v>400</v>
      </c>
      <c r="J32" s="131">
        <f t="shared" si="24"/>
        <v>3.6084391824351609</v>
      </c>
      <c r="K32" s="12">
        <v>1</v>
      </c>
      <c r="L32" s="8">
        <v>1</v>
      </c>
      <c r="M32" s="8">
        <v>1</v>
      </c>
      <c r="N32" s="159">
        <f t="shared" si="27"/>
        <v>2.5</v>
      </c>
      <c r="O32" s="50">
        <f t="shared" si="10"/>
        <v>3.6084391824351609</v>
      </c>
      <c r="P32" s="162" t="s">
        <v>19</v>
      </c>
      <c r="Q32" s="52">
        <v>6</v>
      </c>
      <c r="R32" s="141">
        <v>1</v>
      </c>
      <c r="S32" s="143">
        <f t="shared" si="20"/>
        <v>6</v>
      </c>
      <c r="T32" s="43">
        <f t="shared" si="11"/>
        <v>8.6999999999999993</v>
      </c>
      <c r="U32" s="54">
        <v>48</v>
      </c>
      <c r="V32" s="7" t="s">
        <v>44</v>
      </c>
      <c r="W32" s="7" t="s">
        <v>58</v>
      </c>
      <c r="X32" s="11" t="s">
        <v>217</v>
      </c>
      <c r="Y32" s="9" t="s">
        <v>48</v>
      </c>
      <c r="Z32" s="7">
        <v>13</v>
      </c>
      <c r="AA32" s="64" t="s">
        <v>132</v>
      </c>
      <c r="AB32" s="168">
        <v>3</v>
      </c>
      <c r="AC32" s="136">
        <v>4</v>
      </c>
      <c r="AD32" s="137">
        <v>42</v>
      </c>
      <c r="AE32" s="9">
        <v>1</v>
      </c>
      <c r="AF32" s="7">
        <v>1</v>
      </c>
      <c r="AG32" s="7">
        <f t="shared" si="21"/>
        <v>4</v>
      </c>
      <c r="AH32" s="11">
        <f t="shared" si="12"/>
        <v>4</v>
      </c>
      <c r="AI32" s="132">
        <f t="shared" si="22"/>
        <v>42</v>
      </c>
      <c r="AJ32" s="9">
        <v>1</v>
      </c>
      <c r="AK32" s="55">
        <v>1</v>
      </c>
      <c r="AL32" s="55">
        <v>1</v>
      </c>
      <c r="AM32" s="63">
        <v>1</v>
      </c>
      <c r="AN32" s="134">
        <f t="shared" si="1"/>
        <v>42</v>
      </c>
      <c r="AO32" s="19">
        <f t="shared" si="2"/>
        <v>3.6084391824351609</v>
      </c>
      <c r="AP32" s="7">
        <f t="shared" si="13"/>
        <v>6</v>
      </c>
      <c r="AQ32" s="7">
        <f t="shared" si="14"/>
        <v>42</v>
      </c>
      <c r="AR32" s="6" t="str">
        <f t="shared" si="15"/>
        <v>ok</v>
      </c>
      <c r="AS32" s="7">
        <f t="shared" si="3"/>
        <v>8.6999999999999993</v>
      </c>
      <c r="AT32" s="35">
        <f t="shared" si="23"/>
        <v>60.9</v>
      </c>
      <c r="AU32" s="176" t="str">
        <f t="shared" si="16"/>
        <v>ok</v>
      </c>
      <c r="AV32" s="178" t="s">
        <v>97</v>
      </c>
      <c r="AW32" s="6">
        <f t="shared" si="17"/>
        <v>5</v>
      </c>
      <c r="AX32" s="58">
        <f t="shared" si="6"/>
        <v>0.8</v>
      </c>
      <c r="AY32" s="60">
        <f t="shared" si="7"/>
        <v>0.59999999999999987</v>
      </c>
      <c r="AZ32" s="6">
        <f t="shared" si="4"/>
        <v>2.2499999999999999E-2</v>
      </c>
      <c r="BA32" s="6">
        <v>8.0000000000000007E-5</v>
      </c>
      <c r="BB32" s="35">
        <f t="shared" si="5"/>
        <v>0.78773670728232548</v>
      </c>
      <c r="BC32" s="48">
        <f t="shared" si="8"/>
        <v>0.34249422055753281</v>
      </c>
      <c r="BD32" s="69" t="str">
        <f t="shared" si="18"/>
        <v>ok</v>
      </c>
      <c r="BE32" s="71">
        <f>BC32+$BE$14</f>
        <v>2.3325881935118713</v>
      </c>
      <c r="BF32" s="74" t="str">
        <f t="shared" si="19"/>
        <v>ok</v>
      </c>
    </row>
    <row r="33" spans="2:58" x14ac:dyDescent="0.45">
      <c r="B33" s="232" t="s">
        <v>104</v>
      </c>
      <c r="C33" s="233"/>
      <c r="D33" s="234" t="s">
        <v>123</v>
      </c>
      <c r="E33" s="235"/>
      <c r="F33" s="61">
        <v>2</v>
      </c>
      <c r="G33" s="55">
        <v>0.8</v>
      </c>
      <c r="H33" s="58">
        <f t="shared" si="29"/>
        <v>2.5</v>
      </c>
      <c r="I33" s="64">
        <v>400</v>
      </c>
      <c r="J33" s="131">
        <f t="shared" si="24"/>
        <v>3.6084391824351609</v>
      </c>
      <c r="K33" s="12">
        <v>1</v>
      </c>
      <c r="L33" s="3">
        <v>1</v>
      </c>
      <c r="M33" s="8">
        <v>1</v>
      </c>
      <c r="N33" s="159">
        <f t="shared" si="27"/>
        <v>2.5</v>
      </c>
      <c r="O33" s="50">
        <f t="shared" si="10"/>
        <v>3.6084391824351609</v>
      </c>
      <c r="P33" s="162" t="s">
        <v>19</v>
      </c>
      <c r="Q33" s="52">
        <v>6</v>
      </c>
      <c r="R33" s="141">
        <v>1</v>
      </c>
      <c r="S33" s="143">
        <f t="shared" si="20"/>
        <v>6</v>
      </c>
      <c r="T33" s="43">
        <f t="shared" si="11"/>
        <v>8.6999999999999993</v>
      </c>
      <c r="U33" s="54">
        <v>7</v>
      </c>
      <c r="V33" s="7" t="s">
        <v>44</v>
      </c>
      <c r="W33" s="7" t="s">
        <v>58</v>
      </c>
      <c r="X33" s="11" t="s">
        <v>217</v>
      </c>
      <c r="Y33" s="9" t="s">
        <v>48</v>
      </c>
      <c r="Z33" s="7">
        <v>13</v>
      </c>
      <c r="AA33" s="64" t="s">
        <v>132</v>
      </c>
      <c r="AB33" s="168">
        <v>3</v>
      </c>
      <c r="AC33" s="136">
        <v>4</v>
      </c>
      <c r="AD33" s="137">
        <v>42</v>
      </c>
      <c r="AE33" s="9">
        <v>1</v>
      </c>
      <c r="AF33" s="7">
        <v>1</v>
      </c>
      <c r="AG33" s="7">
        <f t="shared" si="21"/>
        <v>4</v>
      </c>
      <c r="AH33" s="11">
        <f t="shared" si="12"/>
        <v>4</v>
      </c>
      <c r="AI33" s="132">
        <f t="shared" si="22"/>
        <v>42</v>
      </c>
      <c r="AJ33" s="9">
        <v>1</v>
      </c>
      <c r="AK33" s="55">
        <v>1</v>
      </c>
      <c r="AL33" s="55">
        <v>1</v>
      </c>
      <c r="AM33" s="63">
        <v>1</v>
      </c>
      <c r="AN33" s="134">
        <f t="shared" si="1"/>
        <v>42</v>
      </c>
      <c r="AO33" s="19">
        <f t="shared" si="2"/>
        <v>3.6084391824351609</v>
      </c>
      <c r="AP33" s="7">
        <f t="shared" si="13"/>
        <v>6</v>
      </c>
      <c r="AQ33" s="7">
        <f t="shared" si="14"/>
        <v>42</v>
      </c>
      <c r="AR33" s="6" t="str">
        <f t="shared" si="15"/>
        <v>ok</v>
      </c>
      <c r="AS33" s="7">
        <f t="shared" si="3"/>
        <v>8.6999999999999993</v>
      </c>
      <c r="AT33" s="35">
        <f t="shared" si="23"/>
        <v>60.9</v>
      </c>
      <c r="AU33" s="176" t="str">
        <f t="shared" si="16"/>
        <v>ok</v>
      </c>
      <c r="AV33" s="178" t="s">
        <v>97</v>
      </c>
      <c r="AW33" s="6">
        <f t="shared" si="17"/>
        <v>5</v>
      </c>
      <c r="AX33" s="58">
        <f t="shared" si="6"/>
        <v>0.8</v>
      </c>
      <c r="AY33" s="60">
        <f t="shared" si="7"/>
        <v>0.59999999999999987</v>
      </c>
      <c r="AZ33" s="6">
        <f t="shared" si="4"/>
        <v>2.2499999999999999E-2</v>
      </c>
      <c r="BA33" s="6">
        <v>8.0000000000000007E-5</v>
      </c>
      <c r="BB33" s="35">
        <f t="shared" si="5"/>
        <v>0.1148782698120058</v>
      </c>
      <c r="BC33" s="48">
        <f t="shared" si="8"/>
        <v>4.9947073831306865E-2</v>
      </c>
      <c r="BD33" s="69" t="str">
        <f t="shared" si="18"/>
        <v>ok</v>
      </c>
      <c r="BE33" s="71">
        <f>BC33+$BE$14</f>
        <v>2.0400410467856451</v>
      </c>
      <c r="BF33" s="74" t="str">
        <f t="shared" si="19"/>
        <v>ok</v>
      </c>
    </row>
    <row r="34" spans="2:58" x14ac:dyDescent="0.45">
      <c r="B34" s="232" t="s">
        <v>104</v>
      </c>
      <c r="C34" s="233"/>
      <c r="D34" s="234" t="s">
        <v>124</v>
      </c>
      <c r="E34" s="235"/>
      <c r="F34" s="61">
        <f>H34*G34</f>
        <v>48.595144998370806</v>
      </c>
      <c r="G34" s="58">
        <v>0.8</v>
      </c>
      <c r="H34" s="68">
        <f>H35+H36+H37+H38+H39</f>
        <v>60.743931247963502</v>
      </c>
      <c r="I34" s="64">
        <v>400</v>
      </c>
      <c r="J34" s="131">
        <f t="shared" si="24"/>
        <v>87.676312644119619</v>
      </c>
      <c r="K34" s="12">
        <v>1</v>
      </c>
      <c r="L34" s="8">
        <v>0.8</v>
      </c>
      <c r="M34" s="8">
        <v>1</v>
      </c>
      <c r="N34" s="158">
        <f>H34*M34*L34*K34</f>
        <v>48.595144998370806</v>
      </c>
      <c r="O34" s="50">
        <f t="shared" si="10"/>
        <v>70.141050115295712</v>
      </c>
      <c r="P34" s="162" t="s">
        <v>19</v>
      </c>
      <c r="Q34" s="52">
        <v>80</v>
      </c>
      <c r="R34" s="141">
        <v>1</v>
      </c>
      <c r="S34" s="143">
        <f t="shared" si="20"/>
        <v>80</v>
      </c>
      <c r="T34" s="43">
        <f t="shared" si="11"/>
        <v>116</v>
      </c>
      <c r="U34" s="54">
        <v>28</v>
      </c>
      <c r="V34" s="7" t="s">
        <v>44</v>
      </c>
      <c r="W34" s="7" t="s">
        <v>58</v>
      </c>
      <c r="X34" s="11" t="s">
        <v>219</v>
      </c>
      <c r="Y34" s="9" t="s">
        <v>48</v>
      </c>
      <c r="Z34" s="7">
        <v>13</v>
      </c>
      <c r="AA34" s="64" t="s">
        <v>132</v>
      </c>
      <c r="AB34" s="168">
        <v>3</v>
      </c>
      <c r="AC34" s="136">
        <v>16</v>
      </c>
      <c r="AD34" s="137">
        <v>100</v>
      </c>
      <c r="AE34" s="9">
        <v>1</v>
      </c>
      <c r="AF34" s="7">
        <v>1</v>
      </c>
      <c r="AG34" s="7">
        <f t="shared" si="21"/>
        <v>16</v>
      </c>
      <c r="AH34" s="11">
        <f t="shared" si="12"/>
        <v>16</v>
      </c>
      <c r="AI34" s="132">
        <f t="shared" si="22"/>
        <v>100</v>
      </c>
      <c r="AJ34" s="9">
        <v>1</v>
      </c>
      <c r="AK34" s="55">
        <v>1</v>
      </c>
      <c r="AL34" s="55">
        <v>1</v>
      </c>
      <c r="AM34" s="63">
        <v>1</v>
      </c>
      <c r="AN34" s="134">
        <f t="shared" si="1"/>
        <v>100</v>
      </c>
      <c r="AO34" s="19">
        <f t="shared" si="2"/>
        <v>70.141050115295712</v>
      </c>
      <c r="AP34" s="7">
        <f t="shared" si="13"/>
        <v>80</v>
      </c>
      <c r="AQ34" s="7">
        <f t="shared" si="14"/>
        <v>100</v>
      </c>
      <c r="AR34" s="6" t="str">
        <f t="shared" si="15"/>
        <v>ok</v>
      </c>
      <c r="AS34" s="7">
        <f t="shared" si="3"/>
        <v>116</v>
      </c>
      <c r="AT34" s="35">
        <f t="shared" si="23"/>
        <v>145</v>
      </c>
      <c r="AU34" s="176" t="str">
        <f t="shared" si="16"/>
        <v>ok</v>
      </c>
      <c r="AV34" s="178" t="s">
        <v>97</v>
      </c>
      <c r="AW34" s="6">
        <f t="shared" si="17"/>
        <v>5</v>
      </c>
      <c r="AX34" s="58">
        <f t="shared" si="6"/>
        <v>0.8</v>
      </c>
      <c r="AY34" s="60">
        <f t="shared" si="7"/>
        <v>0.59999999999999987</v>
      </c>
      <c r="AZ34" s="6">
        <f t="shared" si="4"/>
        <v>2.2499999999999999E-2</v>
      </c>
      <c r="BA34" s="6">
        <v>8.0000000000000007E-5</v>
      </c>
      <c r="BB34" s="35">
        <f t="shared" si="5"/>
        <v>2.3037126499867724</v>
      </c>
      <c r="BC34" s="48">
        <f t="shared" si="8"/>
        <v>1.0016141956464228</v>
      </c>
      <c r="BD34" s="69" t="str">
        <f t="shared" si="18"/>
        <v>ok</v>
      </c>
      <c r="BE34" s="71">
        <f>BC34+$BE$14</f>
        <v>2.9917081686007609</v>
      </c>
      <c r="BF34" s="74" t="str">
        <f t="shared" si="19"/>
        <v>ok</v>
      </c>
    </row>
    <row r="35" spans="2:58" x14ac:dyDescent="0.45">
      <c r="B35" s="232" t="s">
        <v>124</v>
      </c>
      <c r="C35" s="233"/>
      <c r="D35" s="234" t="s">
        <v>125</v>
      </c>
      <c r="E35" s="235"/>
      <c r="F35" s="54">
        <v>2.2000000000000002</v>
      </c>
      <c r="G35" s="55">
        <v>0.9</v>
      </c>
      <c r="H35" s="58">
        <f>F35/G35</f>
        <v>2.4444444444444446</v>
      </c>
      <c r="I35" s="64">
        <v>400</v>
      </c>
      <c r="J35" s="131">
        <f t="shared" si="24"/>
        <v>3.5282516450477135</v>
      </c>
      <c r="K35" s="12">
        <v>1</v>
      </c>
      <c r="L35" s="3">
        <v>1</v>
      </c>
      <c r="M35" s="8">
        <v>1</v>
      </c>
      <c r="N35" s="159">
        <f t="shared" si="27"/>
        <v>2.4444444444444446</v>
      </c>
      <c r="O35" s="50">
        <f t="shared" si="10"/>
        <v>3.5282516450477135</v>
      </c>
      <c r="P35" s="162" t="s">
        <v>19</v>
      </c>
      <c r="Q35" s="52">
        <v>6</v>
      </c>
      <c r="R35" s="141">
        <v>1</v>
      </c>
      <c r="S35" s="143">
        <f t="shared" si="20"/>
        <v>6</v>
      </c>
      <c r="T35" s="43">
        <f t="shared" si="11"/>
        <v>8.6999999999999993</v>
      </c>
      <c r="U35" s="54">
        <v>10</v>
      </c>
      <c r="V35" s="7" t="s">
        <v>44</v>
      </c>
      <c r="W35" s="7" t="s">
        <v>58</v>
      </c>
      <c r="X35" s="11" t="s">
        <v>217</v>
      </c>
      <c r="Y35" s="9" t="s">
        <v>48</v>
      </c>
      <c r="Z35" s="7">
        <v>13</v>
      </c>
      <c r="AA35" s="64" t="s">
        <v>132</v>
      </c>
      <c r="AB35" s="168">
        <v>3</v>
      </c>
      <c r="AC35" s="136">
        <v>4</v>
      </c>
      <c r="AD35" s="137">
        <v>42</v>
      </c>
      <c r="AE35" s="9">
        <v>1</v>
      </c>
      <c r="AF35" s="7">
        <v>1</v>
      </c>
      <c r="AG35" s="7">
        <f t="shared" si="21"/>
        <v>4</v>
      </c>
      <c r="AH35" s="11">
        <f t="shared" si="12"/>
        <v>4</v>
      </c>
      <c r="AI35" s="132">
        <f t="shared" si="22"/>
        <v>42</v>
      </c>
      <c r="AJ35" s="9">
        <v>1</v>
      </c>
      <c r="AK35" s="55">
        <v>1</v>
      </c>
      <c r="AL35" s="55">
        <v>1</v>
      </c>
      <c r="AM35" s="63">
        <v>1</v>
      </c>
      <c r="AN35" s="134">
        <f t="shared" si="1"/>
        <v>42</v>
      </c>
      <c r="AO35" s="19">
        <f t="shared" si="2"/>
        <v>3.5282516450477135</v>
      </c>
      <c r="AP35" s="7">
        <f t="shared" si="13"/>
        <v>6</v>
      </c>
      <c r="AQ35" s="7">
        <f t="shared" si="14"/>
        <v>42</v>
      </c>
      <c r="AR35" s="6" t="str">
        <f t="shared" si="15"/>
        <v>ok</v>
      </c>
      <c r="AS35" s="7">
        <f t="shared" si="3"/>
        <v>8.6999999999999993</v>
      </c>
      <c r="AT35" s="35">
        <f t="shared" si="23"/>
        <v>60.9</v>
      </c>
      <c r="AU35" s="176" t="str">
        <f t="shared" si="16"/>
        <v>ok</v>
      </c>
      <c r="AV35" s="178" t="s">
        <v>97</v>
      </c>
      <c r="AW35" s="6">
        <f t="shared" si="17"/>
        <v>5</v>
      </c>
      <c r="AX35" s="58">
        <f t="shared" si="6"/>
        <v>0.9</v>
      </c>
      <c r="AY35" s="60">
        <f t="shared" si="7"/>
        <v>0.43588989435406728</v>
      </c>
      <c r="AZ35" s="6">
        <f t="shared" si="4"/>
        <v>2.2499999999999999E-2</v>
      </c>
      <c r="BA35" s="6">
        <v>8.0000000000000007E-5</v>
      </c>
      <c r="BB35" s="35">
        <f t="shared" si="5"/>
        <v>0.17984808291999202</v>
      </c>
      <c r="BC35" s="48">
        <f t="shared" si="8"/>
        <v>7.8194818660866097E-2</v>
      </c>
      <c r="BD35" s="69" t="str">
        <f t="shared" si="18"/>
        <v>ok</v>
      </c>
      <c r="BE35" s="71">
        <f>BC35+$BE$34</f>
        <v>3.069902987261627</v>
      </c>
      <c r="BF35" s="74" t="str">
        <f t="shared" si="19"/>
        <v>ok</v>
      </c>
    </row>
    <row r="36" spans="2:58" x14ac:dyDescent="0.45">
      <c r="B36" s="232" t="s">
        <v>124</v>
      </c>
      <c r="C36" s="233"/>
      <c r="D36" s="234" t="s">
        <v>126</v>
      </c>
      <c r="E36" s="235"/>
      <c r="F36" s="54">
        <v>5.5</v>
      </c>
      <c r="G36" s="55">
        <v>0.88</v>
      </c>
      <c r="H36" s="58">
        <f>F36/G36</f>
        <v>6.25</v>
      </c>
      <c r="I36" s="64">
        <v>400</v>
      </c>
      <c r="J36" s="131">
        <f t="shared" si="24"/>
        <v>9.0210979560879032</v>
      </c>
      <c r="K36" s="12">
        <v>1</v>
      </c>
      <c r="L36" s="8">
        <v>1</v>
      </c>
      <c r="M36" s="8">
        <v>1</v>
      </c>
      <c r="N36" s="159">
        <f t="shared" si="27"/>
        <v>6.25</v>
      </c>
      <c r="O36" s="50">
        <f t="shared" si="10"/>
        <v>9.0210979560879032</v>
      </c>
      <c r="P36" s="162" t="s">
        <v>19</v>
      </c>
      <c r="Q36" s="52">
        <v>10</v>
      </c>
      <c r="R36" s="141">
        <v>1</v>
      </c>
      <c r="S36" s="143">
        <f t="shared" si="20"/>
        <v>10</v>
      </c>
      <c r="T36" s="43">
        <f t="shared" si="11"/>
        <v>14.5</v>
      </c>
      <c r="U36" s="54">
        <v>13</v>
      </c>
      <c r="V36" s="7" t="s">
        <v>44</v>
      </c>
      <c r="W36" s="7" t="s">
        <v>58</v>
      </c>
      <c r="X36" s="11" t="s">
        <v>217</v>
      </c>
      <c r="Y36" s="9" t="s">
        <v>48</v>
      </c>
      <c r="Z36" s="7">
        <v>13</v>
      </c>
      <c r="AA36" s="64" t="s">
        <v>132</v>
      </c>
      <c r="AB36" s="168">
        <v>3</v>
      </c>
      <c r="AC36" s="136">
        <v>4</v>
      </c>
      <c r="AD36" s="137">
        <v>42</v>
      </c>
      <c r="AE36" s="9">
        <v>1</v>
      </c>
      <c r="AF36" s="7">
        <v>1</v>
      </c>
      <c r="AG36" s="7">
        <f t="shared" si="21"/>
        <v>4</v>
      </c>
      <c r="AH36" s="11">
        <f t="shared" si="12"/>
        <v>4</v>
      </c>
      <c r="AI36" s="132">
        <f t="shared" si="22"/>
        <v>42</v>
      </c>
      <c r="AJ36" s="9">
        <v>1</v>
      </c>
      <c r="AK36" s="55">
        <v>1</v>
      </c>
      <c r="AL36" s="55">
        <v>1</v>
      </c>
      <c r="AM36" s="63">
        <v>1</v>
      </c>
      <c r="AN36" s="134">
        <f t="shared" si="1"/>
        <v>42</v>
      </c>
      <c r="AO36" s="19">
        <f t="shared" si="2"/>
        <v>9.0210979560879032</v>
      </c>
      <c r="AP36" s="7">
        <f t="shared" si="13"/>
        <v>10</v>
      </c>
      <c r="AQ36" s="7">
        <f t="shared" si="14"/>
        <v>42</v>
      </c>
      <c r="AR36" s="6" t="str">
        <f t="shared" si="15"/>
        <v>ok</v>
      </c>
      <c r="AS36" s="7">
        <f t="shared" si="3"/>
        <v>14.5</v>
      </c>
      <c r="AT36" s="35">
        <f t="shared" si="23"/>
        <v>60.9</v>
      </c>
      <c r="AU36" s="176" t="str">
        <f t="shared" si="16"/>
        <v>ok</v>
      </c>
      <c r="AV36" s="178" t="s">
        <v>97</v>
      </c>
      <c r="AW36" s="6">
        <f t="shared" si="17"/>
        <v>5</v>
      </c>
      <c r="AX36" s="58">
        <f t="shared" si="6"/>
        <v>0.88</v>
      </c>
      <c r="AY36" s="60">
        <f t="shared" si="7"/>
        <v>0.4749736834815167</v>
      </c>
      <c r="AZ36" s="6">
        <f t="shared" si="4"/>
        <v>2.2499999999999999E-2</v>
      </c>
      <c r="BA36" s="6">
        <v>8.0000000000000007E-5</v>
      </c>
      <c r="BB36" s="35">
        <f t="shared" si="5"/>
        <v>0.58496382896451715</v>
      </c>
      <c r="BC36" s="48">
        <f t="shared" si="8"/>
        <v>0.25433209954979008</v>
      </c>
      <c r="BD36" s="69" t="str">
        <f t="shared" si="18"/>
        <v>ok</v>
      </c>
      <c r="BE36" s="71">
        <f>BC36+$BE$34</f>
        <v>3.2460402681505509</v>
      </c>
      <c r="BF36" s="74" t="str">
        <f t="shared" si="19"/>
        <v>ok</v>
      </c>
    </row>
    <row r="37" spans="2:58" x14ac:dyDescent="0.45">
      <c r="B37" s="232" t="s">
        <v>124</v>
      </c>
      <c r="C37" s="233"/>
      <c r="D37" s="234" t="s">
        <v>127</v>
      </c>
      <c r="E37" s="235"/>
      <c r="F37" s="54">
        <v>4</v>
      </c>
      <c r="G37" s="55">
        <v>0.88</v>
      </c>
      <c r="H37" s="58">
        <f t="shared" ref="H37:H41" si="30">F37/G37</f>
        <v>4.5454545454545459</v>
      </c>
      <c r="I37" s="64">
        <v>400</v>
      </c>
      <c r="J37" s="131">
        <f t="shared" si="24"/>
        <v>6.5607985135184759</v>
      </c>
      <c r="K37" s="12">
        <v>1</v>
      </c>
      <c r="L37" s="3">
        <v>1</v>
      </c>
      <c r="M37" s="8">
        <v>1</v>
      </c>
      <c r="N37" s="159">
        <f t="shared" si="27"/>
        <v>4.5454545454545459</v>
      </c>
      <c r="O37" s="50">
        <f t="shared" si="10"/>
        <v>6.5607985135184759</v>
      </c>
      <c r="P37" s="162" t="s">
        <v>19</v>
      </c>
      <c r="Q37" s="52">
        <v>10</v>
      </c>
      <c r="R37" s="141">
        <v>1</v>
      </c>
      <c r="S37" s="143">
        <f t="shared" si="20"/>
        <v>10</v>
      </c>
      <c r="T37" s="43">
        <f t="shared" si="11"/>
        <v>14.5</v>
      </c>
      <c r="U37" s="54">
        <v>25</v>
      </c>
      <c r="V37" s="7" t="s">
        <v>44</v>
      </c>
      <c r="W37" s="7" t="s">
        <v>58</v>
      </c>
      <c r="X37" s="11" t="s">
        <v>217</v>
      </c>
      <c r="Y37" s="9" t="s">
        <v>48</v>
      </c>
      <c r="Z37" s="7">
        <v>13</v>
      </c>
      <c r="AA37" s="64" t="s">
        <v>132</v>
      </c>
      <c r="AB37" s="168">
        <v>3</v>
      </c>
      <c r="AC37" s="136">
        <v>4</v>
      </c>
      <c r="AD37" s="137">
        <v>42</v>
      </c>
      <c r="AE37" s="9">
        <v>1</v>
      </c>
      <c r="AF37" s="7">
        <v>1</v>
      </c>
      <c r="AG37" s="7">
        <f t="shared" si="21"/>
        <v>4</v>
      </c>
      <c r="AH37" s="11">
        <f t="shared" si="12"/>
        <v>4</v>
      </c>
      <c r="AI37" s="132">
        <f t="shared" si="22"/>
        <v>42</v>
      </c>
      <c r="AJ37" s="9">
        <v>1</v>
      </c>
      <c r="AK37" s="55">
        <v>1</v>
      </c>
      <c r="AL37" s="55">
        <v>1</v>
      </c>
      <c r="AM37" s="63">
        <v>1</v>
      </c>
      <c r="AN37" s="134">
        <f t="shared" si="1"/>
        <v>42</v>
      </c>
      <c r="AO37" s="19">
        <f t="shared" si="2"/>
        <v>6.5607985135184759</v>
      </c>
      <c r="AP37" s="7">
        <f t="shared" si="13"/>
        <v>10</v>
      </c>
      <c r="AQ37" s="7">
        <f t="shared" si="14"/>
        <v>42</v>
      </c>
      <c r="AR37" s="6" t="str">
        <f t="shared" si="15"/>
        <v>ok</v>
      </c>
      <c r="AS37" s="7">
        <f t="shared" si="3"/>
        <v>14.5</v>
      </c>
      <c r="AT37" s="35">
        <f t="shared" si="23"/>
        <v>60.9</v>
      </c>
      <c r="AU37" s="176" t="str">
        <f t="shared" si="16"/>
        <v>ok</v>
      </c>
      <c r="AV37" s="178" t="s">
        <v>97</v>
      </c>
      <c r="AW37" s="6">
        <f t="shared" si="17"/>
        <v>5</v>
      </c>
      <c r="AX37" s="58">
        <f t="shared" si="6"/>
        <v>0.88</v>
      </c>
      <c r="AY37" s="60">
        <f t="shared" si="7"/>
        <v>0.4749736834815167</v>
      </c>
      <c r="AZ37" s="6">
        <f t="shared" si="4"/>
        <v>2.2499999999999999E-2</v>
      </c>
      <c r="BA37" s="6">
        <v>8.0000000000000007E-5</v>
      </c>
      <c r="BB37" s="35">
        <f t="shared" si="5"/>
        <v>0.81813122932100324</v>
      </c>
      <c r="BC37" s="48">
        <f t="shared" si="8"/>
        <v>0.35570923013956662</v>
      </c>
      <c r="BD37" s="69" t="str">
        <f t="shared" si="18"/>
        <v>ok</v>
      </c>
      <c r="BE37" s="71">
        <f>BC37+$BE$34</f>
        <v>3.3474173987403275</v>
      </c>
      <c r="BF37" s="74" t="str">
        <f t="shared" si="19"/>
        <v>ok</v>
      </c>
    </row>
    <row r="38" spans="2:58" x14ac:dyDescent="0.45">
      <c r="B38" s="232" t="s">
        <v>124</v>
      </c>
      <c r="C38" s="233"/>
      <c r="D38" s="234" t="s">
        <v>128</v>
      </c>
      <c r="E38" s="235"/>
      <c r="F38" s="54">
        <v>15</v>
      </c>
      <c r="G38" s="55">
        <v>0.93</v>
      </c>
      <c r="H38" s="58">
        <f t="shared" si="30"/>
        <v>16.129032258064516</v>
      </c>
      <c r="I38" s="64">
        <v>400</v>
      </c>
      <c r="J38" s="131">
        <f t="shared" si="24"/>
        <v>23.280252789904264</v>
      </c>
      <c r="K38" s="12">
        <v>1</v>
      </c>
      <c r="L38" s="8">
        <v>1</v>
      </c>
      <c r="M38" s="8">
        <v>1</v>
      </c>
      <c r="N38" s="159">
        <f t="shared" si="27"/>
        <v>16.129032258064516</v>
      </c>
      <c r="O38" s="50">
        <f t="shared" si="10"/>
        <v>23.280252789904264</v>
      </c>
      <c r="P38" s="162" t="s">
        <v>19</v>
      </c>
      <c r="Q38" s="52">
        <v>25</v>
      </c>
      <c r="R38" s="141">
        <v>1</v>
      </c>
      <c r="S38" s="143">
        <f t="shared" si="20"/>
        <v>25</v>
      </c>
      <c r="T38" s="43">
        <f t="shared" si="11"/>
        <v>36.25</v>
      </c>
      <c r="U38" s="54">
        <v>32</v>
      </c>
      <c r="V38" s="7" t="s">
        <v>44</v>
      </c>
      <c r="W38" s="7" t="s">
        <v>58</v>
      </c>
      <c r="X38" s="11" t="s">
        <v>217</v>
      </c>
      <c r="Y38" s="9" t="s">
        <v>48</v>
      </c>
      <c r="Z38" s="7">
        <v>13</v>
      </c>
      <c r="AA38" s="64" t="s">
        <v>132</v>
      </c>
      <c r="AB38" s="168">
        <v>3</v>
      </c>
      <c r="AC38" s="136">
        <v>4</v>
      </c>
      <c r="AD38" s="137">
        <v>42</v>
      </c>
      <c r="AE38" s="9">
        <v>1</v>
      </c>
      <c r="AF38" s="7">
        <v>1</v>
      </c>
      <c r="AG38" s="7">
        <f t="shared" si="21"/>
        <v>4</v>
      </c>
      <c r="AH38" s="11">
        <f t="shared" si="12"/>
        <v>4</v>
      </c>
      <c r="AI38" s="132">
        <f t="shared" si="22"/>
        <v>42</v>
      </c>
      <c r="AJ38" s="9">
        <v>1</v>
      </c>
      <c r="AK38" s="55">
        <v>1</v>
      </c>
      <c r="AL38" s="55">
        <v>1</v>
      </c>
      <c r="AM38" s="63">
        <v>1</v>
      </c>
      <c r="AN38" s="134">
        <f t="shared" si="1"/>
        <v>42</v>
      </c>
      <c r="AO38" s="19">
        <f t="shared" si="2"/>
        <v>23.280252789904264</v>
      </c>
      <c r="AP38" s="7">
        <f t="shared" si="13"/>
        <v>25</v>
      </c>
      <c r="AQ38" s="7">
        <f t="shared" si="14"/>
        <v>42</v>
      </c>
      <c r="AR38" s="6" t="str">
        <f t="shared" si="15"/>
        <v>ok</v>
      </c>
      <c r="AS38" s="7">
        <f t="shared" si="3"/>
        <v>36.25</v>
      </c>
      <c r="AT38" s="35">
        <f t="shared" si="23"/>
        <v>60.9</v>
      </c>
      <c r="AU38" s="176" t="str">
        <f t="shared" si="16"/>
        <v>ok</v>
      </c>
      <c r="AV38" s="178" t="s">
        <v>97</v>
      </c>
      <c r="AW38" s="6">
        <f t="shared" si="17"/>
        <v>5</v>
      </c>
      <c r="AX38" s="58">
        <f t="shared" si="6"/>
        <v>0.93</v>
      </c>
      <c r="AY38" s="60">
        <f t="shared" si="7"/>
        <v>0.36755951898978195</v>
      </c>
      <c r="AZ38" s="6">
        <f t="shared" si="4"/>
        <v>2.2499999999999999E-2</v>
      </c>
      <c r="BA38" s="6">
        <v>8.0000000000000007E-5</v>
      </c>
      <c r="BB38" s="35">
        <f t="shared" si="5"/>
        <v>3.9190199260345628</v>
      </c>
      <c r="BC38" s="48">
        <f t="shared" si="8"/>
        <v>1.7039217069715489</v>
      </c>
      <c r="BD38" s="69" t="str">
        <f t="shared" si="18"/>
        <v>ok</v>
      </c>
      <c r="BE38" s="71">
        <f>BC38+$BE$34</f>
        <v>4.69562987557231</v>
      </c>
      <c r="BF38" s="74" t="str">
        <f t="shared" si="19"/>
        <v>ok</v>
      </c>
    </row>
    <row r="39" spans="2:58" x14ac:dyDescent="0.45">
      <c r="B39" s="232" t="s">
        <v>124</v>
      </c>
      <c r="C39" s="233"/>
      <c r="D39" s="234" t="s">
        <v>129</v>
      </c>
      <c r="E39" s="235"/>
      <c r="F39" s="61">
        <v>25.1</v>
      </c>
      <c r="G39" s="55">
        <v>0.8</v>
      </c>
      <c r="H39" s="58">
        <f t="shared" si="30"/>
        <v>31.375</v>
      </c>
      <c r="I39" s="64">
        <v>400</v>
      </c>
      <c r="J39" s="131">
        <f t="shared" si="24"/>
        <v>45.285911739561271</v>
      </c>
      <c r="K39" s="12">
        <v>1</v>
      </c>
      <c r="L39" s="3">
        <v>1</v>
      </c>
      <c r="M39" s="8">
        <v>1</v>
      </c>
      <c r="N39" s="159">
        <f t="shared" si="27"/>
        <v>31.375</v>
      </c>
      <c r="O39" s="50">
        <f t="shared" si="10"/>
        <v>45.285911739561271</v>
      </c>
      <c r="P39" s="162" t="s">
        <v>19</v>
      </c>
      <c r="Q39" s="52">
        <v>50</v>
      </c>
      <c r="R39" s="141">
        <v>1</v>
      </c>
      <c r="S39" s="143">
        <f t="shared" si="20"/>
        <v>50</v>
      </c>
      <c r="T39" s="43">
        <f t="shared" si="11"/>
        <v>72.5</v>
      </c>
      <c r="U39" s="54">
        <v>8.5</v>
      </c>
      <c r="V39" s="7" t="s">
        <v>44</v>
      </c>
      <c r="W39" s="7" t="s">
        <v>58</v>
      </c>
      <c r="X39" s="11" t="s">
        <v>221</v>
      </c>
      <c r="Y39" s="9" t="s">
        <v>48</v>
      </c>
      <c r="Z39" s="7">
        <v>13</v>
      </c>
      <c r="AA39" s="64" t="s">
        <v>132</v>
      </c>
      <c r="AB39" s="168">
        <v>3</v>
      </c>
      <c r="AC39" s="136">
        <v>6</v>
      </c>
      <c r="AD39" s="137">
        <v>54</v>
      </c>
      <c r="AE39" s="9">
        <v>1</v>
      </c>
      <c r="AF39" s="7">
        <v>1</v>
      </c>
      <c r="AG39" s="7">
        <f t="shared" si="21"/>
        <v>6</v>
      </c>
      <c r="AH39" s="11">
        <f t="shared" si="12"/>
        <v>6</v>
      </c>
      <c r="AI39" s="132">
        <f t="shared" si="22"/>
        <v>54</v>
      </c>
      <c r="AJ39" s="9">
        <v>1</v>
      </c>
      <c r="AK39" s="55">
        <v>1</v>
      </c>
      <c r="AL39" s="55">
        <v>1</v>
      </c>
      <c r="AM39" s="63">
        <v>1</v>
      </c>
      <c r="AN39" s="134">
        <f t="shared" si="1"/>
        <v>54</v>
      </c>
      <c r="AO39" s="19">
        <f t="shared" si="2"/>
        <v>45.285911739561271</v>
      </c>
      <c r="AP39" s="7">
        <f t="shared" si="13"/>
        <v>50</v>
      </c>
      <c r="AQ39" s="7">
        <f t="shared" si="14"/>
        <v>54</v>
      </c>
      <c r="AR39" s="6" t="str">
        <f t="shared" si="15"/>
        <v>ok</v>
      </c>
      <c r="AS39" s="7">
        <f t="shared" si="3"/>
        <v>72.5</v>
      </c>
      <c r="AT39" s="35">
        <f t="shared" si="23"/>
        <v>78.3</v>
      </c>
      <c r="AU39" s="176" t="str">
        <f t="shared" si="16"/>
        <v>ok</v>
      </c>
      <c r="AV39" s="178" t="s">
        <v>97</v>
      </c>
      <c r="AW39" s="6">
        <f t="shared" si="17"/>
        <v>5</v>
      </c>
      <c r="AX39" s="58">
        <f t="shared" si="6"/>
        <v>0.8</v>
      </c>
      <c r="AY39" s="60">
        <f t="shared" si="7"/>
        <v>0.59999999999999987</v>
      </c>
      <c r="AZ39" s="6">
        <f t="shared" si="4"/>
        <v>2.2499999999999999E-2</v>
      </c>
      <c r="BA39" s="6">
        <v>8.0000000000000007E-5</v>
      </c>
      <c r="BB39" s="35">
        <f t="shared" si="5"/>
        <v>1.1732674013485533</v>
      </c>
      <c r="BC39" s="48">
        <f t="shared" si="8"/>
        <v>0.51011626145589273</v>
      </c>
      <c r="BD39" s="69" t="str">
        <f t="shared" si="18"/>
        <v>ok</v>
      </c>
      <c r="BE39" s="71">
        <f>BC39+$BE$34</f>
        <v>3.5018244300566534</v>
      </c>
      <c r="BF39" s="74" t="str">
        <f t="shared" si="19"/>
        <v>ok</v>
      </c>
    </row>
    <row r="40" spans="2:58" x14ac:dyDescent="0.45">
      <c r="B40" s="232" t="s">
        <v>105</v>
      </c>
      <c r="C40" s="233"/>
      <c r="D40" s="234" t="s">
        <v>130</v>
      </c>
      <c r="E40" s="235"/>
      <c r="F40" s="61">
        <v>6.5</v>
      </c>
      <c r="G40" s="55">
        <v>0.8</v>
      </c>
      <c r="H40" s="58">
        <f t="shared" si="30"/>
        <v>8.125</v>
      </c>
      <c r="I40" s="64">
        <v>400</v>
      </c>
      <c r="J40" s="131">
        <f t="shared" si="24"/>
        <v>11.727427342914273</v>
      </c>
      <c r="K40" s="12">
        <v>1</v>
      </c>
      <c r="L40" s="8">
        <v>1</v>
      </c>
      <c r="M40" s="8">
        <v>1</v>
      </c>
      <c r="N40" s="159">
        <f t="shared" si="27"/>
        <v>8.125</v>
      </c>
      <c r="O40" s="50">
        <f t="shared" si="10"/>
        <v>11.727427342914273</v>
      </c>
      <c r="P40" s="162" t="s">
        <v>19</v>
      </c>
      <c r="Q40" s="52">
        <v>16</v>
      </c>
      <c r="R40" s="141">
        <v>1</v>
      </c>
      <c r="S40" s="143">
        <f t="shared" si="20"/>
        <v>16</v>
      </c>
      <c r="T40" s="43">
        <f t="shared" si="11"/>
        <v>23.2</v>
      </c>
      <c r="U40" s="54">
        <v>9</v>
      </c>
      <c r="V40" s="7" t="s">
        <v>44</v>
      </c>
      <c r="W40" s="7" t="s">
        <v>58</v>
      </c>
      <c r="X40" s="11" t="s">
        <v>217</v>
      </c>
      <c r="Y40" s="9" t="s">
        <v>48</v>
      </c>
      <c r="Z40" s="7">
        <v>13</v>
      </c>
      <c r="AA40" s="64" t="s">
        <v>132</v>
      </c>
      <c r="AB40" s="168">
        <v>3</v>
      </c>
      <c r="AC40" s="136">
        <v>4</v>
      </c>
      <c r="AD40" s="137">
        <v>42</v>
      </c>
      <c r="AE40" s="9">
        <v>1</v>
      </c>
      <c r="AF40" s="7">
        <v>1</v>
      </c>
      <c r="AG40" s="7">
        <f t="shared" si="21"/>
        <v>4</v>
      </c>
      <c r="AH40" s="11">
        <f t="shared" si="12"/>
        <v>4</v>
      </c>
      <c r="AI40" s="132">
        <f t="shared" si="22"/>
        <v>42</v>
      </c>
      <c r="AJ40" s="9">
        <v>1</v>
      </c>
      <c r="AK40" s="55">
        <v>1</v>
      </c>
      <c r="AL40" s="55">
        <v>1</v>
      </c>
      <c r="AM40" s="63">
        <v>1</v>
      </c>
      <c r="AN40" s="134">
        <f t="shared" si="1"/>
        <v>42</v>
      </c>
      <c r="AO40" s="19">
        <f t="shared" si="2"/>
        <v>11.727427342914273</v>
      </c>
      <c r="AP40" s="7">
        <f t="shared" si="13"/>
        <v>16</v>
      </c>
      <c r="AQ40" s="7">
        <f t="shared" si="14"/>
        <v>42</v>
      </c>
      <c r="AR40" s="6" t="str">
        <f t="shared" si="15"/>
        <v>ok</v>
      </c>
      <c r="AS40" s="7">
        <f t="shared" si="3"/>
        <v>23.2</v>
      </c>
      <c r="AT40" s="35">
        <f t="shared" si="23"/>
        <v>60.9</v>
      </c>
      <c r="AU40" s="176" t="str">
        <f t="shared" si="16"/>
        <v>ok</v>
      </c>
      <c r="AV40" s="178" t="s">
        <v>97</v>
      </c>
      <c r="AW40" s="6">
        <f t="shared" si="17"/>
        <v>5</v>
      </c>
      <c r="AX40" s="58">
        <f t="shared" si="6"/>
        <v>0.8</v>
      </c>
      <c r="AY40" s="60">
        <f t="shared" si="7"/>
        <v>0.59999999999999987</v>
      </c>
      <c r="AZ40" s="6">
        <f t="shared" si="4"/>
        <v>2.2499999999999999E-2</v>
      </c>
      <c r="BA40" s="6">
        <v>8.0000000000000007E-5</v>
      </c>
      <c r="BB40" s="35">
        <f t="shared" si="5"/>
        <v>0.4800270560001671</v>
      </c>
      <c r="BC40" s="48">
        <f t="shared" si="8"/>
        <v>0.20870741565224654</v>
      </c>
      <c r="BD40" s="69" t="str">
        <f t="shared" si="18"/>
        <v>ok</v>
      </c>
      <c r="BE40" s="71">
        <f>BC40+$BE$15</f>
        <v>1.4400928652887066</v>
      </c>
      <c r="BF40" s="74" t="str">
        <f t="shared" si="19"/>
        <v>ok</v>
      </c>
    </row>
    <row r="41" spans="2:58" ht="14.65" thickBot="1" x14ac:dyDescent="0.5">
      <c r="B41" s="270" t="s">
        <v>105</v>
      </c>
      <c r="C41" s="271"/>
      <c r="D41" s="272" t="s">
        <v>131</v>
      </c>
      <c r="E41" s="273"/>
      <c r="F41" s="62">
        <v>3.2</v>
      </c>
      <c r="G41" s="57">
        <v>0.8</v>
      </c>
      <c r="H41" s="59">
        <f t="shared" si="30"/>
        <v>4</v>
      </c>
      <c r="I41" s="65">
        <v>400</v>
      </c>
      <c r="J41" s="51">
        <f t="shared" si="24"/>
        <v>5.7735026918962582</v>
      </c>
      <c r="K41" s="66">
        <v>1</v>
      </c>
      <c r="L41" s="8">
        <v>1</v>
      </c>
      <c r="M41" s="67">
        <v>1</v>
      </c>
      <c r="N41" s="160">
        <f t="shared" si="27"/>
        <v>4</v>
      </c>
      <c r="O41" s="140">
        <f t="shared" si="10"/>
        <v>5.7735026918962582</v>
      </c>
      <c r="P41" s="163" t="s">
        <v>19</v>
      </c>
      <c r="Q41" s="53">
        <v>6</v>
      </c>
      <c r="R41" s="142">
        <v>1</v>
      </c>
      <c r="S41" s="144">
        <f t="shared" si="20"/>
        <v>6</v>
      </c>
      <c r="T41" s="45">
        <f t="shared" si="11"/>
        <v>8.6999999999999993</v>
      </c>
      <c r="U41" s="56">
        <v>30</v>
      </c>
      <c r="V41" s="18" t="s">
        <v>44</v>
      </c>
      <c r="W41" s="18" t="s">
        <v>58</v>
      </c>
      <c r="X41" s="11" t="s">
        <v>217</v>
      </c>
      <c r="Y41" s="39" t="s">
        <v>81</v>
      </c>
      <c r="Z41" s="18">
        <v>11</v>
      </c>
      <c r="AA41" s="65" t="s">
        <v>208</v>
      </c>
      <c r="AB41" s="169">
        <v>3</v>
      </c>
      <c r="AC41" s="138">
        <v>4</v>
      </c>
      <c r="AD41" s="139">
        <v>40</v>
      </c>
      <c r="AE41" s="39">
        <v>1</v>
      </c>
      <c r="AF41" s="18">
        <v>1</v>
      </c>
      <c r="AG41" s="18">
        <f t="shared" si="21"/>
        <v>4</v>
      </c>
      <c r="AH41" s="155">
        <f t="shared" si="12"/>
        <v>4</v>
      </c>
      <c r="AI41" s="133">
        <f t="shared" si="22"/>
        <v>40</v>
      </c>
      <c r="AJ41" s="39">
        <v>1</v>
      </c>
      <c r="AK41" s="57">
        <v>1</v>
      </c>
      <c r="AL41" s="57">
        <v>1</v>
      </c>
      <c r="AM41" s="172">
        <v>1</v>
      </c>
      <c r="AN41" s="135">
        <f t="shared" si="1"/>
        <v>40</v>
      </c>
      <c r="AO41" s="20">
        <f t="shared" si="2"/>
        <v>5.7735026918962582</v>
      </c>
      <c r="AP41" s="18">
        <f t="shared" si="13"/>
        <v>6</v>
      </c>
      <c r="AQ41" s="18">
        <f t="shared" si="14"/>
        <v>40</v>
      </c>
      <c r="AR41" s="10" t="str">
        <f t="shared" si="15"/>
        <v>ok</v>
      </c>
      <c r="AS41" s="18">
        <f t="shared" si="3"/>
        <v>8.6999999999999993</v>
      </c>
      <c r="AT41" s="44">
        <f t="shared" si="23"/>
        <v>58</v>
      </c>
      <c r="AU41" s="177" t="str">
        <f t="shared" si="16"/>
        <v>ok</v>
      </c>
      <c r="AV41" s="189" t="s">
        <v>97</v>
      </c>
      <c r="AW41" s="10">
        <f t="shared" si="17"/>
        <v>5</v>
      </c>
      <c r="AX41" s="59">
        <f t="shared" si="6"/>
        <v>0.8</v>
      </c>
      <c r="AY41" s="190">
        <f t="shared" si="7"/>
        <v>0.59999999999999987</v>
      </c>
      <c r="AZ41" s="10">
        <f t="shared" si="4"/>
        <v>2.2499999999999999E-2</v>
      </c>
      <c r="BA41" s="10">
        <v>8.0000000000000007E-5</v>
      </c>
      <c r="BB41" s="44">
        <f t="shared" si="5"/>
        <v>0.78773670728232537</v>
      </c>
      <c r="BC41" s="49">
        <f t="shared" si="8"/>
        <v>0.34249422055753276</v>
      </c>
      <c r="BD41" s="72" t="str">
        <f t="shared" si="18"/>
        <v>ok</v>
      </c>
      <c r="BE41" s="73">
        <f>BC41+$BE$15</f>
        <v>1.5738796701939928</v>
      </c>
      <c r="BF41" s="75" t="str">
        <f t="shared" si="19"/>
        <v>ok</v>
      </c>
    </row>
    <row r="46" spans="2:58" ht="14.65" thickBot="1" x14ac:dyDescent="0.5"/>
    <row r="47" spans="2:58" ht="14.65" thickBot="1" x14ac:dyDescent="0.5">
      <c r="G47" s="185" t="s">
        <v>209</v>
      </c>
      <c r="H47" s="186" t="s">
        <v>210</v>
      </c>
      <c r="I47" s="186" t="s">
        <v>211</v>
      </c>
      <c r="J47" s="186" t="s">
        <v>212</v>
      </c>
      <c r="K47" s="187" t="s">
        <v>213</v>
      </c>
    </row>
    <row r="48" spans="2:58" ht="14.65" thickBot="1" x14ac:dyDescent="0.5">
      <c r="F48" s="188" t="s">
        <v>214</v>
      </c>
      <c r="G48" s="2">
        <v>1.2</v>
      </c>
      <c r="H48" s="2">
        <v>0.75</v>
      </c>
      <c r="I48" s="184">
        <v>201.21</v>
      </c>
      <c r="J48" s="2">
        <f>(I48*G48)/H48</f>
        <v>321.93599999999998</v>
      </c>
      <c r="K48" s="2">
        <v>400</v>
      </c>
    </row>
    <row r="82" spans="12:12" x14ac:dyDescent="0.45">
      <c r="L82" t="s">
        <v>222</v>
      </c>
    </row>
  </sheetData>
  <mergeCells count="126">
    <mergeCell ref="B10:C10"/>
    <mergeCell ref="D10:E10"/>
    <mergeCell ref="B2:BF3"/>
    <mergeCell ref="K5:O7"/>
    <mergeCell ref="K8:K9"/>
    <mergeCell ref="L8:L9"/>
    <mergeCell ref="M8:M9"/>
    <mergeCell ref="N8:N9"/>
    <mergeCell ref="O8:O9"/>
    <mergeCell ref="BE8:BE9"/>
    <mergeCell ref="AV8:AV9"/>
    <mergeCell ref="AW8:AW9"/>
    <mergeCell ref="AX8:AX9"/>
    <mergeCell ref="AY8:AY9"/>
    <mergeCell ref="AZ8:AZ9"/>
    <mergeCell ref="BD8:BD9"/>
    <mergeCell ref="AV5:BF7"/>
    <mergeCell ref="BF8:BF9"/>
    <mergeCell ref="AJ8:AM8"/>
    <mergeCell ref="S8:S9"/>
    <mergeCell ref="T8:T9"/>
    <mergeCell ref="B5:E7"/>
    <mergeCell ref="F5:J7"/>
    <mergeCell ref="P5:T7"/>
    <mergeCell ref="B41:C41"/>
    <mergeCell ref="D41:E41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2:C12"/>
    <mergeCell ref="D12:E12"/>
    <mergeCell ref="B13:C13"/>
    <mergeCell ref="D13:E13"/>
    <mergeCell ref="B11:C11"/>
    <mergeCell ref="D11:E11"/>
    <mergeCell ref="G8:G9"/>
    <mergeCell ref="BB8:BB9"/>
    <mergeCell ref="BC8:BC9"/>
    <mergeCell ref="AO5:AU7"/>
    <mergeCell ref="AO8:AO9"/>
    <mergeCell ref="AP8:AP9"/>
    <mergeCell ref="AQ8:AQ9"/>
    <mergeCell ref="AR8:AR9"/>
    <mergeCell ref="AS8:AS9"/>
    <mergeCell ref="AT8:AT9"/>
    <mergeCell ref="AU8:AU9"/>
    <mergeCell ref="BA8:BA9"/>
    <mergeCell ref="AB5:AN7"/>
    <mergeCell ref="AB8:AB9"/>
    <mergeCell ref="AC8:AC9"/>
    <mergeCell ref="AD8:AD9"/>
    <mergeCell ref="AE8:AE9"/>
    <mergeCell ref="AF8:AF9"/>
    <mergeCell ref="AG8:AG9"/>
    <mergeCell ref="AH8:AH9"/>
    <mergeCell ref="AI8:AI9"/>
    <mergeCell ref="AN8:AN9"/>
    <mergeCell ref="R8:R9"/>
    <mergeCell ref="H8:H9"/>
    <mergeCell ref="I8:I9"/>
    <mergeCell ref="J8:J9"/>
    <mergeCell ref="P8:P9"/>
    <mergeCell ref="Q8:Q9"/>
    <mergeCell ref="B8:C9"/>
    <mergeCell ref="D8:E9"/>
    <mergeCell ref="F8:F9"/>
    <mergeCell ref="Y8:Y9"/>
    <mergeCell ref="Z8:Z9"/>
    <mergeCell ref="AA8:AA9"/>
    <mergeCell ref="Y5:AA7"/>
    <mergeCell ref="U8:U9"/>
    <mergeCell ref="V8:V9"/>
    <mergeCell ref="W8:W9"/>
    <mergeCell ref="X8:X9"/>
    <mergeCell ref="U5:X7"/>
  </mergeCells>
  <phoneticPr fontId="13" type="noConversion"/>
  <conditionalFormatting sqref="AR10:AR41">
    <cfRule type="containsText" dxfId="7" priority="8" operator="containsText" text="nok">
      <formula>NOT(ISERROR(SEARCH("nok",AR10)))</formula>
    </cfRule>
    <cfRule type="containsText" dxfId="6" priority="11" operator="containsText" text="ok">
      <formula>NOT(ISERROR(SEARCH("ok",AR10)))</formula>
    </cfRule>
  </conditionalFormatting>
  <conditionalFormatting sqref="AU10:AU41">
    <cfRule type="containsText" dxfId="5" priority="6" operator="containsText" text="nok">
      <formula>NOT(ISERROR(SEARCH("nok",AU10)))</formula>
    </cfRule>
    <cfRule type="containsText" dxfId="4" priority="7" operator="containsText" text="ok">
      <formula>NOT(ISERROR(SEARCH("ok",AU10)))</formula>
    </cfRule>
  </conditionalFormatting>
  <conditionalFormatting sqref="BD10:BD41">
    <cfRule type="containsText" dxfId="3" priority="3" operator="containsText" text="nok">
      <formula>NOT(ISERROR(SEARCH("nok",BD10)))</formula>
    </cfRule>
    <cfRule type="containsText" dxfId="2" priority="4" operator="containsText" text="ok">
      <formula>NOT(ISERROR(SEARCH("ok",BD10)))</formula>
    </cfRule>
  </conditionalFormatting>
  <conditionalFormatting sqref="BF10:BF41">
    <cfRule type="containsText" dxfId="1" priority="1" operator="containsText" text="nok">
      <formula>NOT(ISERROR(SEARCH("nok",BF10)))</formula>
    </cfRule>
    <cfRule type="containsText" dxfId="0" priority="2" operator="containsText" text="ok">
      <formula>NOT(ISERROR(SEARCH("ok",BF10)))</formula>
    </cfRule>
  </conditionalFormatting>
  <dataValidations disablePrompts="1" count="1">
    <dataValidation type="list" allowBlank="1" showInputMessage="1" showErrorMessage="1" sqref="Z10:Z41" xr:uid="{F4F315A7-5B4A-402F-9A66-773EF8D0540F}">
      <formula1>INDIRECT(Y10)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showInputMessage="1" showErrorMessage="1" xr:uid="{2053D943-EB9D-4A2C-8019-C28ABE5FD7F9}">
          <x14:formula1>
            <xm:f>'Auxiliares-D'!$B$3:$B$4</xm:f>
          </x14:formula1>
          <xm:sqref>F1 Q1 I10:I41</xm:sqref>
        </x14:dataValidation>
        <x14:dataValidation type="list" allowBlank="1" showInputMessage="1" showErrorMessage="1" xr:uid="{4BB44E3C-F9AD-4254-840B-250E73E62300}">
          <x14:formula1>
            <xm:f>'Auxiliares-D'!$D$3:$D$30</xm:f>
          </x14:formula1>
          <xm:sqref>Q10:Q41</xm:sqref>
        </x14:dataValidation>
        <x14:dataValidation type="list" allowBlank="1" showInputMessage="1" showErrorMessage="1" xr:uid="{06755850-DEA8-4FFE-B13C-BE8DFE4F1E91}">
          <x14:formula1>
            <xm:f>'Auxiliares-D'!$F$3:$F$5</xm:f>
          </x14:formula1>
          <xm:sqref>P10:P41</xm:sqref>
        </x14:dataValidation>
        <x14:dataValidation type="list" allowBlank="1" showInputMessage="1" showErrorMessage="1" xr:uid="{AF48C23B-93F5-40E3-A7E4-771C3A751CEC}">
          <x14:formula1>
            <xm:f>'Auxiliares-D'!$L$4:$L$10</xm:f>
          </x14:formula1>
          <xm:sqref>AV10:AV41</xm:sqref>
        </x14:dataValidation>
        <x14:dataValidation type="list" allowBlank="1" showInputMessage="1" showErrorMessage="1" xr:uid="{BFFA7447-DB04-4BB7-B928-568BD1B4717F}">
          <x14:formula1>
            <xm:f>'Auxiliares-D'!$U$3:$AC$3</xm:f>
          </x14:formula1>
          <xm:sqref>Y10:Y41</xm:sqref>
        </x14:dataValidation>
        <x14:dataValidation type="list" allowBlank="1" showInputMessage="1" showErrorMessage="1" xr:uid="{2E6FC0BF-11BC-40DB-877B-C511249FD49E}">
          <x14:formula1>
            <xm:f>'Auxiliares-D'!$R$4:$R$5</xm:f>
          </x14:formula1>
          <xm:sqref>V10:V41</xm:sqref>
        </x14:dataValidation>
        <x14:dataValidation type="list" allowBlank="1" showInputMessage="1" showErrorMessage="1" xr:uid="{4AFF6A54-2372-490D-94DA-80EB0C8A9169}">
          <x14:formula1>
            <xm:f>'Auxiliares-D'!$R$9:$R$11</xm:f>
          </x14:formula1>
          <xm:sqref>W10:W41</xm:sqref>
        </x14:dataValidation>
        <x14:dataValidation type="list" allowBlank="1" showInputMessage="1" showErrorMessage="1" xr:uid="{05F1F391-4488-4255-9D28-DD021E2A0EB8}">
          <x14:formula1>
            <xm:f>'Auxiliares-D'!$AE$3:$AE$25</xm:f>
          </x14:formula1>
          <xm:sqref>AC10:AC41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CEBE-5F15-49FF-9B59-6BA4A510EA01}">
  <dimension ref="B2:AO102"/>
  <sheetViews>
    <sheetView tabSelected="1" topLeftCell="T2" zoomScale="70" zoomScaleNormal="70" workbookViewId="0">
      <selection activeCell="AP26" sqref="AP26"/>
    </sheetView>
  </sheetViews>
  <sheetFormatPr defaultRowHeight="14.25" x14ac:dyDescent="0.45"/>
  <cols>
    <col min="2" max="2" width="9.46484375" customWidth="1"/>
    <col min="3" max="3" width="11" bestFit="1" customWidth="1"/>
    <col min="4" max="4" width="13.53125" customWidth="1"/>
    <col min="5" max="5" width="11" customWidth="1"/>
    <col min="6" max="6" width="14.1328125" customWidth="1"/>
    <col min="7" max="7" width="12.19921875" customWidth="1"/>
    <col min="10" max="10" width="10.19921875" customWidth="1"/>
    <col min="11" max="11" width="14.53125" customWidth="1"/>
    <col min="12" max="12" width="14.1328125" customWidth="1"/>
    <col min="13" max="13" width="17.53125" customWidth="1"/>
    <col min="14" max="14" width="15.53125" customWidth="1"/>
    <col min="15" max="15" width="10.19921875" customWidth="1"/>
    <col min="16" max="16" width="11.86328125" customWidth="1"/>
    <col min="17" max="17" width="13.1328125" customWidth="1"/>
    <col min="18" max="18" width="15.796875" customWidth="1"/>
    <col min="19" max="21" width="13.46484375" customWidth="1"/>
    <col min="22" max="22" width="14.19921875" customWidth="1"/>
    <col min="23" max="23" width="13" customWidth="1"/>
    <col min="24" max="24" width="12.53125" customWidth="1"/>
    <col min="25" max="25" width="11.796875" customWidth="1"/>
    <col min="26" max="26" width="13.46484375" customWidth="1"/>
    <col min="27" max="27" width="4.46484375" customWidth="1"/>
    <col min="28" max="28" width="10.1328125" customWidth="1"/>
    <col min="29" max="29" width="10.19921875" customWidth="1"/>
    <col min="31" max="31" width="10.796875" customWidth="1"/>
    <col min="32" max="32" width="16.1328125" customWidth="1"/>
    <col min="35" max="35" width="11.1328125" customWidth="1"/>
    <col min="40" max="40" width="15.86328125" customWidth="1"/>
  </cols>
  <sheetData>
    <row r="2" spans="2:41" ht="14.45" customHeight="1" x14ac:dyDescent="0.45">
      <c r="B2" s="349" t="s">
        <v>136</v>
      </c>
      <c r="C2" s="349"/>
      <c r="D2" s="349"/>
      <c r="E2" s="349"/>
      <c r="F2" s="349"/>
      <c r="G2" s="349"/>
      <c r="I2" s="349" t="s">
        <v>187</v>
      </c>
      <c r="J2" s="349"/>
      <c r="K2" s="349"/>
      <c r="L2" s="349"/>
      <c r="M2" s="349"/>
      <c r="N2" s="349"/>
      <c r="O2" s="83"/>
      <c r="P2" s="349" t="s">
        <v>150</v>
      </c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I2" s="349" t="s">
        <v>162</v>
      </c>
      <c r="AJ2" s="349"/>
      <c r="AK2" s="349"/>
      <c r="AL2" s="349"/>
      <c r="AM2" s="349"/>
      <c r="AN2" s="349"/>
      <c r="AO2" s="120"/>
    </row>
    <row r="3" spans="2:41" ht="14.45" customHeight="1" x14ac:dyDescent="0.45">
      <c r="B3" s="349"/>
      <c r="C3" s="349"/>
      <c r="D3" s="349"/>
      <c r="E3" s="349"/>
      <c r="F3" s="349"/>
      <c r="G3" s="349"/>
      <c r="I3" s="349"/>
      <c r="J3" s="349"/>
      <c r="K3" s="349"/>
      <c r="L3" s="349"/>
      <c r="M3" s="349"/>
      <c r="N3" s="349"/>
      <c r="O3" s="83"/>
      <c r="P3" s="349"/>
      <c r="Q3" s="349"/>
      <c r="R3" s="349"/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  <c r="AI3" s="349"/>
      <c r="AJ3" s="349"/>
      <c r="AK3" s="349"/>
      <c r="AL3" s="349"/>
      <c r="AM3" s="349"/>
      <c r="AN3" s="349"/>
      <c r="AO3" s="120"/>
    </row>
    <row r="4" spans="2:41" ht="15" customHeight="1" thickBot="1" x14ac:dyDescent="0.5">
      <c r="AI4" s="349"/>
      <c r="AJ4" s="349"/>
      <c r="AK4" s="349"/>
      <c r="AL4" s="349"/>
      <c r="AM4" s="349"/>
      <c r="AN4" s="349"/>
      <c r="AO4" s="120"/>
    </row>
    <row r="5" spans="2:41" ht="15" customHeight="1" thickBot="1" x14ac:dyDescent="0.6">
      <c r="B5" s="370" t="s">
        <v>148</v>
      </c>
      <c r="C5" s="371"/>
      <c r="D5" s="371"/>
      <c r="E5" s="371"/>
      <c r="F5" s="371"/>
      <c r="G5" s="372"/>
      <c r="I5" s="360" t="s">
        <v>181</v>
      </c>
      <c r="J5" s="361"/>
      <c r="K5" s="361"/>
      <c r="L5" s="361"/>
      <c r="M5" s="361"/>
      <c r="N5" s="362"/>
      <c r="P5" s="360" t="s">
        <v>157</v>
      </c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2"/>
      <c r="AI5" s="349"/>
      <c r="AJ5" s="349"/>
      <c r="AK5" s="349"/>
      <c r="AL5" s="349"/>
      <c r="AM5" s="349"/>
      <c r="AN5" s="349"/>
      <c r="AO5" s="120"/>
    </row>
    <row r="6" spans="2:41" ht="14.45" customHeight="1" x14ac:dyDescent="0.45">
      <c r="B6" s="364"/>
      <c r="C6" s="333"/>
      <c r="D6" s="333"/>
      <c r="E6" s="333"/>
      <c r="F6" s="333"/>
      <c r="G6" s="334"/>
      <c r="I6" s="85" t="s">
        <v>154</v>
      </c>
      <c r="J6" s="86">
        <v>1.8509999999999999E-2</v>
      </c>
      <c r="K6" s="87" t="s">
        <v>140</v>
      </c>
      <c r="L6" s="388" t="s">
        <v>182</v>
      </c>
      <c r="M6" s="388"/>
      <c r="N6" s="389"/>
      <c r="P6" s="392" t="s">
        <v>189</v>
      </c>
      <c r="Q6" s="381" t="s">
        <v>156</v>
      </c>
      <c r="R6" s="382"/>
      <c r="S6" s="383" t="s">
        <v>158</v>
      </c>
      <c r="T6" s="350" t="s">
        <v>159</v>
      </c>
      <c r="U6" s="350" t="s">
        <v>188</v>
      </c>
      <c r="V6" s="352" t="s">
        <v>45</v>
      </c>
      <c r="W6" s="386" t="s">
        <v>160</v>
      </c>
      <c r="X6" s="386" t="s">
        <v>161</v>
      </c>
      <c r="Y6" s="354" t="s">
        <v>197</v>
      </c>
      <c r="Z6" s="356" t="s">
        <v>198</v>
      </c>
      <c r="AA6" s="124"/>
      <c r="AB6" s="375" t="s">
        <v>196</v>
      </c>
      <c r="AC6" s="376"/>
      <c r="AD6" s="376"/>
      <c r="AE6" s="376"/>
      <c r="AF6" s="376"/>
      <c r="AG6" s="377"/>
      <c r="AI6" s="349"/>
      <c r="AJ6" s="349"/>
      <c r="AK6" s="349"/>
      <c r="AL6" s="349"/>
      <c r="AM6" s="349"/>
      <c r="AN6" s="349"/>
      <c r="AO6" s="120"/>
    </row>
    <row r="7" spans="2:41" ht="14.65" thickBot="1" x14ac:dyDescent="0.5">
      <c r="B7" s="80" t="s">
        <v>166</v>
      </c>
      <c r="C7" s="100">
        <v>15000</v>
      </c>
      <c r="D7" s="89" t="s">
        <v>138</v>
      </c>
      <c r="E7" s="332" t="s">
        <v>178</v>
      </c>
      <c r="F7" s="332"/>
      <c r="G7" s="368"/>
      <c r="I7" s="85" t="s">
        <v>155</v>
      </c>
      <c r="J7" s="86">
        <v>2.3E-2</v>
      </c>
      <c r="K7" s="87" t="s">
        <v>140</v>
      </c>
      <c r="L7" s="388" t="s">
        <v>183</v>
      </c>
      <c r="M7" s="388"/>
      <c r="N7" s="389"/>
      <c r="P7" s="393"/>
      <c r="Q7" s="108" t="s">
        <v>11</v>
      </c>
      <c r="R7" s="130" t="s">
        <v>12</v>
      </c>
      <c r="S7" s="384"/>
      <c r="T7" s="385"/>
      <c r="U7" s="351"/>
      <c r="V7" s="353"/>
      <c r="W7" s="387"/>
      <c r="X7" s="387"/>
      <c r="Y7" s="355"/>
      <c r="Z7" s="357"/>
      <c r="AA7" s="124"/>
      <c r="AB7" s="378"/>
      <c r="AC7" s="379"/>
      <c r="AD7" s="379"/>
      <c r="AE7" s="379"/>
      <c r="AF7" s="379"/>
      <c r="AG7" s="380"/>
      <c r="AK7" s="84"/>
      <c r="AL7" s="84"/>
      <c r="AM7" s="84"/>
      <c r="AN7" s="84"/>
      <c r="AO7" s="84"/>
    </row>
    <row r="8" spans="2:41" ht="14.65" thickBot="1" x14ac:dyDescent="0.5">
      <c r="B8" s="81" t="s">
        <v>165</v>
      </c>
      <c r="C8" s="101">
        <v>400</v>
      </c>
      <c r="D8" s="102" t="s">
        <v>138</v>
      </c>
      <c r="E8" s="331" t="s">
        <v>177</v>
      </c>
      <c r="F8" s="331"/>
      <c r="G8" s="369"/>
      <c r="I8" s="88" t="s">
        <v>154</v>
      </c>
      <c r="J8" s="47">
        <v>2.9409999999999999E-2</v>
      </c>
      <c r="K8" s="89" t="s">
        <v>140</v>
      </c>
      <c r="L8" s="332" t="s">
        <v>184</v>
      </c>
      <c r="M8" s="332"/>
      <c r="N8" s="368"/>
      <c r="P8" s="111" t="s">
        <v>190</v>
      </c>
      <c r="Q8" s="358" t="str">
        <f>Dimensionamento!B10</f>
        <v>PT</v>
      </c>
      <c r="R8" s="359" t="s">
        <v>100</v>
      </c>
      <c r="S8" s="335">
        <v>3</v>
      </c>
      <c r="T8" s="335">
        <f>Dimensionamento!AG10</f>
        <v>285</v>
      </c>
      <c r="U8" s="335" t="s">
        <v>44</v>
      </c>
      <c r="V8" s="46">
        <f>IF(U8="Al",$J$8,$J$6)</f>
        <v>1.8509999999999999E-2</v>
      </c>
      <c r="W8" s="125">
        <f>V8*(S8/T8)</f>
        <v>1.9484210526315787E-4</v>
      </c>
      <c r="X8" s="363">
        <f>S8*$J$13</f>
        <v>2.4000000000000003E-4</v>
      </c>
      <c r="Y8" s="126">
        <f>W8</f>
        <v>1.9484210526315787E-4</v>
      </c>
      <c r="Z8" s="394">
        <f>X8+$C$25+$C$11</f>
        <v>1.8607272727272726E-2</v>
      </c>
      <c r="AA8" s="124"/>
      <c r="AB8" s="127" t="s">
        <v>193</v>
      </c>
      <c r="AC8" s="128">
        <f>SQRT((Y8^2)+(Z8^2))</f>
        <v>1.8608292823176734E-2</v>
      </c>
      <c r="AD8" s="99" t="s">
        <v>140</v>
      </c>
      <c r="AE8" s="340" t="s">
        <v>163</v>
      </c>
      <c r="AF8" s="340"/>
      <c r="AG8" s="341"/>
      <c r="AI8" s="117" t="str">
        <f>R8</f>
        <v>QGBT</v>
      </c>
      <c r="AJ8" s="114" t="s">
        <v>194</v>
      </c>
      <c r="AK8" s="115">
        <f>($C$18/(SQRT(3)*AC8))</f>
        <v>13031.131623080641</v>
      </c>
      <c r="AL8" s="116" t="s">
        <v>46</v>
      </c>
      <c r="AM8" s="345" t="s">
        <v>164</v>
      </c>
      <c r="AN8" s="346"/>
    </row>
    <row r="9" spans="2:41" ht="14.65" thickBot="1" x14ac:dyDescent="0.5">
      <c r="B9" s="80" t="s">
        <v>167</v>
      </c>
      <c r="C9" s="100">
        <v>220</v>
      </c>
      <c r="D9" s="89" t="s">
        <v>139</v>
      </c>
      <c r="E9" s="332" t="s">
        <v>176</v>
      </c>
      <c r="F9" s="332"/>
      <c r="G9" s="368"/>
      <c r="I9" s="90" t="s">
        <v>155</v>
      </c>
      <c r="J9" s="91">
        <v>3.6999999999999998E-2</v>
      </c>
      <c r="K9" s="92" t="s">
        <v>140</v>
      </c>
      <c r="L9" s="390" t="s">
        <v>185</v>
      </c>
      <c r="M9" s="390"/>
      <c r="N9" s="391"/>
      <c r="P9" s="111" t="s">
        <v>191</v>
      </c>
      <c r="Q9" s="344"/>
      <c r="R9" s="342"/>
      <c r="S9" s="335"/>
      <c r="T9" s="335"/>
      <c r="U9" s="335"/>
      <c r="V9" s="46">
        <f>IF(U8="Al",$J$9,$J$7)</f>
        <v>2.3E-2</v>
      </c>
      <c r="W9" s="125">
        <f>V9*(S8/T8)</f>
        <v>2.4210526315789473E-4</v>
      </c>
      <c r="X9" s="343"/>
      <c r="Y9" s="126">
        <f>W9</f>
        <v>2.4210526315789473E-4</v>
      </c>
      <c r="Z9" s="338"/>
      <c r="AA9" s="124"/>
      <c r="AB9" s="127" t="s">
        <v>192</v>
      </c>
      <c r="AC9" s="128">
        <f>SQRT((Y9^2)+(Z8^2))</f>
        <v>1.8608847715685033E-2</v>
      </c>
      <c r="AD9" s="99" t="s">
        <v>140</v>
      </c>
      <c r="AE9" s="340" t="s">
        <v>163</v>
      </c>
      <c r="AF9" s="340"/>
      <c r="AG9" s="341"/>
      <c r="AJ9" s="105" t="s">
        <v>195</v>
      </c>
      <c r="AK9" s="96">
        <f>($C$18/(SQRT(3)*AC9))</f>
        <v>13030.743051073237</v>
      </c>
      <c r="AL9" s="97" t="s">
        <v>46</v>
      </c>
      <c r="AM9" s="347" t="s">
        <v>164</v>
      </c>
      <c r="AN9" s="348"/>
    </row>
    <row r="10" spans="2:41" ht="14.65" thickBot="1" x14ac:dyDescent="0.5">
      <c r="B10" s="364"/>
      <c r="C10" s="333"/>
      <c r="D10" s="333"/>
      <c r="E10" s="333"/>
      <c r="F10" s="333"/>
      <c r="G10" s="334"/>
      <c r="I10" s="76"/>
      <c r="J10" s="15"/>
      <c r="K10" s="15"/>
      <c r="L10" s="76"/>
      <c r="M10" s="76"/>
      <c r="N10" s="76"/>
      <c r="P10" s="339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  <c r="AF10" s="336"/>
      <c r="AG10" s="337"/>
    </row>
    <row r="11" spans="2:41" ht="18.399999999999999" thickBot="1" x14ac:dyDescent="0.5">
      <c r="B11" s="79" t="s">
        <v>137</v>
      </c>
      <c r="C11" s="77">
        <f>(C8^2)/(C9*10^6)</f>
        <v>7.2727272727272723E-4</v>
      </c>
      <c r="D11" s="103" t="s">
        <v>140</v>
      </c>
      <c r="E11" s="347" t="s">
        <v>173</v>
      </c>
      <c r="F11" s="347"/>
      <c r="G11" s="348"/>
      <c r="I11" s="360" t="s">
        <v>186</v>
      </c>
      <c r="J11" s="361"/>
      <c r="K11" s="362"/>
      <c r="L11" s="84"/>
      <c r="M11" s="84"/>
      <c r="N11" s="84"/>
      <c r="P11" s="111" t="s">
        <v>190</v>
      </c>
      <c r="Q11" s="344" t="str">
        <f>Dimensionamento!B11</f>
        <v>QGBT</v>
      </c>
      <c r="R11" s="342" t="s">
        <v>101</v>
      </c>
      <c r="S11" s="335">
        <v>27</v>
      </c>
      <c r="T11" s="335">
        <f>Dimensionamento!AG11</f>
        <v>190</v>
      </c>
      <c r="U11" s="335" t="s">
        <v>44</v>
      </c>
      <c r="V11" s="46">
        <f>IF(U11="Al",$J$8,$J$6)</f>
        <v>1.8509999999999999E-2</v>
      </c>
      <c r="W11" s="125">
        <f>V11*(S11/T11)</f>
        <v>2.6303684210526312E-3</v>
      </c>
      <c r="X11" s="343">
        <f>S11*$J$13</f>
        <v>2.16E-3</v>
      </c>
      <c r="Y11" s="126">
        <f>W11+Y8</f>
        <v>2.825210526315789E-3</v>
      </c>
      <c r="Z11" s="338">
        <f>X11+Z8</f>
        <v>2.0767272727272724E-2</v>
      </c>
      <c r="AA11" s="124"/>
      <c r="AB11" s="127" t="s">
        <v>193</v>
      </c>
      <c r="AC11" s="128">
        <f>SQRT((Y11^2)+(Z11^2))</f>
        <v>2.0958564622772503E-2</v>
      </c>
      <c r="AD11" s="99" t="s">
        <v>140</v>
      </c>
      <c r="AE11" s="340" t="s">
        <v>163</v>
      </c>
      <c r="AF11" s="340"/>
      <c r="AG11" s="341"/>
      <c r="AI11" s="117" t="str">
        <f>R11</f>
        <v>QE</v>
      </c>
      <c r="AJ11" s="114" t="s">
        <v>194</v>
      </c>
      <c r="AK11" s="115">
        <f>($C$18/(SQRT(3)*AC11))</f>
        <v>11569.833975947415</v>
      </c>
      <c r="AL11" s="116" t="s">
        <v>46</v>
      </c>
      <c r="AM11" s="345" t="s">
        <v>164</v>
      </c>
      <c r="AN11" s="346"/>
    </row>
    <row r="12" spans="2:41" ht="14.65" thickBot="1" x14ac:dyDescent="0.5">
      <c r="I12" s="373" t="s">
        <v>151</v>
      </c>
      <c r="J12" s="47">
        <v>0.08</v>
      </c>
      <c r="K12" s="95" t="s">
        <v>153</v>
      </c>
      <c r="L12" s="76"/>
      <c r="M12" s="76"/>
      <c r="N12" s="76"/>
      <c r="P12" s="111" t="s">
        <v>191</v>
      </c>
      <c r="Q12" s="344"/>
      <c r="R12" s="342"/>
      <c r="S12" s="335"/>
      <c r="T12" s="335"/>
      <c r="U12" s="335"/>
      <c r="V12" s="46">
        <f>IF(U11="Al",$J$9,$J$7)</f>
        <v>2.3E-2</v>
      </c>
      <c r="W12" s="125">
        <f>V12*(S11/T11)</f>
        <v>3.2684210526315789E-3</v>
      </c>
      <c r="X12" s="343"/>
      <c r="Y12" s="126">
        <f>W12+Y9</f>
        <v>3.5105263157894735E-3</v>
      </c>
      <c r="Z12" s="338"/>
      <c r="AA12" s="124"/>
      <c r="AB12" s="127" t="s">
        <v>192</v>
      </c>
      <c r="AC12" s="128">
        <f>SQRT((Y12^2)+(Z11^2))</f>
        <v>2.1061894775702777E-2</v>
      </c>
      <c r="AD12" s="99" t="s">
        <v>140</v>
      </c>
      <c r="AE12" s="340" t="s">
        <v>163</v>
      </c>
      <c r="AF12" s="340"/>
      <c r="AG12" s="341"/>
      <c r="AJ12" s="105" t="s">
        <v>195</v>
      </c>
      <c r="AK12" s="96">
        <f>($C$18/(SQRT(3)*AC12))</f>
        <v>11513.072097358425</v>
      </c>
      <c r="AL12" s="97" t="s">
        <v>46</v>
      </c>
      <c r="AM12" s="347" t="s">
        <v>164</v>
      </c>
      <c r="AN12" s="348"/>
    </row>
    <row r="13" spans="2:41" ht="18.399999999999999" thickBot="1" x14ac:dyDescent="0.6">
      <c r="B13" s="370" t="s">
        <v>149</v>
      </c>
      <c r="C13" s="371"/>
      <c r="D13" s="371"/>
      <c r="E13" s="371"/>
      <c r="F13" s="371"/>
      <c r="G13" s="372"/>
      <c r="I13" s="374"/>
      <c r="J13" s="93">
        <v>8.0000000000000007E-5</v>
      </c>
      <c r="K13" s="94" t="s">
        <v>152</v>
      </c>
      <c r="L13" s="76"/>
      <c r="M13" s="76"/>
      <c r="N13" s="76"/>
      <c r="P13" s="339"/>
      <c r="Q13" s="336"/>
      <c r="R13" s="336"/>
      <c r="S13" s="336"/>
      <c r="T13" s="336"/>
      <c r="U13" s="336"/>
      <c r="V13" s="336"/>
      <c r="W13" s="336"/>
      <c r="X13" s="336"/>
      <c r="Y13" s="336"/>
      <c r="Z13" s="336"/>
      <c r="AA13" s="336"/>
      <c r="AB13" s="336"/>
      <c r="AC13" s="336"/>
      <c r="AD13" s="336"/>
      <c r="AE13" s="336"/>
      <c r="AF13" s="336"/>
      <c r="AG13" s="337"/>
    </row>
    <row r="14" spans="2:41" ht="14.65" thickBot="1" x14ac:dyDescent="0.5">
      <c r="B14" s="364"/>
      <c r="C14" s="333"/>
      <c r="D14" s="333"/>
      <c r="E14" s="333"/>
      <c r="F14" s="333"/>
      <c r="G14" s="334"/>
      <c r="P14" s="111" t="s">
        <v>190</v>
      </c>
      <c r="Q14" s="344" t="str">
        <f>Dimensionamento!B12</f>
        <v>QE</v>
      </c>
      <c r="R14" s="342" t="s">
        <v>102</v>
      </c>
      <c r="S14" s="335">
        <v>11</v>
      </c>
      <c r="T14" s="335">
        <f>Dimensionamento!AG12</f>
        <v>4</v>
      </c>
      <c r="U14" s="335" t="s">
        <v>44</v>
      </c>
      <c r="V14" s="46">
        <f>IF(U14="Al",$J$8,$J$6)</f>
        <v>1.8509999999999999E-2</v>
      </c>
      <c r="W14" s="125">
        <f>V14*(S14/T14)</f>
        <v>5.0902499999999996E-2</v>
      </c>
      <c r="X14" s="343">
        <f>S14*$J$13</f>
        <v>8.8000000000000003E-4</v>
      </c>
      <c r="Y14" s="126">
        <f>W14+Y11</f>
        <v>5.3727710526315788E-2</v>
      </c>
      <c r="Z14" s="338">
        <f>X14+Z11</f>
        <v>2.1647272727272723E-2</v>
      </c>
      <c r="AA14" s="124"/>
      <c r="AB14" s="127" t="s">
        <v>193</v>
      </c>
      <c r="AC14" s="128">
        <f>SQRT((Y14^2)+(Z14^2))</f>
        <v>5.792470366716182E-2</v>
      </c>
      <c r="AD14" s="99" t="s">
        <v>140</v>
      </c>
      <c r="AE14" s="340" t="s">
        <v>163</v>
      </c>
      <c r="AF14" s="340"/>
      <c r="AG14" s="341"/>
      <c r="AI14" s="117" t="str">
        <f>R14</f>
        <v>QP-SA</v>
      </c>
      <c r="AJ14" s="114" t="s">
        <v>194</v>
      </c>
      <c r="AK14" s="115">
        <f>($C$18/(SQRT(3)*AC14))</f>
        <v>4186.2469327937461</v>
      </c>
      <c r="AL14" s="116" t="s">
        <v>46</v>
      </c>
      <c r="AM14" s="345" t="s">
        <v>164</v>
      </c>
      <c r="AN14" s="346"/>
    </row>
    <row r="15" spans="2:41" ht="14.65" thickBot="1" x14ac:dyDescent="0.5">
      <c r="B15" s="80" t="s">
        <v>141</v>
      </c>
      <c r="C15" s="100">
        <v>400</v>
      </c>
      <c r="D15" s="89" t="s">
        <v>142</v>
      </c>
      <c r="E15" s="332" t="s">
        <v>174</v>
      </c>
      <c r="F15" s="332"/>
      <c r="G15" s="368"/>
      <c r="P15" s="111" t="s">
        <v>191</v>
      </c>
      <c r="Q15" s="344"/>
      <c r="R15" s="342"/>
      <c r="S15" s="335"/>
      <c r="T15" s="335"/>
      <c r="U15" s="335"/>
      <c r="V15" s="46">
        <f>IF(U14="Al",$J$9,$J$7)</f>
        <v>2.3E-2</v>
      </c>
      <c r="W15" s="125">
        <f>V15*(S14/T14)</f>
        <v>6.3250000000000001E-2</v>
      </c>
      <c r="X15" s="343"/>
      <c r="Y15" s="126">
        <f>W15+Y12</f>
        <v>6.6760526315789478E-2</v>
      </c>
      <c r="Z15" s="338"/>
      <c r="AA15" s="124"/>
      <c r="AB15" s="127" t="s">
        <v>192</v>
      </c>
      <c r="AC15" s="128">
        <f>SQRT((Y15^2)+(Z14^2))</f>
        <v>7.0182421520564142E-2</v>
      </c>
      <c r="AD15" s="99" t="s">
        <v>140</v>
      </c>
      <c r="AE15" s="340" t="s">
        <v>163</v>
      </c>
      <c r="AF15" s="340"/>
      <c r="AG15" s="341"/>
      <c r="AJ15" s="105" t="s">
        <v>195</v>
      </c>
      <c r="AK15" s="96">
        <f>($C$18/(SQRT(3)*AC15))</f>
        <v>3455.0975558543773</v>
      </c>
      <c r="AL15" s="97" t="s">
        <v>46</v>
      </c>
      <c r="AM15" s="347" t="s">
        <v>164</v>
      </c>
      <c r="AN15" s="348"/>
    </row>
    <row r="16" spans="2:41" ht="14.65" thickBot="1" x14ac:dyDescent="0.5">
      <c r="B16" s="81" t="s">
        <v>168</v>
      </c>
      <c r="C16" s="101">
        <v>4</v>
      </c>
      <c r="D16" s="102" t="s">
        <v>42</v>
      </c>
      <c r="E16" s="331" t="s">
        <v>144</v>
      </c>
      <c r="F16" s="331"/>
      <c r="G16" s="369"/>
      <c r="P16" s="339"/>
      <c r="Q16" s="336"/>
      <c r="R16" s="336"/>
      <c r="S16" s="336"/>
      <c r="T16" s="336"/>
      <c r="U16" s="336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6"/>
      <c r="AG16" s="337"/>
    </row>
    <row r="17" spans="2:40" ht="14.65" thickBot="1" x14ac:dyDescent="0.5">
      <c r="B17" s="80" t="s">
        <v>166</v>
      </c>
      <c r="C17" s="100">
        <f>C7</f>
        <v>15000</v>
      </c>
      <c r="D17" s="89" t="s">
        <v>138</v>
      </c>
      <c r="E17" s="332" t="s">
        <v>178</v>
      </c>
      <c r="F17" s="332"/>
      <c r="G17" s="368"/>
      <c r="P17" s="111" t="s">
        <v>190</v>
      </c>
      <c r="Q17" s="344" t="str">
        <f>Dimensionamento!B13</f>
        <v>QE</v>
      </c>
      <c r="R17" s="342" t="s">
        <v>103</v>
      </c>
      <c r="S17" s="335">
        <v>21</v>
      </c>
      <c r="T17" s="335">
        <f>Dimensionamento!AG13</f>
        <v>25</v>
      </c>
      <c r="U17" s="335" t="s">
        <v>44</v>
      </c>
      <c r="V17" s="46">
        <f>IF(U17="Al",$J$8,$J$6)</f>
        <v>1.8509999999999999E-2</v>
      </c>
      <c r="W17" s="125">
        <f>V17*(S17/T17)</f>
        <v>1.5548399999999999E-2</v>
      </c>
      <c r="X17" s="343">
        <f>S17*$J$13</f>
        <v>1.6800000000000001E-3</v>
      </c>
      <c r="Y17" s="126">
        <f>W17+Y11</f>
        <v>1.8373610526315788E-2</v>
      </c>
      <c r="Z17" s="338">
        <f>X17+Z11</f>
        <v>2.2447272727272725E-2</v>
      </c>
      <c r="AA17" s="124"/>
      <c r="AB17" s="127" t="s">
        <v>193</v>
      </c>
      <c r="AC17" s="128">
        <f>SQRT((Y17^2)+(Z17^2))</f>
        <v>2.9008095709048262E-2</v>
      </c>
      <c r="AD17" s="99" t="s">
        <v>140</v>
      </c>
      <c r="AE17" s="340" t="s">
        <v>163</v>
      </c>
      <c r="AF17" s="340"/>
      <c r="AG17" s="341"/>
      <c r="AI17" s="117" t="str">
        <f>R17</f>
        <v>QP-AP1</v>
      </c>
      <c r="AJ17" s="114" t="s">
        <v>194</v>
      </c>
      <c r="AK17" s="115">
        <f>($C$18/(SQRT(3)*AC17))</f>
        <v>8359.2909886878842</v>
      </c>
      <c r="AL17" s="116" t="s">
        <v>46</v>
      </c>
      <c r="AM17" s="345" t="s">
        <v>164</v>
      </c>
      <c r="AN17" s="346"/>
    </row>
    <row r="18" spans="2:40" ht="14.65" thickBot="1" x14ac:dyDescent="0.5">
      <c r="B18" s="81" t="s">
        <v>165</v>
      </c>
      <c r="C18" s="101">
        <v>420</v>
      </c>
      <c r="D18" s="102" t="s">
        <v>138</v>
      </c>
      <c r="E18" s="331" t="s">
        <v>177</v>
      </c>
      <c r="F18" s="331"/>
      <c r="G18" s="369"/>
      <c r="P18" s="111" t="s">
        <v>191</v>
      </c>
      <c r="Q18" s="344"/>
      <c r="R18" s="342"/>
      <c r="S18" s="335"/>
      <c r="T18" s="335"/>
      <c r="U18" s="335"/>
      <c r="V18" s="46">
        <f>IF(U17="Al",$J$9,$J$7)</f>
        <v>2.3E-2</v>
      </c>
      <c r="W18" s="125">
        <f>V18*(S17/T17)</f>
        <v>1.932E-2</v>
      </c>
      <c r="X18" s="343"/>
      <c r="Y18" s="126">
        <f>W18+Y12</f>
        <v>2.2830526315789475E-2</v>
      </c>
      <c r="Z18" s="338"/>
      <c r="AA18" s="124"/>
      <c r="AB18" s="127" t="s">
        <v>192</v>
      </c>
      <c r="AC18" s="128">
        <f>SQRT((Y18^2)+(Z17^2))</f>
        <v>3.2017385663862655E-2</v>
      </c>
      <c r="AD18" s="99" t="s">
        <v>140</v>
      </c>
      <c r="AE18" s="340" t="s">
        <v>163</v>
      </c>
      <c r="AF18" s="340"/>
      <c r="AG18" s="341"/>
      <c r="AJ18" s="105" t="s">
        <v>195</v>
      </c>
      <c r="AK18" s="96">
        <f>($C$18/(SQRT(3)*AC18))</f>
        <v>7573.6075270296951</v>
      </c>
      <c r="AL18" s="97" t="s">
        <v>46</v>
      </c>
      <c r="AM18" s="347" t="s">
        <v>164</v>
      </c>
      <c r="AN18" s="348"/>
    </row>
    <row r="19" spans="2:40" ht="14.65" thickBot="1" x14ac:dyDescent="0.5">
      <c r="B19" s="80" t="s">
        <v>169</v>
      </c>
      <c r="C19" s="100">
        <v>0</v>
      </c>
      <c r="D19" s="89" t="s">
        <v>143</v>
      </c>
      <c r="E19" s="332" t="s">
        <v>145</v>
      </c>
      <c r="F19" s="332"/>
      <c r="G19" s="368"/>
      <c r="P19" s="339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7"/>
    </row>
    <row r="20" spans="2:40" ht="14.65" thickBot="1" x14ac:dyDescent="0.5">
      <c r="B20" s="81" t="s">
        <v>170</v>
      </c>
      <c r="C20" s="101">
        <v>0</v>
      </c>
      <c r="D20" s="102" t="s">
        <v>143</v>
      </c>
      <c r="E20" s="331" t="s">
        <v>146</v>
      </c>
      <c r="F20" s="331"/>
      <c r="G20" s="369"/>
      <c r="P20" s="111" t="s">
        <v>190</v>
      </c>
      <c r="Q20" s="344" t="s">
        <v>101</v>
      </c>
      <c r="R20" s="342" t="s">
        <v>104</v>
      </c>
      <c r="S20" s="335">
        <v>26</v>
      </c>
      <c r="T20" s="335">
        <f>Dimensionamento!AG14</f>
        <v>16</v>
      </c>
      <c r="U20" s="335" t="s">
        <v>44</v>
      </c>
      <c r="V20" s="46">
        <f>IF(U20="Al",$J$8,$J$6)</f>
        <v>1.8509999999999999E-2</v>
      </c>
      <c r="W20" s="125">
        <f>V20*(S20/T20)</f>
        <v>3.0078749999999998E-2</v>
      </c>
      <c r="X20" s="343">
        <f>S20*$J$13</f>
        <v>2.0800000000000003E-3</v>
      </c>
      <c r="Y20" s="126">
        <f>W20+Y11</f>
        <v>3.2903960526315786E-2</v>
      </c>
      <c r="Z20" s="338">
        <f>X20+Z11</f>
        <v>2.2847272727272723E-2</v>
      </c>
      <c r="AA20" s="124"/>
      <c r="AB20" s="127" t="s">
        <v>193</v>
      </c>
      <c r="AC20" s="128">
        <f>SQRT((Y20^2)+(Z20^2))</f>
        <v>4.0058313611430613E-2</v>
      </c>
      <c r="AD20" s="99" t="s">
        <v>140</v>
      </c>
      <c r="AE20" s="340" t="s">
        <v>163</v>
      </c>
      <c r="AF20" s="340"/>
      <c r="AG20" s="341"/>
      <c r="AI20" s="117" t="str">
        <f>R20</f>
        <v>QP-AP2</v>
      </c>
      <c r="AJ20" s="114" t="s">
        <v>194</v>
      </c>
      <c r="AK20" s="115">
        <f>($C$18/(SQRT(3)*AC20))</f>
        <v>6053.3530046169817</v>
      </c>
      <c r="AL20" s="116" t="s">
        <v>46</v>
      </c>
      <c r="AM20" s="345" t="s">
        <v>164</v>
      </c>
      <c r="AN20" s="346"/>
    </row>
    <row r="21" spans="2:40" ht="14.65" thickBot="1" x14ac:dyDescent="0.5">
      <c r="B21" s="365"/>
      <c r="C21" s="366"/>
      <c r="D21" s="366"/>
      <c r="E21" s="366"/>
      <c r="F21" s="366"/>
      <c r="G21" s="367"/>
      <c r="P21" s="111" t="s">
        <v>191</v>
      </c>
      <c r="Q21" s="344"/>
      <c r="R21" s="342"/>
      <c r="S21" s="335"/>
      <c r="T21" s="335"/>
      <c r="U21" s="335"/>
      <c r="V21" s="46">
        <f>IF(U20="Al",$J$9,$J$7)</f>
        <v>2.3E-2</v>
      </c>
      <c r="W21" s="125">
        <f>V21*(S20/T20)</f>
        <v>3.7374999999999999E-2</v>
      </c>
      <c r="X21" s="343"/>
      <c r="Y21" s="126">
        <f>W21+Y12</f>
        <v>4.0885526315789469E-2</v>
      </c>
      <c r="Z21" s="338"/>
      <c r="AA21" s="124"/>
      <c r="AB21" s="127" t="s">
        <v>192</v>
      </c>
      <c r="AC21" s="128">
        <f>SQRT((Y21^2)+(Z20^2))</f>
        <v>4.6836141314090904E-2</v>
      </c>
      <c r="AD21" s="99" t="s">
        <v>140</v>
      </c>
      <c r="AE21" s="340" t="s">
        <v>163</v>
      </c>
      <c r="AF21" s="340"/>
      <c r="AG21" s="341"/>
      <c r="AJ21" s="105" t="s">
        <v>195</v>
      </c>
      <c r="AK21" s="96">
        <f>($C$18/(SQRT(3)*AC21))</f>
        <v>5177.3503592766992</v>
      </c>
      <c r="AL21" s="97" t="s">
        <v>46</v>
      </c>
      <c r="AM21" s="347" t="s">
        <v>164</v>
      </c>
      <c r="AN21" s="348"/>
    </row>
    <row r="22" spans="2:40" ht="14.65" thickBot="1" x14ac:dyDescent="0.5">
      <c r="B22" s="78" t="s">
        <v>171</v>
      </c>
      <c r="C22" s="98">
        <f>(C15*10^3)/(SQRT(3)*C17)</f>
        <v>15.396007178390022</v>
      </c>
      <c r="D22" s="99" t="s">
        <v>46</v>
      </c>
      <c r="E22" s="340" t="s">
        <v>179</v>
      </c>
      <c r="F22" s="340"/>
      <c r="G22" s="341"/>
      <c r="P22" s="339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7"/>
    </row>
    <row r="23" spans="2:40" ht="14.65" thickBot="1" x14ac:dyDescent="0.5">
      <c r="B23" s="78" t="s">
        <v>172</v>
      </c>
      <c r="C23" s="98">
        <f>((C15*10^3)-C19-C20)/(SQRT(3)*C18)</f>
        <v>549.85739922821506</v>
      </c>
      <c r="D23" s="99" t="s">
        <v>46</v>
      </c>
      <c r="E23" s="340" t="s">
        <v>180</v>
      </c>
      <c r="F23" s="340"/>
      <c r="G23" s="341"/>
      <c r="P23" s="111" t="s">
        <v>190</v>
      </c>
      <c r="Q23" s="344" t="s">
        <v>101</v>
      </c>
      <c r="R23" s="342" t="s">
        <v>105</v>
      </c>
      <c r="S23" s="335">
        <v>12</v>
      </c>
      <c r="T23" s="335">
        <f>Dimensionamento!AG15</f>
        <v>4</v>
      </c>
      <c r="U23" s="335" t="s">
        <v>44</v>
      </c>
      <c r="V23" s="46">
        <f>IF(U23="Al",$J$8,$J$6)</f>
        <v>1.8509999999999999E-2</v>
      </c>
      <c r="W23" s="125">
        <f>V23*(S23/T23)</f>
        <v>5.5529999999999996E-2</v>
      </c>
      <c r="X23" s="343">
        <f>S23*$J$13</f>
        <v>9.6000000000000013E-4</v>
      </c>
      <c r="Y23" s="126">
        <f>W23+Y11</f>
        <v>5.8355210526315787E-2</v>
      </c>
      <c r="Z23" s="338">
        <f>X23+Z11</f>
        <v>2.1727272727272724E-2</v>
      </c>
      <c r="AA23" s="124"/>
      <c r="AB23" s="127" t="s">
        <v>193</v>
      </c>
      <c r="AC23" s="128">
        <f>SQRT((Y23^2)+(Z23^2))</f>
        <v>6.2268812223583693E-2</v>
      </c>
      <c r="AD23" s="99" t="s">
        <v>140</v>
      </c>
      <c r="AE23" s="340" t="s">
        <v>163</v>
      </c>
      <c r="AF23" s="340"/>
      <c r="AG23" s="341"/>
      <c r="AI23" s="117" t="str">
        <f>R23</f>
        <v>QP-CD</v>
      </c>
      <c r="AJ23" s="114" t="s">
        <v>194</v>
      </c>
      <c r="AK23" s="115">
        <f>($C$18/(SQRT(3)*AC23))</f>
        <v>3894.1984663038629</v>
      </c>
      <c r="AL23" s="116" t="s">
        <v>46</v>
      </c>
      <c r="AM23" s="345" t="s">
        <v>164</v>
      </c>
      <c r="AN23" s="346"/>
    </row>
    <row r="24" spans="2:40" ht="14.65" thickBot="1" x14ac:dyDescent="0.5">
      <c r="B24" s="364"/>
      <c r="C24" s="333"/>
      <c r="D24" s="333"/>
      <c r="E24" s="333"/>
      <c r="F24" s="333"/>
      <c r="G24" s="334"/>
      <c r="P24" s="111" t="s">
        <v>191</v>
      </c>
      <c r="Q24" s="344"/>
      <c r="R24" s="342"/>
      <c r="S24" s="335"/>
      <c r="T24" s="335"/>
      <c r="U24" s="335"/>
      <c r="V24" s="46">
        <f>IF(U23="Al",$J$9,$J$7)</f>
        <v>2.3E-2</v>
      </c>
      <c r="W24" s="125">
        <f>V24*(S23/T23)</f>
        <v>6.9000000000000006E-2</v>
      </c>
      <c r="X24" s="343"/>
      <c r="Y24" s="126">
        <f>W24+Y12</f>
        <v>7.2510526315789484E-2</v>
      </c>
      <c r="Z24" s="338"/>
      <c r="AA24" s="124"/>
      <c r="AB24" s="127" t="s">
        <v>192</v>
      </c>
      <c r="AC24" s="128">
        <f>SQRT((Y24^2)+(Z23^2))</f>
        <v>7.569577799823507E-2</v>
      </c>
      <c r="AD24" s="99" t="s">
        <v>140</v>
      </c>
      <c r="AE24" s="340" t="s">
        <v>163</v>
      </c>
      <c r="AF24" s="340"/>
      <c r="AG24" s="341"/>
      <c r="AJ24" s="105" t="s">
        <v>195</v>
      </c>
      <c r="AK24" s="96">
        <f>($C$18/(SQRT(3)*AC24))</f>
        <v>3203.4430383329527</v>
      </c>
      <c r="AL24" s="97" t="s">
        <v>46</v>
      </c>
      <c r="AM24" s="347" t="s">
        <v>164</v>
      </c>
      <c r="AN24" s="348"/>
    </row>
    <row r="25" spans="2:40" ht="14.65" thickBot="1" x14ac:dyDescent="0.5">
      <c r="B25" s="79" t="s">
        <v>147</v>
      </c>
      <c r="C25" s="77">
        <f>(C18^2/(C15*10^3))*(C16%)</f>
        <v>1.7639999999999999E-2</v>
      </c>
      <c r="D25" s="82" t="s">
        <v>140</v>
      </c>
      <c r="E25" s="347" t="s">
        <v>175</v>
      </c>
      <c r="F25" s="347"/>
      <c r="G25" s="348"/>
      <c r="P25" s="339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  <c r="AC25" s="336"/>
      <c r="AD25" s="336"/>
      <c r="AE25" s="336"/>
      <c r="AF25" s="336"/>
      <c r="AG25" s="337"/>
    </row>
    <row r="26" spans="2:40" ht="14.65" thickBot="1" x14ac:dyDescent="0.5">
      <c r="P26" s="111" t="s">
        <v>190</v>
      </c>
      <c r="Q26" s="344" t="s">
        <v>102</v>
      </c>
      <c r="R26" s="342" t="s">
        <v>106</v>
      </c>
      <c r="S26" s="335">
        <v>11</v>
      </c>
      <c r="T26" s="335">
        <f>Dimensionamento!AG16</f>
        <v>4</v>
      </c>
      <c r="U26" s="335" t="s">
        <v>44</v>
      </c>
      <c r="V26" s="46">
        <f>IF(U26="Al",$J$8,$J$6)</f>
        <v>1.8509999999999999E-2</v>
      </c>
      <c r="W26" s="125">
        <f>V26*(S26/T26)</f>
        <v>5.0902499999999996E-2</v>
      </c>
      <c r="X26" s="343">
        <f>S26*$J$13</f>
        <v>8.8000000000000003E-4</v>
      </c>
      <c r="Y26" s="126">
        <f>W26+Y14</f>
        <v>0.10463021052631578</v>
      </c>
      <c r="Z26" s="338">
        <f>X26+Z14</f>
        <v>2.2527272727272722E-2</v>
      </c>
      <c r="AA26" s="124"/>
      <c r="AB26" s="127" t="s">
        <v>193</v>
      </c>
      <c r="AC26" s="128">
        <f>SQRT((Y26^2)+(Z26^2))</f>
        <v>0.10702784203799537</v>
      </c>
      <c r="AD26" s="99" t="s">
        <v>140</v>
      </c>
      <c r="AE26" s="340" t="s">
        <v>163</v>
      </c>
      <c r="AF26" s="340"/>
      <c r="AG26" s="341"/>
      <c r="AH26" s="118"/>
      <c r="AI26" s="117" t="str">
        <f>R26</f>
        <v>QE-G</v>
      </c>
      <c r="AJ26" s="114" t="s">
        <v>194</v>
      </c>
      <c r="AK26" s="115">
        <f>($C$18/(SQRT(3)*AC26))</f>
        <v>2265.645167110431</v>
      </c>
      <c r="AL26" s="116" t="s">
        <v>46</v>
      </c>
      <c r="AM26" s="345" t="s">
        <v>164</v>
      </c>
      <c r="AN26" s="346"/>
    </row>
    <row r="27" spans="2:40" ht="14.65" thickBot="1" x14ac:dyDescent="0.5">
      <c r="P27" s="111" t="s">
        <v>191</v>
      </c>
      <c r="Q27" s="344"/>
      <c r="R27" s="342"/>
      <c r="S27" s="335"/>
      <c r="T27" s="335"/>
      <c r="U27" s="335"/>
      <c r="V27" s="46">
        <f>IF(U26="Al",$J$9,$J$7)</f>
        <v>2.3E-2</v>
      </c>
      <c r="W27" s="125">
        <f>V27*(S26/T26)</f>
        <v>6.3250000000000001E-2</v>
      </c>
      <c r="X27" s="343"/>
      <c r="Y27" s="126">
        <f>W27+Y15</f>
        <v>0.13001052631578947</v>
      </c>
      <c r="Z27" s="338"/>
      <c r="AA27" s="124"/>
      <c r="AB27" s="127" t="s">
        <v>192</v>
      </c>
      <c r="AC27" s="128">
        <f>SQRT((Y27^2)+(Z26^2))</f>
        <v>0.13194777364335297</v>
      </c>
      <c r="AD27" s="99" t="s">
        <v>140</v>
      </c>
      <c r="AE27" s="340" t="s">
        <v>163</v>
      </c>
      <c r="AF27" s="340"/>
      <c r="AG27" s="341"/>
      <c r="AH27" s="119"/>
      <c r="AJ27" s="105" t="s">
        <v>195</v>
      </c>
      <c r="AK27" s="96">
        <f>($C$18/(SQRT(3)*AC27))</f>
        <v>1837.7506975985148</v>
      </c>
      <c r="AL27" s="97" t="s">
        <v>46</v>
      </c>
      <c r="AM27" s="347" t="s">
        <v>164</v>
      </c>
      <c r="AN27" s="348"/>
    </row>
    <row r="28" spans="2:40" ht="14.65" thickBot="1" x14ac:dyDescent="0.5">
      <c r="P28" s="339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6"/>
      <c r="AB28" s="336"/>
      <c r="AC28" s="336"/>
      <c r="AD28" s="336"/>
      <c r="AE28" s="336"/>
      <c r="AF28" s="336"/>
      <c r="AG28" s="337"/>
      <c r="AH28" s="119"/>
    </row>
    <row r="29" spans="2:40" ht="14.65" thickBot="1" x14ac:dyDescent="0.5">
      <c r="P29" s="111" t="s">
        <v>190</v>
      </c>
      <c r="Q29" s="344" t="s">
        <v>102</v>
      </c>
      <c r="R29" s="342" t="s">
        <v>107</v>
      </c>
      <c r="S29" s="335">
        <v>13</v>
      </c>
      <c r="T29" s="335">
        <f>Dimensionamento!AG17</f>
        <v>4</v>
      </c>
      <c r="U29" s="335" t="s">
        <v>44</v>
      </c>
      <c r="V29" s="46">
        <f>IF(U29="Al",$J$8,$J$6)</f>
        <v>1.8509999999999999E-2</v>
      </c>
      <c r="W29" s="125">
        <f>V29*(S29/T29)</f>
        <v>6.0157499999999996E-2</v>
      </c>
      <c r="X29" s="343">
        <f>S29*$J$13</f>
        <v>1.0400000000000001E-3</v>
      </c>
      <c r="Y29" s="126">
        <f>W29+Y14</f>
        <v>0.11388521052631578</v>
      </c>
      <c r="Z29" s="338">
        <f>X29+Z14</f>
        <v>2.2687272727272723E-2</v>
      </c>
      <c r="AA29" s="124"/>
      <c r="AB29" s="127" t="s">
        <v>193</v>
      </c>
      <c r="AC29" s="128">
        <f>SQRT((Y29^2)+(Z29^2))</f>
        <v>0.11612301029694726</v>
      </c>
      <c r="AD29" s="99" t="s">
        <v>140</v>
      </c>
      <c r="AE29" s="340" t="s">
        <v>163</v>
      </c>
      <c r="AF29" s="340"/>
      <c r="AG29" s="341"/>
      <c r="AH29" s="84"/>
      <c r="AI29" s="117" t="str">
        <f>R29</f>
        <v>QE-A.AF</v>
      </c>
      <c r="AJ29" s="114" t="s">
        <v>194</v>
      </c>
      <c r="AK29" s="115">
        <f>($C$18/(SQRT(3)*AC29))</f>
        <v>2088.1917583738145</v>
      </c>
      <c r="AL29" s="116" t="s">
        <v>46</v>
      </c>
      <c r="AM29" s="345" t="s">
        <v>164</v>
      </c>
      <c r="AN29" s="346"/>
    </row>
    <row r="30" spans="2:40" ht="14.65" thickBot="1" x14ac:dyDescent="0.5">
      <c r="P30" s="111" t="s">
        <v>191</v>
      </c>
      <c r="Q30" s="344"/>
      <c r="R30" s="342"/>
      <c r="S30" s="335"/>
      <c r="T30" s="335"/>
      <c r="U30" s="335"/>
      <c r="V30" s="46">
        <f>IF(U29="Al",$J$9,$J$7)</f>
        <v>2.3E-2</v>
      </c>
      <c r="W30" s="125">
        <f>V30*(S29/T29)</f>
        <v>7.4749999999999997E-2</v>
      </c>
      <c r="X30" s="343"/>
      <c r="Y30" s="126">
        <f>W30+Y15</f>
        <v>0.14151052631578948</v>
      </c>
      <c r="Z30" s="338"/>
      <c r="AA30" s="124"/>
      <c r="AB30" s="127" t="s">
        <v>192</v>
      </c>
      <c r="AC30" s="128">
        <f>SQRT((Y30^2)+(Z29^2))</f>
        <v>0.14331762418479244</v>
      </c>
      <c r="AD30" s="99" t="s">
        <v>140</v>
      </c>
      <c r="AE30" s="340" t="s">
        <v>163</v>
      </c>
      <c r="AF30" s="340"/>
      <c r="AG30" s="341"/>
      <c r="AJ30" s="105" t="s">
        <v>195</v>
      </c>
      <c r="AK30" s="96">
        <f>($C$18/(SQRT(3)*AC30))</f>
        <v>1691.9559924254827</v>
      </c>
      <c r="AL30" s="97" t="s">
        <v>46</v>
      </c>
      <c r="AM30" s="347" t="s">
        <v>164</v>
      </c>
      <c r="AN30" s="348"/>
    </row>
    <row r="31" spans="2:40" ht="14.65" thickBot="1" x14ac:dyDescent="0.5">
      <c r="P31" s="339"/>
      <c r="Q31" s="336"/>
      <c r="R31" s="336"/>
      <c r="S31" s="336"/>
      <c r="T31" s="336"/>
      <c r="U31" s="336"/>
      <c r="V31" s="336"/>
      <c r="W31" s="336"/>
      <c r="X31" s="336"/>
      <c r="Y31" s="336"/>
      <c r="Z31" s="336"/>
      <c r="AA31" s="336"/>
      <c r="AB31" s="336"/>
      <c r="AC31" s="336"/>
      <c r="AD31" s="336"/>
      <c r="AE31" s="336"/>
      <c r="AF31" s="336"/>
      <c r="AG31" s="337"/>
    </row>
    <row r="32" spans="2:40" ht="14.65" thickBot="1" x14ac:dyDescent="0.5">
      <c r="P32" s="111" t="s">
        <v>190</v>
      </c>
      <c r="Q32" s="344" t="s">
        <v>102</v>
      </c>
      <c r="R32" s="342" t="s">
        <v>108</v>
      </c>
      <c r="S32" s="335">
        <v>20</v>
      </c>
      <c r="T32" s="335">
        <f>Dimensionamento!AG18</f>
        <v>4</v>
      </c>
      <c r="U32" s="335" t="s">
        <v>44</v>
      </c>
      <c r="V32" s="46">
        <f>IF(U32="Al",$J$8,$J$6)</f>
        <v>1.8509999999999999E-2</v>
      </c>
      <c r="W32" s="125">
        <f>V32*(S32/T32)</f>
        <v>9.2549999999999993E-2</v>
      </c>
      <c r="X32" s="343">
        <f>S32*$J$13</f>
        <v>1.6000000000000001E-3</v>
      </c>
      <c r="Y32" s="126">
        <f>W32+Y14</f>
        <v>0.14627771052631577</v>
      </c>
      <c r="Z32" s="338">
        <f>X32+Z14</f>
        <v>2.3247272727272724E-2</v>
      </c>
      <c r="AA32" s="124"/>
      <c r="AB32" s="127" t="s">
        <v>193</v>
      </c>
      <c r="AC32" s="128">
        <f>SQRT((Y32^2)+(Z32^2))</f>
        <v>0.14811348448428602</v>
      </c>
      <c r="AD32" s="99" t="s">
        <v>140</v>
      </c>
      <c r="AE32" s="340" t="s">
        <v>163</v>
      </c>
      <c r="AF32" s="340"/>
      <c r="AG32" s="341"/>
      <c r="AI32" s="117" t="str">
        <f>R32</f>
        <v>QE-S.R</v>
      </c>
      <c r="AJ32" s="114" t="s">
        <v>194</v>
      </c>
      <c r="AK32" s="115">
        <f>($C$18/(SQRT(3)*AC32))</f>
        <v>1637.1710780011342</v>
      </c>
      <c r="AL32" s="116" t="s">
        <v>46</v>
      </c>
      <c r="AM32" s="345" t="s">
        <v>164</v>
      </c>
      <c r="AN32" s="346"/>
    </row>
    <row r="33" spans="2:40" ht="14.65" thickBot="1" x14ac:dyDescent="0.5">
      <c r="P33" s="111" t="s">
        <v>191</v>
      </c>
      <c r="Q33" s="344"/>
      <c r="R33" s="342"/>
      <c r="S33" s="335"/>
      <c r="T33" s="335"/>
      <c r="U33" s="335"/>
      <c r="V33" s="46">
        <f>IF(U32="Al",$J$9,$J$7)</f>
        <v>2.3E-2</v>
      </c>
      <c r="W33" s="125">
        <f>V33*(S32/T32)</f>
        <v>0.11499999999999999</v>
      </c>
      <c r="X33" s="343"/>
      <c r="Y33" s="126">
        <f>W33+Y15</f>
        <v>0.18176052631578948</v>
      </c>
      <c r="Z33" s="338"/>
      <c r="AA33" s="124"/>
      <c r="AB33" s="127" t="s">
        <v>192</v>
      </c>
      <c r="AC33" s="128">
        <f>SQRT((Y33^2)+(Z32^2))</f>
        <v>0.18324116517815806</v>
      </c>
      <c r="AD33" s="99" t="s">
        <v>140</v>
      </c>
      <c r="AE33" s="340" t="s">
        <v>163</v>
      </c>
      <c r="AF33" s="340"/>
      <c r="AG33" s="341"/>
      <c r="AJ33" s="105" t="s">
        <v>195</v>
      </c>
      <c r="AK33" s="96">
        <f>($C$18/(SQRT(3)*AC33))</f>
        <v>1323.3222612609034</v>
      </c>
      <c r="AL33" s="97" t="s">
        <v>46</v>
      </c>
      <c r="AM33" s="347" t="s">
        <v>164</v>
      </c>
      <c r="AN33" s="348"/>
    </row>
    <row r="34" spans="2:40" ht="14.65" thickBot="1" x14ac:dyDescent="0.5">
      <c r="B34" s="121"/>
      <c r="P34" s="339"/>
      <c r="Q34" s="336"/>
      <c r="R34" s="336"/>
      <c r="S34" s="336"/>
      <c r="T34" s="336"/>
      <c r="U34" s="336"/>
      <c r="V34" s="336"/>
      <c r="W34" s="336"/>
      <c r="X34" s="336"/>
      <c r="Y34" s="336"/>
      <c r="Z34" s="336"/>
      <c r="AA34" s="336"/>
      <c r="AB34" s="336"/>
      <c r="AC34" s="336"/>
      <c r="AD34" s="336"/>
      <c r="AE34" s="336"/>
      <c r="AF34" s="336"/>
      <c r="AG34" s="337"/>
    </row>
    <row r="35" spans="2:40" ht="14.65" thickBot="1" x14ac:dyDescent="0.5">
      <c r="P35" s="111" t="s">
        <v>190</v>
      </c>
      <c r="Q35" s="344" t="s">
        <v>102</v>
      </c>
      <c r="R35" s="342" t="s">
        <v>109</v>
      </c>
      <c r="S35" s="335">
        <v>14</v>
      </c>
      <c r="T35" s="335">
        <f>Dimensionamento!AG19</f>
        <v>4</v>
      </c>
      <c r="U35" s="335" t="s">
        <v>44</v>
      </c>
      <c r="V35" s="46">
        <f>IF(U35="Al",$J$8,$J$6)</f>
        <v>1.8509999999999999E-2</v>
      </c>
      <c r="W35" s="125">
        <f>V35*(S35/T35)</f>
        <v>6.4784999999999995E-2</v>
      </c>
      <c r="X35" s="343">
        <f>S35*$J$13</f>
        <v>1.1200000000000001E-3</v>
      </c>
      <c r="Y35" s="126">
        <f>W35+Y14</f>
        <v>0.11851271052631579</v>
      </c>
      <c r="Z35" s="338">
        <f>X35+Z14</f>
        <v>2.2767272727272723E-2</v>
      </c>
      <c r="AA35" s="124"/>
      <c r="AB35" s="127" t="s">
        <v>193</v>
      </c>
      <c r="AC35" s="128">
        <f>SQRT((Y35^2)+(Z35^2))</f>
        <v>0.1206797881326129</v>
      </c>
      <c r="AD35" s="99" t="s">
        <v>140</v>
      </c>
      <c r="AE35" s="340" t="s">
        <v>163</v>
      </c>
      <c r="AF35" s="340"/>
      <c r="AG35" s="341"/>
      <c r="AI35" s="117" t="str">
        <f>R35</f>
        <v>QE-AC</v>
      </c>
      <c r="AJ35" s="114" t="s">
        <v>194</v>
      </c>
      <c r="AK35" s="115">
        <f>($C$18/(SQRT(3)*AC35))</f>
        <v>2009.3432115838486</v>
      </c>
      <c r="AL35" s="116" t="s">
        <v>46</v>
      </c>
      <c r="AM35" s="345" t="s">
        <v>164</v>
      </c>
      <c r="AN35" s="346"/>
    </row>
    <row r="36" spans="2:40" ht="14.65" thickBot="1" x14ac:dyDescent="0.5">
      <c r="P36" s="111" t="s">
        <v>191</v>
      </c>
      <c r="Q36" s="344"/>
      <c r="R36" s="342"/>
      <c r="S36" s="335"/>
      <c r="T36" s="335"/>
      <c r="U36" s="335"/>
      <c r="V36" s="46">
        <f>IF(U35="Al",$J$9,$J$7)</f>
        <v>2.3E-2</v>
      </c>
      <c r="W36" s="125">
        <f>V36*(S35/T35)</f>
        <v>8.0500000000000002E-2</v>
      </c>
      <c r="X36" s="343"/>
      <c r="Y36" s="126">
        <f>W36+Y15</f>
        <v>0.14726052631578948</v>
      </c>
      <c r="Z36" s="338"/>
      <c r="AA36" s="124"/>
      <c r="AB36" s="127" t="s">
        <v>192</v>
      </c>
      <c r="AC36" s="128">
        <f>SQRT((Y36^2)+(Z35^2))</f>
        <v>0.14901010475213197</v>
      </c>
      <c r="AD36" s="99" t="s">
        <v>140</v>
      </c>
      <c r="AE36" s="340" t="s">
        <v>163</v>
      </c>
      <c r="AF36" s="340"/>
      <c r="AG36" s="341"/>
      <c r="AJ36" s="105" t="s">
        <v>195</v>
      </c>
      <c r="AK36" s="96">
        <f>($C$18/(SQRT(3)*AC36))</f>
        <v>1627.3199288263263</v>
      </c>
      <c r="AL36" s="97" t="s">
        <v>46</v>
      </c>
      <c r="AM36" s="347" t="s">
        <v>164</v>
      </c>
      <c r="AN36" s="348"/>
    </row>
    <row r="37" spans="2:40" ht="14.65" thickBot="1" x14ac:dyDescent="0.5">
      <c r="P37" s="339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7"/>
    </row>
    <row r="38" spans="2:40" ht="14.65" thickBot="1" x14ac:dyDescent="0.5">
      <c r="P38" s="111" t="s">
        <v>190</v>
      </c>
      <c r="Q38" s="344" t="s">
        <v>102</v>
      </c>
      <c r="R38" s="342" t="s">
        <v>110</v>
      </c>
      <c r="S38" s="335">
        <v>23</v>
      </c>
      <c r="T38" s="335">
        <f>Dimensionamento!AG20</f>
        <v>4</v>
      </c>
      <c r="U38" s="335" t="s">
        <v>44</v>
      </c>
      <c r="V38" s="46">
        <f>IF(U38="Al",$J$8,$J$6)</f>
        <v>1.8509999999999999E-2</v>
      </c>
      <c r="W38" s="125">
        <f>V38*(S38/T38)</f>
        <v>0.10643249999999999</v>
      </c>
      <c r="X38" s="343">
        <f>S38*$J$13</f>
        <v>1.8400000000000001E-3</v>
      </c>
      <c r="Y38" s="126">
        <f>W38+Y14</f>
        <v>0.16016021052631577</v>
      </c>
      <c r="Z38" s="338">
        <f>X38+Z14</f>
        <v>2.3487272727272725E-2</v>
      </c>
      <c r="AA38" s="124"/>
      <c r="AB38" s="127" t="s">
        <v>193</v>
      </c>
      <c r="AC38" s="128">
        <f>SQRT((Y38^2)+(Z38^2))</f>
        <v>0.16187323749156027</v>
      </c>
      <c r="AD38" s="99" t="s">
        <v>140</v>
      </c>
      <c r="AE38" s="340" t="s">
        <v>163</v>
      </c>
      <c r="AF38" s="340"/>
      <c r="AG38" s="341"/>
      <c r="AI38" s="117" t="str">
        <f>R38</f>
        <v>QE-P</v>
      </c>
      <c r="AJ38" s="114" t="s">
        <v>194</v>
      </c>
      <c r="AK38" s="115">
        <f>($C$18/(SQRT(3)*AC38))</f>
        <v>1498.0061980429939</v>
      </c>
      <c r="AL38" s="116" t="s">
        <v>46</v>
      </c>
      <c r="AM38" s="345" t="s">
        <v>164</v>
      </c>
      <c r="AN38" s="346"/>
    </row>
    <row r="39" spans="2:40" ht="14.65" thickBot="1" x14ac:dyDescent="0.5">
      <c r="P39" s="111" t="s">
        <v>191</v>
      </c>
      <c r="Q39" s="344"/>
      <c r="R39" s="342"/>
      <c r="S39" s="335"/>
      <c r="T39" s="335"/>
      <c r="U39" s="335"/>
      <c r="V39" s="46">
        <f>IF(U38="Al",$J$9,$J$7)</f>
        <v>2.3E-2</v>
      </c>
      <c r="W39" s="125">
        <f>V39*(S38/T38)</f>
        <v>0.13225000000000001</v>
      </c>
      <c r="X39" s="343"/>
      <c r="Y39" s="126">
        <f>W39+Y15</f>
        <v>0.19901052631578947</v>
      </c>
      <c r="Z39" s="338"/>
      <c r="AA39" s="124"/>
      <c r="AB39" s="127" t="s">
        <v>192</v>
      </c>
      <c r="AC39" s="128">
        <f>SQRT((Y39^2)+(Z38^2))</f>
        <v>0.20039172029964916</v>
      </c>
      <c r="AD39" s="99" t="s">
        <v>140</v>
      </c>
      <c r="AE39" s="340" t="s">
        <v>163</v>
      </c>
      <c r="AF39" s="340"/>
      <c r="AG39" s="341"/>
      <c r="AJ39" s="105" t="s">
        <v>195</v>
      </c>
      <c r="AK39" s="96">
        <f>($C$18/(SQRT(3)*AC39))</f>
        <v>1210.0655291398652</v>
      </c>
      <c r="AL39" s="97" t="s">
        <v>46</v>
      </c>
      <c r="AM39" s="347" t="s">
        <v>164</v>
      </c>
      <c r="AN39" s="348"/>
    </row>
    <row r="40" spans="2:40" ht="14.65" thickBot="1" x14ac:dyDescent="0.5">
      <c r="P40" s="339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6"/>
      <c r="AC40" s="336"/>
      <c r="AD40" s="336"/>
      <c r="AE40" s="336"/>
      <c r="AF40" s="336"/>
      <c r="AG40" s="337"/>
    </row>
    <row r="41" spans="2:40" ht="14.65" thickBot="1" x14ac:dyDescent="0.5">
      <c r="P41" s="111" t="s">
        <v>190</v>
      </c>
      <c r="Q41" s="344" t="s">
        <v>102</v>
      </c>
      <c r="R41" s="342" t="s">
        <v>111</v>
      </c>
      <c r="S41" s="335">
        <v>15</v>
      </c>
      <c r="T41" s="335">
        <f>Dimensionamento!AG21</f>
        <v>4</v>
      </c>
      <c r="U41" s="335" t="s">
        <v>44</v>
      </c>
      <c r="V41" s="46">
        <f>IF(U41="Al",$J$8,$J$6)</f>
        <v>1.8509999999999999E-2</v>
      </c>
      <c r="W41" s="125">
        <f>V41*(S41/T41)</f>
        <v>6.9412499999999988E-2</v>
      </c>
      <c r="X41" s="343">
        <f>S41*$J$13</f>
        <v>1.2000000000000001E-3</v>
      </c>
      <c r="Y41" s="126">
        <f>W41+Y14</f>
        <v>0.12314021052631577</v>
      </c>
      <c r="Z41" s="338">
        <f>X41+Z14</f>
        <v>2.2847272727272723E-2</v>
      </c>
      <c r="AA41" s="124"/>
      <c r="AB41" s="127" t="s">
        <v>193</v>
      </c>
      <c r="AC41" s="128">
        <f>SQRT((Y41^2)+(Z41^2))</f>
        <v>0.12524180340261692</v>
      </c>
      <c r="AD41" s="99" t="s">
        <v>140</v>
      </c>
      <c r="AE41" s="340" t="s">
        <v>163</v>
      </c>
      <c r="AF41" s="340"/>
      <c r="AG41" s="341"/>
      <c r="AI41" s="117" t="str">
        <f>R41</f>
        <v>QE-A.L</v>
      </c>
      <c r="AJ41" s="114" t="s">
        <v>194</v>
      </c>
      <c r="AK41" s="115">
        <f>($C$18/(SQRT(3)*AC41))</f>
        <v>1936.1515601952447</v>
      </c>
      <c r="AL41" s="116" t="s">
        <v>46</v>
      </c>
      <c r="AM41" s="345" t="s">
        <v>164</v>
      </c>
      <c r="AN41" s="346"/>
    </row>
    <row r="42" spans="2:40" ht="14.65" thickBot="1" x14ac:dyDescent="0.5">
      <c r="P42" s="111" t="s">
        <v>191</v>
      </c>
      <c r="Q42" s="344"/>
      <c r="R42" s="342"/>
      <c r="S42" s="335"/>
      <c r="T42" s="335"/>
      <c r="U42" s="335"/>
      <c r="V42" s="46">
        <f>IF(U41="Al",$J$9,$J$7)</f>
        <v>2.3E-2</v>
      </c>
      <c r="W42" s="125">
        <f>V42*(S41/T41)</f>
        <v>8.6249999999999993E-2</v>
      </c>
      <c r="X42" s="343"/>
      <c r="Y42" s="126">
        <f>W42+Y15</f>
        <v>0.15301052631578949</v>
      </c>
      <c r="Z42" s="338"/>
      <c r="AA42" s="124"/>
      <c r="AB42" s="127" t="s">
        <v>192</v>
      </c>
      <c r="AC42" s="128">
        <f>SQRT((Y42^2)+(Z41^2))</f>
        <v>0.15470688101861949</v>
      </c>
      <c r="AD42" s="99" t="s">
        <v>140</v>
      </c>
      <c r="AE42" s="340" t="s">
        <v>163</v>
      </c>
      <c r="AF42" s="340"/>
      <c r="AG42" s="341"/>
      <c r="AJ42" s="105" t="s">
        <v>195</v>
      </c>
      <c r="AK42" s="96">
        <f>($C$18/(SQRT(3)*AC42))</f>
        <v>1567.39707673674</v>
      </c>
      <c r="AL42" s="97" t="s">
        <v>46</v>
      </c>
      <c r="AM42" s="347" t="s">
        <v>164</v>
      </c>
      <c r="AN42" s="348"/>
    </row>
    <row r="43" spans="2:40" ht="14.45" customHeight="1" thickBot="1" x14ac:dyDescent="0.5">
      <c r="P43" s="339"/>
      <c r="Q43" s="336"/>
      <c r="R43" s="336"/>
      <c r="S43" s="336"/>
      <c r="T43" s="336"/>
      <c r="U43" s="336"/>
      <c r="V43" s="336"/>
      <c r="W43" s="336"/>
      <c r="X43" s="336"/>
      <c r="Y43" s="336"/>
      <c r="Z43" s="336"/>
      <c r="AA43" s="336"/>
      <c r="AB43" s="336"/>
      <c r="AC43" s="336"/>
      <c r="AD43" s="336"/>
      <c r="AE43" s="336"/>
      <c r="AF43" s="336"/>
      <c r="AG43" s="337"/>
    </row>
    <row r="44" spans="2:40" ht="14.45" customHeight="1" thickBot="1" x14ac:dyDescent="0.5">
      <c r="P44" s="111" t="s">
        <v>190</v>
      </c>
      <c r="Q44" s="344" t="s">
        <v>103</v>
      </c>
      <c r="R44" s="342" t="s">
        <v>112</v>
      </c>
      <c r="S44" s="335">
        <v>50</v>
      </c>
      <c r="T44" s="335">
        <f>Dimensionamento!AG22</f>
        <v>4</v>
      </c>
      <c r="U44" s="335" t="s">
        <v>44</v>
      </c>
      <c r="V44" s="46">
        <f>IF(U44="Al",$J$8,$J$6)</f>
        <v>1.8509999999999999E-2</v>
      </c>
      <c r="W44" s="125">
        <f>V44*(S44/T44)</f>
        <v>0.231375</v>
      </c>
      <c r="X44" s="343">
        <f>S44*$J$13</f>
        <v>4.0000000000000001E-3</v>
      </c>
      <c r="Y44" s="126">
        <f>W44+Y17</f>
        <v>0.24974861052631578</v>
      </c>
      <c r="Z44" s="338">
        <f>X44+Z17</f>
        <v>2.6447272727272726E-2</v>
      </c>
      <c r="AA44" s="124"/>
      <c r="AB44" s="127" t="s">
        <v>193</v>
      </c>
      <c r="AC44" s="128">
        <f>SQRT((Y44^2)+(Z44^2))</f>
        <v>0.25114503119619169</v>
      </c>
      <c r="AD44" s="99" t="s">
        <v>140</v>
      </c>
      <c r="AE44" s="340" t="s">
        <v>163</v>
      </c>
      <c r="AF44" s="340"/>
      <c r="AG44" s="341"/>
      <c r="AI44" s="117" t="str">
        <f>R44</f>
        <v>QE-PIN</v>
      </c>
      <c r="AJ44" s="114" t="s">
        <v>194</v>
      </c>
      <c r="AK44" s="115">
        <f>($C$18/(SQRT(3)*AC44))</f>
        <v>965.52622166040226</v>
      </c>
      <c r="AL44" s="116" t="s">
        <v>46</v>
      </c>
      <c r="AM44" s="345" t="s">
        <v>164</v>
      </c>
      <c r="AN44" s="346"/>
    </row>
    <row r="45" spans="2:40" ht="14.65" thickBot="1" x14ac:dyDescent="0.5">
      <c r="P45" s="111" t="s">
        <v>191</v>
      </c>
      <c r="Q45" s="344"/>
      <c r="R45" s="342"/>
      <c r="S45" s="335"/>
      <c r="T45" s="335"/>
      <c r="U45" s="335"/>
      <c r="V45" s="46">
        <f>IF(U44="Al",$J$9,$J$7)</f>
        <v>2.3E-2</v>
      </c>
      <c r="W45" s="125">
        <f>V45*(S44/T44)</f>
        <v>0.28749999999999998</v>
      </c>
      <c r="X45" s="343"/>
      <c r="Y45" s="126">
        <f>W45+Y18</f>
        <v>0.31033052631578945</v>
      </c>
      <c r="Z45" s="338"/>
      <c r="AA45" s="124"/>
      <c r="AB45" s="127" t="s">
        <v>192</v>
      </c>
      <c r="AC45" s="128">
        <f>SQRT((Y45^2)+(Z44^2))</f>
        <v>0.31145544432253164</v>
      </c>
      <c r="AD45" s="99" t="s">
        <v>140</v>
      </c>
      <c r="AE45" s="340" t="s">
        <v>163</v>
      </c>
      <c r="AF45" s="340"/>
      <c r="AG45" s="341"/>
      <c r="AJ45" s="105" t="s">
        <v>195</v>
      </c>
      <c r="AK45" s="96">
        <f>($C$18/(SQRT(3)*AC45))</f>
        <v>778.56116333780381</v>
      </c>
      <c r="AL45" s="97" t="s">
        <v>46</v>
      </c>
      <c r="AM45" s="347" t="s">
        <v>164</v>
      </c>
      <c r="AN45" s="348"/>
    </row>
    <row r="46" spans="2:40" ht="14.65" thickBot="1" x14ac:dyDescent="0.5">
      <c r="P46" s="122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3"/>
    </row>
    <row r="47" spans="2:40" ht="14.65" thickBot="1" x14ac:dyDescent="0.5">
      <c r="P47" s="111" t="s">
        <v>190</v>
      </c>
      <c r="Q47" s="344" t="s">
        <v>103</v>
      </c>
      <c r="R47" s="342" t="s">
        <v>113</v>
      </c>
      <c r="S47" s="335">
        <v>50</v>
      </c>
      <c r="T47" s="335">
        <f>Dimensionamento!AG23</f>
        <v>4</v>
      </c>
      <c r="U47" s="335" t="s">
        <v>44</v>
      </c>
      <c r="V47" s="46">
        <f>IF(U47="Al",$J$8,$J$6)</f>
        <v>1.8509999999999999E-2</v>
      </c>
      <c r="W47" s="125">
        <f>V47*(S47/T47)</f>
        <v>0.231375</v>
      </c>
      <c r="X47" s="343">
        <f>S47*$J$13</f>
        <v>4.0000000000000001E-3</v>
      </c>
      <c r="Y47" s="126">
        <f>W47+Y17</f>
        <v>0.24974861052631578</v>
      </c>
      <c r="Z47" s="338">
        <f>X47+Z17</f>
        <v>2.6447272727272726E-2</v>
      </c>
      <c r="AA47" s="124"/>
      <c r="AB47" s="127" t="s">
        <v>193</v>
      </c>
      <c r="AC47" s="128">
        <f>SQRT((Y47^2)+(Z47^2))</f>
        <v>0.25114503119619169</v>
      </c>
      <c r="AD47" s="99" t="s">
        <v>140</v>
      </c>
      <c r="AE47" s="340" t="s">
        <v>163</v>
      </c>
      <c r="AF47" s="340"/>
      <c r="AG47" s="341"/>
      <c r="AI47" s="117" t="str">
        <f>R47</f>
        <v>QE-SEC</v>
      </c>
      <c r="AJ47" s="114" t="s">
        <v>194</v>
      </c>
      <c r="AK47" s="115">
        <f>($C$18/(SQRT(3)*AC47))</f>
        <v>965.52622166040226</v>
      </c>
      <c r="AL47" s="116" t="s">
        <v>46</v>
      </c>
      <c r="AM47" s="345" t="s">
        <v>164</v>
      </c>
      <c r="AN47" s="346"/>
    </row>
    <row r="48" spans="2:40" ht="14.65" thickBot="1" x14ac:dyDescent="0.5">
      <c r="P48" s="111" t="s">
        <v>191</v>
      </c>
      <c r="Q48" s="344"/>
      <c r="R48" s="342"/>
      <c r="S48" s="335"/>
      <c r="T48" s="335"/>
      <c r="U48" s="335"/>
      <c r="V48" s="46">
        <f>IF(U47="Al",$J$9,$J$7)</f>
        <v>2.3E-2</v>
      </c>
      <c r="W48" s="125">
        <f>V48*(S47/T47)</f>
        <v>0.28749999999999998</v>
      </c>
      <c r="X48" s="343"/>
      <c r="Y48" s="126">
        <f>W48+Y18</f>
        <v>0.31033052631578945</v>
      </c>
      <c r="Z48" s="338"/>
      <c r="AA48" s="124"/>
      <c r="AB48" s="127" t="s">
        <v>192</v>
      </c>
      <c r="AC48" s="128">
        <f>SQRT((Y48^2)+(Z47^2))</f>
        <v>0.31145544432253164</v>
      </c>
      <c r="AD48" s="99" t="s">
        <v>140</v>
      </c>
      <c r="AE48" s="340" t="s">
        <v>163</v>
      </c>
      <c r="AF48" s="340"/>
      <c r="AG48" s="341"/>
      <c r="AJ48" s="105" t="s">
        <v>195</v>
      </c>
      <c r="AK48" s="96">
        <f>($C$18/(SQRT(3)*AC48))</f>
        <v>778.56116333780381</v>
      </c>
      <c r="AL48" s="97" t="s">
        <v>46</v>
      </c>
      <c r="AM48" s="347" t="s">
        <v>164</v>
      </c>
      <c r="AN48" s="348"/>
    </row>
    <row r="49" spans="16:40" ht="14.65" thickBot="1" x14ac:dyDescent="0.5">
      <c r="P49" s="339"/>
      <c r="Q49" s="336"/>
      <c r="R49" s="336"/>
      <c r="S49" s="336"/>
      <c r="T49" s="336"/>
      <c r="U49" s="33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7"/>
    </row>
    <row r="50" spans="16:40" ht="14.65" thickBot="1" x14ac:dyDescent="0.5">
      <c r="P50" s="111" t="s">
        <v>190</v>
      </c>
      <c r="Q50" s="344" t="s">
        <v>103</v>
      </c>
      <c r="R50" s="342" t="s">
        <v>114</v>
      </c>
      <c r="S50" s="335">
        <v>28</v>
      </c>
      <c r="T50" s="335">
        <f>Dimensionamento!AG24</f>
        <v>10</v>
      </c>
      <c r="U50" s="335" t="s">
        <v>44</v>
      </c>
      <c r="V50" s="46">
        <f>IF(U50="Al",$J$8,$J$6)</f>
        <v>1.8509999999999999E-2</v>
      </c>
      <c r="W50" s="125">
        <f>V50*(S50/T50)</f>
        <v>5.1827999999999992E-2</v>
      </c>
      <c r="X50" s="343">
        <f>S50*$J$13</f>
        <v>2.2400000000000002E-3</v>
      </c>
      <c r="Y50" s="126">
        <f>W50+Y17</f>
        <v>7.020161052631578E-2</v>
      </c>
      <c r="Z50" s="338">
        <f>X50+Z17</f>
        <v>2.4687272727272724E-2</v>
      </c>
      <c r="AA50" s="124"/>
      <c r="AB50" s="127" t="s">
        <v>193</v>
      </c>
      <c r="AC50" s="128">
        <f>SQRT((Y50^2)+(Z50^2))</f>
        <v>7.4415909288264928E-2</v>
      </c>
      <c r="AD50" s="99" t="s">
        <v>140</v>
      </c>
      <c r="AE50" s="340" t="s">
        <v>163</v>
      </c>
      <c r="AF50" s="340"/>
      <c r="AG50" s="341"/>
      <c r="AI50" s="117" t="str">
        <f>R50</f>
        <v>QE-AP1</v>
      </c>
      <c r="AJ50" s="114" t="s">
        <v>194</v>
      </c>
      <c r="AK50" s="115">
        <f>($C$18/(SQRT(3)*AC50))</f>
        <v>3258.53860254963</v>
      </c>
      <c r="AL50" s="116" t="s">
        <v>46</v>
      </c>
      <c r="AM50" s="345" t="s">
        <v>164</v>
      </c>
      <c r="AN50" s="346"/>
    </row>
    <row r="51" spans="16:40" ht="14.65" thickBot="1" x14ac:dyDescent="0.5">
      <c r="P51" s="111" t="s">
        <v>191</v>
      </c>
      <c r="Q51" s="344"/>
      <c r="R51" s="342"/>
      <c r="S51" s="335"/>
      <c r="T51" s="335"/>
      <c r="U51" s="335"/>
      <c r="V51" s="46">
        <f>IF(U50="Al",$J$9,$J$7)</f>
        <v>2.3E-2</v>
      </c>
      <c r="W51" s="125">
        <f>V51*(S50/T50)</f>
        <v>6.4399999999999999E-2</v>
      </c>
      <c r="X51" s="343"/>
      <c r="Y51" s="126">
        <f>W51+Y18</f>
        <v>8.7230526315789481E-2</v>
      </c>
      <c r="Z51" s="338"/>
      <c r="AA51" s="124"/>
      <c r="AB51" s="127" t="s">
        <v>192</v>
      </c>
      <c r="AC51" s="128">
        <f>SQRT((Y51^2)+(Z50^2))</f>
        <v>9.0656638786359073E-2</v>
      </c>
      <c r="AD51" s="99" t="s">
        <v>140</v>
      </c>
      <c r="AE51" s="340" t="s">
        <v>163</v>
      </c>
      <c r="AF51" s="340"/>
      <c r="AG51" s="341"/>
      <c r="AJ51" s="105" t="s">
        <v>195</v>
      </c>
      <c r="AK51" s="96">
        <f>($C$18/(SQRT(3)*AC51))</f>
        <v>2674.7860532430132</v>
      </c>
      <c r="AL51" s="97" t="s">
        <v>46</v>
      </c>
      <c r="AM51" s="347" t="s">
        <v>164</v>
      </c>
      <c r="AN51" s="348"/>
    </row>
    <row r="52" spans="16:40" ht="14.65" thickBot="1" x14ac:dyDescent="0.5">
      <c r="P52" s="339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7"/>
    </row>
    <row r="53" spans="16:40" ht="14.65" thickBot="1" x14ac:dyDescent="0.5">
      <c r="P53" s="111" t="s">
        <v>190</v>
      </c>
      <c r="Q53" s="344" t="s">
        <v>114</v>
      </c>
      <c r="R53" s="342" t="s">
        <v>115</v>
      </c>
      <c r="S53" s="335">
        <v>9</v>
      </c>
      <c r="T53" s="335">
        <f>Dimensionamento!AG25</f>
        <v>6</v>
      </c>
      <c r="U53" s="335" t="s">
        <v>44</v>
      </c>
      <c r="V53" s="46">
        <f>IF(U53="Al",$J$8,$J$6)</f>
        <v>1.8509999999999999E-2</v>
      </c>
      <c r="W53" s="125">
        <f>V53*(S53/T53)</f>
        <v>2.7764999999999998E-2</v>
      </c>
      <c r="X53" s="343">
        <f>S53*$J$13</f>
        <v>7.2000000000000005E-4</v>
      </c>
      <c r="Y53" s="126">
        <f>W53+Y50</f>
        <v>9.7966610526315778E-2</v>
      </c>
      <c r="Z53" s="338">
        <f>X53+Z50</f>
        <v>2.5407272727272723E-2</v>
      </c>
      <c r="AA53" s="124"/>
      <c r="AB53" s="127" t="s">
        <v>193</v>
      </c>
      <c r="AC53" s="128">
        <f>SQRT((Y53^2)+(Z53^2))</f>
        <v>0.10120763946191444</v>
      </c>
      <c r="AD53" s="99" t="s">
        <v>140</v>
      </c>
      <c r="AE53" s="340" t="s">
        <v>163</v>
      </c>
      <c r="AF53" s="340"/>
      <c r="AG53" s="341"/>
      <c r="AI53" s="117" t="str">
        <f>R53</f>
        <v>QE-AVAC.1</v>
      </c>
      <c r="AJ53" s="114" t="s">
        <v>194</v>
      </c>
      <c r="AK53" s="115">
        <f>($C$18/(SQRT(3)*AC53))</f>
        <v>2395.9368516928353</v>
      </c>
      <c r="AL53" s="116" t="s">
        <v>46</v>
      </c>
      <c r="AM53" s="345" t="s">
        <v>164</v>
      </c>
      <c r="AN53" s="346"/>
    </row>
    <row r="54" spans="16:40" ht="14.65" thickBot="1" x14ac:dyDescent="0.5">
      <c r="P54" s="111" t="s">
        <v>191</v>
      </c>
      <c r="Q54" s="344"/>
      <c r="R54" s="342"/>
      <c r="S54" s="335"/>
      <c r="T54" s="335"/>
      <c r="U54" s="335"/>
      <c r="V54" s="46">
        <f>IF(U53="Al",$J$9,$J$7)</f>
        <v>2.3E-2</v>
      </c>
      <c r="W54" s="125">
        <f>V54*(S53/T53)</f>
        <v>3.4500000000000003E-2</v>
      </c>
      <c r="X54" s="343"/>
      <c r="Y54" s="126">
        <f>W54+Y51</f>
        <v>0.12173052631578948</v>
      </c>
      <c r="Z54" s="338"/>
      <c r="AA54" s="124"/>
      <c r="AB54" s="127" t="s">
        <v>192</v>
      </c>
      <c r="AC54" s="128">
        <f>SQRT((Y54^2)+(Z53^2))</f>
        <v>0.124353731526469</v>
      </c>
      <c r="AD54" s="99" t="s">
        <v>140</v>
      </c>
      <c r="AE54" s="340" t="s">
        <v>163</v>
      </c>
      <c r="AF54" s="340"/>
      <c r="AG54" s="341"/>
      <c r="AJ54" s="105" t="s">
        <v>195</v>
      </c>
      <c r="AK54" s="96">
        <f>($C$18/(SQRT(3)*AC54))</f>
        <v>1949.9785819296371</v>
      </c>
      <c r="AL54" s="97" t="s">
        <v>46</v>
      </c>
      <c r="AM54" s="347" t="s">
        <v>164</v>
      </c>
      <c r="AN54" s="348"/>
    </row>
    <row r="55" spans="16:40" ht="14.65" thickBot="1" x14ac:dyDescent="0.5">
      <c r="P55" s="339"/>
      <c r="Q55" s="336"/>
      <c r="R55" s="336"/>
      <c r="S55" s="336"/>
      <c r="T55" s="336"/>
      <c r="U55" s="336"/>
      <c r="V55" s="336"/>
      <c r="W55" s="336"/>
      <c r="X55" s="336"/>
      <c r="Y55" s="336"/>
      <c r="Z55" s="336"/>
      <c r="AA55" s="336"/>
      <c r="AB55" s="336"/>
      <c r="AC55" s="336"/>
      <c r="AD55" s="336"/>
      <c r="AE55" s="336"/>
      <c r="AF55" s="336"/>
      <c r="AG55" s="337"/>
    </row>
    <row r="56" spans="16:40" ht="14.65" thickBot="1" x14ac:dyDescent="0.5">
      <c r="P56" s="111" t="s">
        <v>190</v>
      </c>
      <c r="Q56" s="344" t="s">
        <v>114</v>
      </c>
      <c r="R56" s="342" t="s">
        <v>116</v>
      </c>
      <c r="S56" s="335">
        <v>23</v>
      </c>
      <c r="T56" s="335">
        <f>Dimensionamento!AG26</f>
        <v>4</v>
      </c>
      <c r="U56" s="335" t="s">
        <v>44</v>
      </c>
      <c r="V56" s="46">
        <f>IF(U56="Al",$J$8,$J$6)</f>
        <v>1.8509999999999999E-2</v>
      </c>
      <c r="W56" s="125">
        <f>V56*(S56/T56)</f>
        <v>0.10643249999999999</v>
      </c>
      <c r="X56" s="343">
        <f>S56*$J$13</f>
        <v>1.8400000000000001E-3</v>
      </c>
      <c r="Y56" s="126">
        <f>W56+Y50</f>
        <v>0.17663411052631578</v>
      </c>
      <c r="Z56" s="338">
        <f>X56+Z50</f>
        <v>2.6527272727272726E-2</v>
      </c>
      <c r="AA56" s="124"/>
      <c r="AB56" s="127" t="s">
        <v>193</v>
      </c>
      <c r="AC56" s="128">
        <f>SQRT((Y56^2)+(Z56^2))</f>
        <v>0.17861496353824852</v>
      </c>
      <c r="AD56" s="99" t="s">
        <v>140</v>
      </c>
      <c r="AE56" s="340" t="s">
        <v>163</v>
      </c>
      <c r="AF56" s="340"/>
      <c r="AG56" s="341"/>
      <c r="AI56" s="117" t="str">
        <f>R56</f>
        <v>QE-M1</v>
      </c>
      <c r="AJ56" s="114" t="s">
        <v>194</v>
      </c>
      <c r="AK56" s="115">
        <f>($C$18/(SQRT(3)*AC56))</f>
        <v>1357.5968567029759</v>
      </c>
      <c r="AL56" s="116" t="s">
        <v>46</v>
      </c>
      <c r="AM56" s="345" t="s">
        <v>164</v>
      </c>
      <c r="AN56" s="346"/>
    </row>
    <row r="57" spans="16:40" ht="14.65" thickBot="1" x14ac:dyDescent="0.5">
      <c r="P57" s="111" t="s">
        <v>191</v>
      </c>
      <c r="Q57" s="344"/>
      <c r="R57" s="342"/>
      <c r="S57" s="335"/>
      <c r="T57" s="335"/>
      <c r="U57" s="335"/>
      <c r="V57" s="46">
        <f>IF(U56="Al",$J$9,$J$7)</f>
        <v>2.3E-2</v>
      </c>
      <c r="W57" s="125">
        <f>V57*(S56/T56)</f>
        <v>0.13225000000000001</v>
      </c>
      <c r="X57" s="343"/>
      <c r="Y57" s="126">
        <f>W57+Y51</f>
        <v>0.21948052631578949</v>
      </c>
      <c r="Z57" s="338"/>
      <c r="AA57" s="124"/>
      <c r="AB57" s="127" t="s">
        <v>192</v>
      </c>
      <c r="AC57" s="128">
        <f>SQRT((Y57^2)+(Z56^2))</f>
        <v>0.22107780899539209</v>
      </c>
      <c r="AD57" s="99" t="s">
        <v>140</v>
      </c>
      <c r="AE57" s="340" t="s">
        <v>163</v>
      </c>
      <c r="AF57" s="340"/>
      <c r="AG57" s="341"/>
      <c r="AJ57" s="105" t="s">
        <v>195</v>
      </c>
      <c r="AK57" s="96">
        <f>($C$18/(SQRT(3)*AC57))</f>
        <v>1096.8405836910433</v>
      </c>
      <c r="AL57" s="97" t="s">
        <v>46</v>
      </c>
      <c r="AM57" s="347" t="s">
        <v>164</v>
      </c>
      <c r="AN57" s="348"/>
    </row>
    <row r="58" spans="16:40" ht="14.65" thickBot="1" x14ac:dyDescent="0.5">
      <c r="P58" s="339"/>
      <c r="Q58" s="336"/>
      <c r="R58" s="336"/>
      <c r="S58" s="336"/>
      <c r="T58" s="336"/>
      <c r="U58" s="336"/>
      <c r="V58" s="336"/>
      <c r="W58" s="336"/>
      <c r="X58" s="336"/>
      <c r="Y58" s="336"/>
      <c r="Z58" s="336"/>
      <c r="AA58" s="336"/>
      <c r="AB58" s="336"/>
      <c r="AC58" s="336"/>
      <c r="AD58" s="336"/>
      <c r="AE58" s="336"/>
      <c r="AF58" s="336"/>
      <c r="AG58" s="337"/>
    </row>
    <row r="59" spans="16:40" ht="14.65" thickBot="1" x14ac:dyDescent="0.5">
      <c r="P59" s="111" t="s">
        <v>190</v>
      </c>
      <c r="Q59" s="344" t="s">
        <v>114</v>
      </c>
      <c r="R59" s="342" t="s">
        <v>117</v>
      </c>
      <c r="S59" s="335">
        <v>27</v>
      </c>
      <c r="T59" s="335">
        <f>Dimensionamento!AG27</f>
        <v>4</v>
      </c>
      <c r="U59" s="335" t="s">
        <v>44</v>
      </c>
      <c r="V59" s="46">
        <f>IF(U59="Al",$J$8,$J$6)</f>
        <v>1.8509999999999999E-2</v>
      </c>
      <c r="W59" s="125">
        <f>V59*(S59/T59)</f>
        <v>0.12494249999999998</v>
      </c>
      <c r="X59" s="343">
        <f>S59*$J$13</f>
        <v>2.16E-3</v>
      </c>
      <c r="Y59" s="126">
        <f>W59+Y50</f>
        <v>0.19514411052631575</v>
      </c>
      <c r="Z59" s="338">
        <f>X59+Z50</f>
        <v>2.6847272727272723E-2</v>
      </c>
      <c r="AA59" s="124"/>
      <c r="AB59" s="127" t="s">
        <v>193</v>
      </c>
      <c r="AC59" s="128">
        <f>SQRT((Y59^2)+(Z59^2))</f>
        <v>0.1969822325134922</v>
      </c>
      <c r="AD59" s="99" t="s">
        <v>140</v>
      </c>
      <c r="AE59" s="340" t="s">
        <v>163</v>
      </c>
      <c r="AF59" s="340"/>
      <c r="AG59" s="341"/>
      <c r="AI59" s="117" t="str">
        <f>R59</f>
        <v>QE-M2</v>
      </c>
      <c r="AJ59" s="114" t="s">
        <v>194</v>
      </c>
      <c r="AK59" s="115">
        <f>($C$18/(SQRT(3)*AC59))</f>
        <v>1231.0100762160557</v>
      </c>
      <c r="AL59" s="116" t="s">
        <v>46</v>
      </c>
      <c r="AM59" s="345" t="s">
        <v>164</v>
      </c>
      <c r="AN59" s="346"/>
    </row>
    <row r="60" spans="16:40" ht="14.65" thickBot="1" x14ac:dyDescent="0.5">
      <c r="P60" s="111" t="s">
        <v>191</v>
      </c>
      <c r="Q60" s="344"/>
      <c r="R60" s="342"/>
      <c r="S60" s="335"/>
      <c r="T60" s="335"/>
      <c r="U60" s="335"/>
      <c r="V60" s="46">
        <f>IF(U59="Al",$J$9,$J$7)</f>
        <v>2.3E-2</v>
      </c>
      <c r="W60" s="125">
        <f>V60*(S59/T59)</f>
        <v>0.15525</v>
      </c>
      <c r="X60" s="343"/>
      <c r="Y60" s="126">
        <f>W60+Y51</f>
        <v>0.24248052631578948</v>
      </c>
      <c r="Z60" s="338"/>
      <c r="AA60" s="124"/>
      <c r="AB60" s="127" t="s">
        <v>192</v>
      </c>
      <c r="AC60" s="128">
        <f>SQRT((Y60^2)+(Z59^2))</f>
        <v>0.24396225465279425</v>
      </c>
      <c r="AD60" s="99" t="s">
        <v>140</v>
      </c>
      <c r="AE60" s="340" t="s">
        <v>163</v>
      </c>
      <c r="AF60" s="340"/>
      <c r="AG60" s="341"/>
      <c r="AJ60" s="105" t="s">
        <v>195</v>
      </c>
      <c r="AK60" s="96">
        <f>($C$18/(SQRT(3)*AC60))</f>
        <v>993.95340236033303</v>
      </c>
      <c r="AL60" s="97" t="s">
        <v>46</v>
      </c>
      <c r="AM60" s="347" t="s">
        <v>164</v>
      </c>
      <c r="AN60" s="348"/>
    </row>
    <row r="61" spans="16:40" ht="14.65" thickBot="1" x14ac:dyDescent="0.5">
      <c r="P61" s="339"/>
      <c r="Q61" s="336"/>
      <c r="R61" s="336"/>
      <c r="S61" s="336"/>
      <c r="T61" s="336"/>
      <c r="U61" s="336"/>
      <c r="V61" s="336"/>
      <c r="W61" s="336"/>
      <c r="X61" s="336"/>
      <c r="Y61" s="336"/>
      <c r="Z61" s="336"/>
      <c r="AA61" s="336"/>
      <c r="AB61" s="336"/>
      <c r="AC61" s="336"/>
      <c r="AD61" s="336"/>
      <c r="AE61" s="336"/>
      <c r="AF61" s="336"/>
      <c r="AG61" s="337"/>
    </row>
    <row r="62" spans="16:40" ht="14.65" thickBot="1" x14ac:dyDescent="0.5">
      <c r="P62" s="111" t="s">
        <v>190</v>
      </c>
      <c r="Q62" s="344" t="s">
        <v>114</v>
      </c>
      <c r="R62" s="342" t="s">
        <v>118</v>
      </c>
      <c r="S62" s="335">
        <v>22</v>
      </c>
      <c r="T62" s="335">
        <f>Dimensionamento!AG28</f>
        <v>4</v>
      </c>
      <c r="U62" s="335" t="s">
        <v>44</v>
      </c>
      <c r="V62" s="46">
        <f>IF(U62="Al",$J$8,$J$6)</f>
        <v>1.8509999999999999E-2</v>
      </c>
      <c r="W62" s="125">
        <f>V62*(S62/T62)</f>
        <v>0.10180499999999999</v>
      </c>
      <c r="X62" s="343">
        <f>S62*$J$13</f>
        <v>1.7600000000000001E-3</v>
      </c>
      <c r="Y62" s="126">
        <f>W62+Y50</f>
        <v>0.17200661052631577</v>
      </c>
      <c r="Z62" s="338">
        <f>X62+Z50</f>
        <v>2.6447272727272726E-2</v>
      </c>
      <c r="AA62" s="124"/>
      <c r="AB62" s="127" t="s">
        <v>193</v>
      </c>
      <c r="AC62" s="128">
        <f>SQRT((Y62^2)+(Z62^2))</f>
        <v>0.17402796413066041</v>
      </c>
      <c r="AD62" s="99" t="s">
        <v>140</v>
      </c>
      <c r="AE62" s="340" t="s">
        <v>163</v>
      </c>
      <c r="AF62" s="340"/>
      <c r="AG62" s="341"/>
      <c r="AI62" s="117" t="str">
        <f>R62</f>
        <v>QE-M3</v>
      </c>
      <c r="AJ62" s="114" t="s">
        <v>194</v>
      </c>
      <c r="AK62" s="115">
        <f>($C$18/(SQRT(3)*AC62))</f>
        <v>1393.3801631879301</v>
      </c>
      <c r="AL62" s="116" t="s">
        <v>46</v>
      </c>
      <c r="AM62" s="345" t="s">
        <v>164</v>
      </c>
      <c r="AN62" s="346"/>
    </row>
    <row r="63" spans="16:40" ht="14.65" thickBot="1" x14ac:dyDescent="0.5">
      <c r="P63" s="111" t="s">
        <v>191</v>
      </c>
      <c r="Q63" s="344"/>
      <c r="R63" s="342"/>
      <c r="S63" s="335"/>
      <c r="T63" s="335"/>
      <c r="U63" s="335"/>
      <c r="V63" s="46">
        <f>IF(U62="Al",$J$9,$J$7)</f>
        <v>2.3E-2</v>
      </c>
      <c r="W63" s="125">
        <f>V63*(S62/T62)</f>
        <v>0.1265</v>
      </c>
      <c r="X63" s="343"/>
      <c r="Y63" s="126">
        <f>W63+Y51</f>
        <v>0.21373052631578948</v>
      </c>
      <c r="Z63" s="338"/>
      <c r="AA63" s="124"/>
      <c r="AB63" s="127" t="s">
        <v>192</v>
      </c>
      <c r="AC63" s="128">
        <f>SQRT((Y63^2)+(Z62^2))</f>
        <v>0.21536061876289064</v>
      </c>
      <c r="AD63" s="99" t="s">
        <v>140</v>
      </c>
      <c r="AE63" s="340" t="s">
        <v>163</v>
      </c>
      <c r="AF63" s="340"/>
      <c r="AG63" s="341"/>
      <c r="AJ63" s="105" t="s">
        <v>195</v>
      </c>
      <c r="AK63" s="96">
        <f>($C$18/(SQRT(3)*AC63))</f>
        <v>1125.9584712032151</v>
      </c>
      <c r="AL63" s="97" t="s">
        <v>46</v>
      </c>
      <c r="AM63" s="347" t="s">
        <v>164</v>
      </c>
      <c r="AN63" s="348"/>
    </row>
    <row r="64" spans="16:40" ht="14.65" thickBot="1" x14ac:dyDescent="0.5">
      <c r="P64" s="339"/>
      <c r="Q64" s="336"/>
      <c r="R64" s="336"/>
      <c r="S64" s="336"/>
      <c r="T64" s="336"/>
      <c r="U64" s="336"/>
      <c r="V64" s="336"/>
      <c r="W64" s="336"/>
      <c r="X64" s="336"/>
      <c r="Y64" s="336"/>
      <c r="Z64" s="336"/>
      <c r="AA64" s="336"/>
      <c r="AB64" s="336"/>
      <c r="AC64" s="336"/>
      <c r="AD64" s="336"/>
      <c r="AE64" s="336"/>
      <c r="AF64" s="336"/>
      <c r="AG64" s="337"/>
    </row>
    <row r="65" spans="16:40" ht="14.65" thickBot="1" x14ac:dyDescent="0.5">
      <c r="P65" s="111" t="s">
        <v>190</v>
      </c>
      <c r="Q65" s="344" t="s">
        <v>114</v>
      </c>
      <c r="R65" s="342" t="s">
        <v>119</v>
      </c>
      <c r="S65" s="335">
        <v>21</v>
      </c>
      <c r="T65" s="335">
        <f>Dimensionamento!AG29</f>
        <v>4</v>
      </c>
      <c r="U65" s="335" t="s">
        <v>44</v>
      </c>
      <c r="V65" s="46">
        <f>IF(U65="Al",$J$8,$J$6)</f>
        <v>1.8509999999999999E-2</v>
      </c>
      <c r="W65" s="125">
        <f>V65*(S65/T65)</f>
        <v>9.71775E-2</v>
      </c>
      <c r="X65" s="343">
        <f>S65*$J$13</f>
        <v>1.6800000000000001E-3</v>
      </c>
      <c r="Y65" s="126">
        <f>W65+Y50</f>
        <v>0.16737911052631577</v>
      </c>
      <c r="Z65" s="338">
        <f>X65+Z50</f>
        <v>2.6367272727272725E-2</v>
      </c>
      <c r="AA65" s="124"/>
      <c r="AB65" s="127" t="s">
        <v>193</v>
      </c>
      <c r="AC65" s="128">
        <f>SQRT((Y65^2)+(Z65^2))</f>
        <v>0.16944320497339221</v>
      </c>
      <c r="AD65" s="99" t="s">
        <v>140</v>
      </c>
      <c r="AE65" s="340" t="s">
        <v>163</v>
      </c>
      <c r="AF65" s="340"/>
      <c r="AG65" s="341"/>
      <c r="AI65" s="117" t="str">
        <f>R65</f>
        <v>QE-M4</v>
      </c>
      <c r="AJ65" s="114" t="s">
        <v>194</v>
      </c>
      <c r="AK65" s="115">
        <f>($C$18/(SQRT(3)*AC65))</f>
        <v>1431.0819551466864</v>
      </c>
      <c r="AL65" s="116" t="s">
        <v>46</v>
      </c>
      <c r="AM65" s="345" t="s">
        <v>164</v>
      </c>
      <c r="AN65" s="346"/>
    </row>
    <row r="66" spans="16:40" ht="14.65" thickBot="1" x14ac:dyDescent="0.5">
      <c r="P66" s="111" t="s">
        <v>191</v>
      </c>
      <c r="Q66" s="344"/>
      <c r="R66" s="342"/>
      <c r="S66" s="335"/>
      <c r="T66" s="335"/>
      <c r="U66" s="335"/>
      <c r="V66" s="46">
        <f>IF(U65="Al",$J$9,$J$7)</f>
        <v>2.3E-2</v>
      </c>
      <c r="W66" s="125">
        <f>V66*(S65/T65)</f>
        <v>0.12075</v>
      </c>
      <c r="X66" s="343"/>
      <c r="Y66" s="126">
        <f>W66+Y51</f>
        <v>0.20798052631578948</v>
      </c>
      <c r="Z66" s="338"/>
      <c r="AA66" s="124"/>
      <c r="AB66" s="127" t="s">
        <v>192</v>
      </c>
      <c r="AC66" s="128">
        <f>SQRT((Y66^2)+(Z65^2))</f>
        <v>0.20964525369697065</v>
      </c>
      <c r="AD66" s="99" t="s">
        <v>140</v>
      </c>
      <c r="AE66" s="340" t="s">
        <v>163</v>
      </c>
      <c r="AF66" s="340"/>
      <c r="AG66" s="341"/>
      <c r="AJ66" s="105" t="s">
        <v>195</v>
      </c>
      <c r="AK66" s="96">
        <f>($C$18/(SQRT(3)*AC66))</f>
        <v>1156.654437834987</v>
      </c>
      <c r="AL66" s="97" t="s">
        <v>46</v>
      </c>
      <c r="AM66" s="347" t="s">
        <v>164</v>
      </c>
      <c r="AN66" s="348"/>
    </row>
    <row r="67" spans="16:40" ht="14.65" thickBot="1" x14ac:dyDescent="0.5">
      <c r="P67" s="339"/>
      <c r="Q67" s="336"/>
      <c r="R67" s="336"/>
      <c r="S67" s="336"/>
      <c r="T67" s="336"/>
      <c r="U67" s="336"/>
      <c r="V67" s="336"/>
      <c r="W67" s="336"/>
      <c r="X67" s="336"/>
      <c r="Y67" s="336"/>
      <c r="Z67" s="336"/>
      <c r="AA67" s="336"/>
      <c r="AB67" s="336"/>
      <c r="AC67" s="336"/>
      <c r="AD67" s="336"/>
      <c r="AE67" s="336"/>
      <c r="AF67" s="336"/>
      <c r="AG67" s="337"/>
    </row>
    <row r="68" spans="16:40" ht="14.65" thickBot="1" x14ac:dyDescent="0.5">
      <c r="P68" s="111" t="s">
        <v>190</v>
      </c>
      <c r="Q68" s="344" t="s">
        <v>114</v>
      </c>
      <c r="R68" s="342" t="s">
        <v>120</v>
      </c>
      <c r="S68" s="335">
        <v>13</v>
      </c>
      <c r="T68" s="335">
        <f>Dimensionamento!AG30</f>
        <v>4</v>
      </c>
      <c r="U68" s="335" t="s">
        <v>44</v>
      </c>
      <c r="V68" s="46">
        <f>IF(U68="Al",$J$8,$J$6)</f>
        <v>1.8509999999999999E-2</v>
      </c>
      <c r="W68" s="125">
        <f>V68*(S68/T68)</f>
        <v>6.0157499999999996E-2</v>
      </c>
      <c r="X68" s="343">
        <f>S68*$J$13</f>
        <v>1.0400000000000001E-3</v>
      </c>
      <c r="Y68" s="126">
        <f>W68+Y50</f>
        <v>0.13035911052631577</v>
      </c>
      <c r="Z68" s="338">
        <f>X68+Z50</f>
        <v>2.5727272727272724E-2</v>
      </c>
      <c r="AA68" s="124"/>
      <c r="AB68" s="127" t="s">
        <v>193</v>
      </c>
      <c r="AC68" s="128">
        <f>SQRT((Y68^2)+(Z68^2))</f>
        <v>0.13287358751533609</v>
      </c>
      <c r="AD68" s="99" t="s">
        <v>140</v>
      </c>
      <c r="AE68" s="340" t="s">
        <v>163</v>
      </c>
      <c r="AF68" s="340"/>
      <c r="AG68" s="341"/>
      <c r="AI68" s="117" t="str">
        <f>R68</f>
        <v>QE-M5</v>
      </c>
      <c r="AJ68" s="114" t="s">
        <v>194</v>
      </c>
      <c r="AK68" s="115">
        <f>($C$18/(SQRT(3)*AC68))</f>
        <v>1824.9459324010145</v>
      </c>
      <c r="AL68" s="116" t="s">
        <v>46</v>
      </c>
      <c r="AM68" s="345" t="s">
        <v>164</v>
      </c>
      <c r="AN68" s="346"/>
    </row>
    <row r="69" spans="16:40" ht="14.65" thickBot="1" x14ac:dyDescent="0.5">
      <c r="P69" s="111" t="s">
        <v>191</v>
      </c>
      <c r="Q69" s="344"/>
      <c r="R69" s="342"/>
      <c r="S69" s="335"/>
      <c r="T69" s="335"/>
      <c r="U69" s="335"/>
      <c r="V69" s="46">
        <f>IF(U68="Al",$J$9,$J$7)</f>
        <v>2.3E-2</v>
      </c>
      <c r="W69" s="125">
        <f>V69*(S68/T68)</f>
        <v>7.4749999999999997E-2</v>
      </c>
      <c r="X69" s="343"/>
      <c r="Y69" s="126">
        <f>W69+Y51</f>
        <v>0.16198052631578946</v>
      </c>
      <c r="Z69" s="338"/>
      <c r="AA69" s="124"/>
      <c r="AB69" s="127" t="s">
        <v>192</v>
      </c>
      <c r="AC69" s="128">
        <f>SQRT((Y69^2)+(Z68^2))</f>
        <v>0.16401092484198618</v>
      </c>
      <c r="AD69" s="99" t="s">
        <v>140</v>
      </c>
      <c r="AE69" s="340" t="s">
        <v>163</v>
      </c>
      <c r="AF69" s="340"/>
      <c r="AG69" s="341"/>
      <c r="AJ69" s="105" t="s">
        <v>195</v>
      </c>
      <c r="AK69" s="96">
        <f>($C$18/(SQRT(3)*AC69))</f>
        <v>1478.4814688001018</v>
      </c>
      <c r="AL69" s="97" t="s">
        <v>46</v>
      </c>
      <c r="AM69" s="347" t="s">
        <v>164</v>
      </c>
      <c r="AN69" s="348"/>
    </row>
    <row r="70" spans="16:40" ht="14.65" thickBot="1" x14ac:dyDescent="0.5">
      <c r="P70" s="339"/>
      <c r="Q70" s="336"/>
      <c r="R70" s="336"/>
      <c r="S70" s="336"/>
      <c r="T70" s="336"/>
      <c r="U70" s="336"/>
      <c r="V70" s="336"/>
      <c r="W70" s="336"/>
      <c r="X70" s="336"/>
      <c r="Y70" s="336"/>
      <c r="Z70" s="336"/>
      <c r="AA70" s="336"/>
      <c r="AB70" s="336"/>
      <c r="AC70" s="336"/>
      <c r="AD70" s="336"/>
      <c r="AE70" s="336"/>
      <c r="AF70" s="336"/>
      <c r="AG70" s="337"/>
    </row>
    <row r="71" spans="16:40" ht="14.65" thickBot="1" x14ac:dyDescent="0.5">
      <c r="P71" s="111" t="s">
        <v>190</v>
      </c>
      <c r="Q71" s="344" t="s">
        <v>114</v>
      </c>
      <c r="R71" s="342" t="s">
        <v>121</v>
      </c>
      <c r="S71" s="335">
        <v>15</v>
      </c>
      <c r="T71" s="335">
        <f>Dimensionamento!AG31</f>
        <v>4</v>
      </c>
      <c r="U71" s="335" t="s">
        <v>44</v>
      </c>
      <c r="V71" s="46">
        <f>IF(U71="Al",$J$8,$J$6)</f>
        <v>1.8509999999999999E-2</v>
      </c>
      <c r="W71" s="125">
        <f>V71*(S71/T71)</f>
        <v>6.9412499999999988E-2</v>
      </c>
      <c r="X71" s="343">
        <f>S71*$J$13</f>
        <v>1.2000000000000001E-3</v>
      </c>
      <c r="Y71" s="126">
        <f>W71+Y50</f>
        <v>0.13961411052631578</v>
      </c>
      <c r="Z71" s="338">
        <f>X71+Z50</f>
        <v>2.5887272727272724E-2</v>
      </c>
      <c r="AA71" s="124"/>
      <c r="AB71" s="127" t="s">
        <v>193</v>
      </c>
      <c r="AC71" s="128">
        <f>SQRT((Y71^2)+(Z71^2))</f>
        <v>0.14199384052595562</v>
      </c>
      <c r="AD71" s="99" t="s">
        <v>140</v>
      </c>
      <c r="AE71" s="340" t="s">
        <v>163</v>
      </c>
      <c r="AF71" s="340"/>
      <c r="AG71" s="341"/>
      <c r="AI71" s="117" t="str">
        <f>R71</f>
        <v>QE-M6</v>
      </c>
      <c r="AJ71" s="114" t="s">
        <v>194</v>
      </c>
      <c r="AK71" s="115">
        <f>($C$18/(SQRT(3)*AC71))</f>
        <v>1707.729801246679</v>
      </c>
      <c r="AL71" s="116" t="s">
        <v>46</v>
      </c>
      <c r="AM71" s="345" t="s">
        <v>164</v>
      </c>
      <c r="AN71" s="346"/>
    </row>
    <row r="72" spans="16:40" ht="14.65" thickBot="1" x14ac:dyDescent="0.5">
      <c r="P72" s="111" t="s">
        <v>191</v>
      </c>
      <c r="Q72" s="344"/>
      <c r="R72" s="342"/>
      <c r="S72" s="335"/>
      <c r="T72" s="335"/>
      <c r="U72" s="335"/>
      <c r="V72" s="46">
        <f>IF(U71="Al",$J$9,$J$7)</f>
        <v>2.3E-2</v>
      </c>
      <c r="W72" s="125">
        <f>V72*(S71/T71)</f>
        <v>8.6249999999999993E-2</v>
      </c>
      <c r="X72" s="343"/>
      <c r="Y72" s="126">
        <f>W72+Y51</f>
        <v>0.17348052631578947</v>
      </c>
      <c r="Z72" s="338"/>
      <c r="AA72" s="124"/>
      <c r="AB72" s="127" t="s">
        <v>192</v>
      </c>
      <c r="AC72" s="128">
        <f>SQRT((Y72^2)+(Z71^2))</f>
        <v>0.17540137941321762</v>
      </c>
      <c r="AD72" s="99" t="s">
        <v>140</v>
      </c>
      <c r="AE72" s="340" t="s">
        <v>163</v>
      </c>
      <c r="AF72" s="340"/>
      <c r="AG72" s="341"/>
      <c r="AJ72" s="105" t="s">
        <v>195</v>
      </c>
      <c r="AK72" s="96">
        <f>($C$18/(SQRT(3)*AC72))</f>
        <v>1382.469817916209</v>
      </c>
      <c r="AL72" s="97" t="s">
        <v>46</v>
      </c>
      <c r="AM72" s="347" t="s">
        <v>164</v>
      </c>
      <c r="AN72" s="348"/>
    </row>
    <row r="73" spans="16:40" ht="14.65" thickBot="1" x14ac:dyDescent="0.5">
      <c r="P73" s="339"/>
      <c r="Q73" s="336"/>
      <c r="R73" s="336"/>
      <c r="S73" s="336"/>
      <c r="T73" s="336"/>
      <c r="U73" s="336"/>
      <c r="V73" s="336"/>
      <c r="W73" s="336"/>
      <c r="X73" s="336"/>
      <c r="Y73" s="336"/>
      <c r="Z73" s="336"/>
      <c r="AA73" s="336"/>
      <c r="AB73" s="336"/>
      <c r="AC73" s="336"/>
      <c r="AD73" s="336"/>
      <c r="AE73" s="336"/>
      <c r="AF73" s="336"/>
      <c r="AG73" s="337"/>
    </row>
    <row r="74" spans="16:40" ht="14.65" thickBot="1" x14ac:dyDescent="0.5">
      <c r="P74" s="111" t="s">
        <v>190</v>
      </c>
      <c r="Q74" s="344" t="s">
        <v>104</v>
      </c>
      <c r="R74" s="342" t="s">
        <v>122</v>
      </c>
      <c r="S74" s="335">
        <v>48</v>
      </c>
      <c r="T74" s="335">
        <f>Dimensionamento!AG32</f>
        <v>4</v>
      </c>
      <c r="U74" s="335" t="s">
        <v>44</v>
      </c>
      <c r="V74" s="46">
        <f>IF(U74="Al",$J$8,$J$6)</f>
        <v>1.8509999999999999E-2</v>
      </c>
      <c r="W74" s="125">
        <f>V74*(S74/T74)</f>
        <v>0.22211999999999998</v>
      </c>
      <c r="X74" s="343">
        <f>S74*$J$13</f>
        <v>3.8400000000000005E-3</v>
      </c>
      <c r="Y74" s="126">
        <f>W74+Y20</f>
        <v>0.25502396052631576</v>
      </c>
      <c r="Z74" s="338">
        <f>X74+Z20</f>
        <v>2.6687272727272723E-2</v>
      </c>
      <c r="AA74" s="124"/>
      <c r="AB74" s="127" t="s">
        <v>193</v>
      </c>
      <c r="AC74" s="128">
        <f>SQRT((Y74^2)+(Z74^2))</f>
        <v>0.25641651851654895</v>
      </c>
      <c r="AD74" s="99" t="s">
        <v>140</v>
      </c>
      <c r="AE74" s="340" t="s">
        <v>163</v>
      </c>
      <c r="AF74" s="340"/>
      <c r="AG74" s="341"/>
      <c r="AI74" s="117" t="str">
        <f>R74</f>
        <v>QE-A.P</v>
      </c>
      <c r="AJ74" s="114" t="s">
        <v>194</v>
      </c>
      <c r="AK74" s="115">
        <f>($C$18/(SQRT(3)*AC74))</f>
        <v>945.6766454146865</v>
      </c>
      <c r="AL74" s="116" t="s">
        <v>46</v>
      </c>
      <c r="AM74" s="345" t="s">
        <v>164</v>
      </c>
      <c r="AN74" s="346"/>
    </row>
    <row r="75" spans="16:40" ht="14.65" thickBot="1" x14ac:dyDescent="0.5">
      <c r="P75" s="111" t="s">
        <v>191</v>
      </c>
      <c r="Q75" s="344"/>
      <c r="R75" s="342"/>
      <c r="S75" s="335"/>
      <c r="T75" s="335"/>
      <c r="U75" s="335"/>
      <c r="V75" s="46">
        <f>IF(U74="Al",$J$9,$J$7)</f>
        <v>2.3E-2</v>
      </c>
      <c r="W75" s="125">
        <f>V75*(S74/T74)</f>
        <v>0.27600000000000002</v>
      </c>
      <c r="X75" s="343"/>
      <c r="Y75" s="126">
        <f>W75+Y21</f>
        <v>0.31688552631578948</v>
      </c>
      <c r="Z75" s="338"/>
      <c r="AA75" s="124"/>
      <c r="AB75" s="127" t="s">
        <v>192</v>
      </c>
      <c r="AC75" s="128">
        <f>SQRT((Y75^2)+(Z74^2))</f>
        <v>0.31800730701361996</v>
      </c>
      <c r="AD75" s="99" t="s">
        <v>140</v>
      </c>
      <c r="AE75" s="340" t="s">
        <v>163</v>
      </c>
      <c r="AF75" s="340"/>
      <c r="AG75" s="341"/>
      <c r="AJ75" s="105" t="s">
        <v>195</v>
      </c>
      <c r="AK75" s="96">
        <f>($C$18/(SQRT(3)*AC75))</f>
        <v>762.52057016179606</v>
      </c>
      <c r="AL75" s="97" t="s">
        <v>46</v>
      </c>
      <c r="AM75" s="347" t="s">
        <v>164</v>
      </c>
      <c r="AN75" s="348"/>
    </row>
    <row r="76" spans="16:40" ht="14.65" thickBot="1" x14ac:dyDescent="0.5">
      <c r="P76" s="339"/>
      <c r="Q76" s="336"/>
      <c r="R76" s="336"/>
      <c r="S76" s="336"/>
      <c r="T76" s="336"/>
      <c r="U76" s="336"/>
      <c r="V76" s="336"/>
      <c r="W76" s="336"/>
      <c r="X76" s="336"/>
      <c r="Y76" s="336"/>
      <c r="Z76" s="336"/>
      <c r="AA76" s="336"/>
      <c r="AB76" s="336"/>
      <c r="AC76" s="336"/>
      <c r="AD76" s="336"/>
      <c r="AE76" s="336"/>
      <c r="AF76" s="336"/>
      <c r="AG76" s="337"/>
    </row>
    <row r="77" spans="16:40" ht="14.65" thickBot="1" x14ac:dyDescent="0.5">
      <c r="P77" s="111" t="s">
        <v>190</v>
      </c>
      <c r="Q77" s="344" t="s">
        <v>104</v>
      </c>
      <c r="R77" s="342" t="s">
        <v>123</v>
      </c>
      <c r="S77" s="335">
        <v>7</v>
      </c>
      <c r="T77" s="335">
        <f>Dimensionamento!AG33</f>
        <v>4</v>
      </c>
      <c r="U77" s="335" t="s">
        <v>44</v>
      </c>
      <c r="V77" s="46">
        <f>IF(U77="Al",$J$8,$J$6)</f>
        <v>1.8509999999999999E-2</v>
      </c>
      <c r="W77" s="125">
        <f>V77*(S77/T77)</f>
        <v>3.2392499999999998E-2</v>
      </c>
      <c r="X77" s="343">
        <f>S77*$J$13</f>
        <v>5.6000000000000006E-4</v>
      </c>
      <c r="Y77" s="126">
        <f>W77+Y20</f>
        <v>6.5296460526315783E-2</v>
      </c>
      <c r="Z77" s="338">
        <f>X77+Z20</f>
        <v>2.3407272727272724E-2</v>
      </c>
      <c r="AA77" s="124"/>
      <c r="AB77" s="127" t="s">
        <v>193</v>
      </c>
      <c r="AC77" s="128">
        <f>SQRT((Y77^2)+(Z77^2))</f>
        <v>6.9365179836814672E-2</v>
      </c>
      <c r="AD77" s="99" t="s">
        <v>140</v>
      </c>
      <c r="AE77" s="340" t="s">
        <v>163</v>
      </c>
      <c r="AF77" s="340"/>
      <c r="AG77" s="341"/>
      <c r="AI77" s="117" t="str">
        <f>R77</f>
        <v>QE-A.M</v>
      </c>
      <c r="AJ77" s="114" t="s">
        <v>194</v>
      </c>
      <c r="AK77" s="115">
        <f>($C$18/(SQRT(3)*AC77))</f>
        <v>3495.8045755825456</v>
      </c>
      <c r="AL77" s="116" t="s">
        <v>46</v>
      </c>
      <c r="AM77" s="345" t="s">
        <v>164</v>
      </c>
      <c r="AN77" s="346"/>
    </row>
    <row r="78" spans="16:40" ht="14.65" thickBot="1" x14ac:dyDescent="0.5">
      <c r="P78" s="111" t="s">
        <v>191</v>
      </c>
      <c r="Q78" s="344"/>
      <c r="R78" s="342"/>
      <c r="S78" s="335"/>
      <c r="T78" s="335"/>
      <c r="U78" s="335"/>
      <c r="V78" s="46">
        <f>IF(U77="Al",$J$9,$J$7)</f>
        <v>2.3E-2</v>
      </c>
      <c r="W78" s="125">
        <f>V78*(S77/T77)</f>
        <v>4.0250000000000001E-2</v>
      </c>
      <c r="X78" s="343"/>
      <c r="Y78" s="126">
        <f>W78+Y21</f>
        <v>8.1135526315789464E-2</v>
      </c>
      <c r="Z78" s="338"/>
      <c r="AA78" s="124"/>
      <c r="AB78" s="127" t="s">
        <v>192</v>
      </c>
      <c r="AC78" s="128">
        <f>SQRT((Y78^2)+(Z77^2))</f>
        <v>8.4444502764058529E-2</v>
      </c>
      <c r="AD78" s="99" t="s">
        <v>140</v>
      </c>
      <c r="AE78" s="340" t="s">
        <v>163</v>
      </c>
      <c r="AF78" s="340"/>
      <c r="AG78" s="341"/>
      <c r="AJ78" s="105" t="s">
        <v>195</v>
      </c>
      <c r="AK78" s="96">
        <f>($C$18/(SQRT(3)*AC78))</f>
        <v>2871.5559346374739</v>
      </c>
      <c r="AL78" s="97" t="s">
        <v>46</v>
      </c>
      <c r="AM78" s="347" t="s">
        <v>164</v>
      </c>
      <c r="AN78" s="348"/>
    </row>
    <row r="79" spans="16:40" ht="14.65" thickBot="1" x14ac:dyDescent="0.5">
      <c r="P79" s="339"/>
      <c r="Q79" s="336"/>
      <c r="R79" s="336"/>
      <c r="S79" s="336"/>
      <c r="T79" s="336"/>
      <c r="U79" s="336"/>
      <c r="V79" s="336"/>
      <c r="W79" s="336"/>
      <c r="X79" s="336"/>
      <c r="Y79" s="336"/>
      <c r="Z79" s="336"/>
      <c r="AA79" s="336"/>
      <c r="AB79" s="336"/>
      <c r="AC79" s="336"/>
      <c r="AD79" s="336"/>
      <c r="AE79" s="336"/>
      <c r="AF79" s="336"/>
      <c r="AG79" s="337"/>
    </row>
    <row r="80" spans="16:40" ht="14.65" thickBot="1" x14ac:dyDescent="0.5">
      <c r="P80" s="111" t="s">
        <v>190</v>
      </c>
      <c r="Q80" s="344" t="s">
        <v>104</v>
      </c>
      <c r="R80" s="342" t="s">
        <v>124</v>
      </c>
      <c r="S80" s="335">
        <v>28</v>
      </c>
      <c r="T80" s="335">
        <f>Dimensionamento!AG34</f>
        <v>16</v>
      </c>
      <c r="U80" s="335" t="s">
        <v>44</v>
      </c>
      <c r="V80" s="46">
        <f>IF(U80="Al",$J$8,$J$6)</f>
        <v>1.8509999999999999E-2</v>
      </c>
      <c r="W80" s="125">
        <f>V80*(S80/T80)</f>
        <v>3.2392499999999998E-2</v>
      </c>
      <c r="X80" s="343">
        <f>S80*$J$13</f>
        <v>2.2400000000000002E-3</v>
      </c>
      <c r="Y80" s="126">
        <f>W80+Y20</f>
        <v>6.5296460526315783E-2</v>
      </c>
      <c r="Z80" s="338">
        <f>X80 + Z20</f>
        <v>2.5087272727272722E-2</v>
      </c>
      <c r="AA80" s="124"/>
      <c r="AB80" s="127" t="s">
        <v>193</v>
      </c>
      <c r="AC80" s="128">
        <f>SQRT((Y80^2)+(Z80^2))</f>
        <v>6.9949975054729482E-2</v>
      </c>
      <c r="AD80" s="99" t="s">
        <v>140</v>
      </c>
      <c r="AE80" s="340" t="s">
        <v>163</v>
      </c>
      <c r="AF80" s="340"/>
      <c r="AG80" s="341"/>
      <c r="AI80" s="117" t="str">
        <f>R80</f>
        <v>QE-AP2</v>
      </c>
      <c r="AJ80" s="114" t="s">
        <v>194</v>
      </c>
      <c r="AK80" s="115">
        <f>($C$18/(SQRT(3)*AC80))</f>
        <v>3466.5789783329978</v>
      </c>
      <c r="AL80" s="116" t="s">
        <v>46</v>
      </c>
      <c r="AM80" s="345" t="s">
        <v>164</v>
      </c>
      <c r="AN80" s="346"/>
    </row>
    <row r="81" spans="16:40" ht="14.65" thickBot="1" x14ac:dyDescent="0.5">
      <c r="P81" s="111" t="s">
        <v>191</v>
      </c>
      <c r="Q81" s="344"/>
      <c r="R81" s="342"/>
      <c r="S81" s="335"/>
      <c r="T81" s="335"/>
      <c r="U81" s="335"/>
      <c r="V81" s="46">
        <f>IF(U80="Al",$J$9,$J$7)</f>
        <v>2.3E-2</v>
      </c>
      <c r="W81" s="125">
        <f>V81*(S80/T80)</f>
        <v>4.0250000000000001E-2</v>
      </c>
      <c r="X81" s="343"/>
      <c r="Y81" s="126">
        <f>W81+Y21</f>
        <v>8.1135526315789464E-2</v>
      </c>
      <c r="Z81" s="338"/>
      <c r="AA81" s="124"/>
      <c r="AB81" s="127" t="s">
        <v>192</v>
      </c>
      <c r="AC81" s="128">
        <f>SQRT((Y81^2)+(Z80^2))</f>
        <v>8.4925525511666544E-2</v>
      </c>
      <c r="AD81" s="99" t="s">
        <v>140</v>
      </c>
      <c r="AE81" s="340" t="s">
        <v>163</v>
      </c>
      <c r="AF81" s="340"/>
      <c r="AG81" s="341"/>
      <c r="AJ81" s="105" t="s">
        <v>195</v>
      </c>
      <c r="AK81" s="96">
        <f>($C$18/(SQRT(3)*AC81))</f>
        <v>2855.2912872624083</v>
      </c>
      <c r="AL81" s="97" t="s">
        <v>46</v>
      </c>
      <c r="AM81" s="347" t="s">
        <v>164</v>
      </c>
      <c r="AN81" s="348"/>
    </row>
    <row r="82" spans="16:40" ht="14.65" thickBot="1" x14ac:dyDescent="0.5">
      <c r="P82" s="339"/>
      <c r="Q82" s="336"/>
      <c r="R82" s="336"/>
      <c r="S82" s="336"/>
      <c r="T82" s="336"/>
      <c r="U82" s="336"/>
      <c r="V82" s="336"/>
      <c r="W82" s="336"/>
      <c r="X82" s="336"/>
      <c r="Y82" s="336"/>
      <c r="Z82" s="336"/>
      <c r="AA82" s="336"/>
      <c r="AB82" s="336"/>
      <c r="AC82" s="336"/>
      <c r="AD82" s="336"/>
      <c r="AE82" s="336"/>
      <c r="AF82" s="336"/>
      <c r="AG82" s="337"/>
    </row>
    <row r="83" spans="16:40" ht="14.65" thickBot="1" x14ac:dyDescent="0.5">
      <c r="P83" s="111" t="s">
        <v>190</v>
      </c>
      <c r="Q83" s="344" t="s">
        <v>124</v>
      </c>
      <c r="R83" s="342" t="s">
        <v>125</v>
      </c>
      <c r="S83" s="335">
        <v>10</v>
      </c>
      <c r="T83" s="335">
        <f>Dimensionamento!AG35</f>
        <v>4</v>
      </c>
      <c r="U83" s="335" t="s">
        <v>44</v>
      </c>
      <c r="V83" s="46">
        <f>IF(U83="Al",$J$8,$J$6)</f>
        <v>1.8509999999999999E-2</v>
      </c>
      <c r="W83" s="125">
        <f>V83*(S83/T83)</f>
        <v>4.6274999999999997E-2</v>
      </c>
      <c r="X83" s="343">
        <f>S83*$J$13</f>
        <v>8.0000000000000004E-4</v>
      </c>
      <c r="Y83" s="126">
        <f>W83+Y80</f>
        <v>0.11157146052631578</v>
      </c>
      <c r="Z83" s="338">
        <f>X83 + Z80</f>
        <v>2.5887272727272721E-2</v>
      </c>
      <c r="AA83" s="124"/>
      <c r="AB83" s="127" t="s">
        <v>193</v>
      </c>
      <c r="AC83" s="128">
        <f>SQRT((Y83^2)+(Z83^2))</f>
        <v>0.11453532945441523</v>
      </c>
      <c r="AD83" s="99" t="s">
        <v>140</v>
      </c>
      <c r="AE83" s="340" t="s">
        <v>163</v>
      </c>
      <c r="AF83" s="340"/>
      <c r="AG83" s="341"/>
      <c r="AI83" s="117" t="str">
        <f>R83</f>
        <v>QE-M7</v>
      </c>
      <c r="AJ83" s="114" t="s">
        <v>194</v>
      </c>
      <c r="AK83" s="115">
        <f>($C$18/(SQRT(3)*AC83))</f>
        <v>2117.1381285994562</v>
      </c>
      <c r="AL83" s="116" t="s">
        <v>46</v>
      </c>
      <c r="AM83" s="345" t="s">
        <v>164</v>
      </c>
      <c r="AN83" s="346"/>
    </row>
    <row r="84" spans="16:40" ht="14.65" thickBot="1" x14ac:dyDescent="0.5">
      <c r="P84" s="111" t="s">
        <v>191</v>
      </c>
      <c r="Q84" s="344"/>
      <c r="R84" s="342"/>
      <c r="S84" s="335"/>
      <c r="T84" s="335"/>
      <c r="U84" s="335"/>
      <c r="V84" s="46">
        <f>IF(U83="Al",$J$9,$J$7)</f>
        <v>2.3E-2</v>
      </c>
      <c r="W84" s="125">
        <f>V84*(S83/T83)</f>
        <v>5.7499999999999996E-2</v>
      </c>
      <c r="X84" s="343"/>
      <c r="Y84" s="126">
        <f>W84+Y81</f>
        <v>0.13863552631578946</v>
      </c>
      <c r="Z84" s="338"/>
      <c r="AA84" s="124"/>
      <c r="AB84" s="127" t="s">
        <v>192</v>
      </c>
      <c r="AC84" s="128">
        <f>SQRT((Y84^2)+(Z83^2))</f>
        <v>0.14103176963405142</v>
      </c>
      <c r="AD84" s="99" t="s">
        <v>140</v>
      </c>
      <c r="AE84" s="340" t="s">
        <v>163</v>
      </c>
      <c r="AF84" s="340"/>
      <c r="AG84" s="341"/>
      <c r="AJ84" s="105" t="s">
        <v>195</v>
      </c>
      <c r="AK84" s="96">
        <f>($C$18/(SQRT(3)*AC84))</f>
        <v>1719.3793546577997</v>
      </c>
      <c r="AL84" s="97" t="s">
        <v>46</v>
      </c>
      <c r="AM84" s="347" t="s">
        <v>164</v>
      </c>
      <c r="AN84" s="348"/>
    </row>
    <row r="85" spans="16:40" ht="14.65" thickBot="1" x14ac:dyDescent="0.5">
      <c r="P85" s="339"/>
      <c r="Q85" s="336"/>
      <c r="R85" s="336"/>
      <c r="S85" s="336"/>
      <c r="T85" s="336"/>
      <c r="U85" s="336"/>
      <c r="V85" s="336"/>
      <c r="W85" s="336"/>
      <c r="X85" s="336"/>
      <c r="Y85" s="336"/>
      <c r="Z85" s="336"/>
      <c r="AA85" s="336"/>
      <c r="AB85" s="336"/>
      <c r="AC85" s="336"/>
      <c r="AD85" s="336"/>
      <c r="AE85" s="336"/>
      <c r="AF85" s="336"/>
      <c r="AG85" s="337"/>
    </row>
    <row r="86" spans="16:40" ht="14.65" thickBot="1" x14ac:dyDescent="0.5">
      <c r="P86" s="111" t="s">
        <v>190</v>
      </c>
      <c r="Q86" s="344" t="s">
        <v>124</v>
      </c>
      <c r="R86" s="342" t="s">
        <v>126</v>
      </c>
      <c r="S86" s="335">
        <v>13</v>
      </c>
      <c r="T86" s="335">
        <f>Dimensionamento!AG36</f>
        <v>4</v>
      </c>
      <c r="U86" s="335" t="s">
        <v>44</v>
      </c>
      <c r="V86" s="46">
        <f>IF(U86="Al",$J$8,$J$6)</f>
        <v>1.8509999999999999E-2</v>
      </c>
      <c r="W86" s="125">
        <f>V86*(S86/T86)</f>
        <v>6.0157499999999996E-2</v>
      </c>
      <c r="X86" s="343">
        <f>S86*$J$13</f>
        <v>1.0400000000000001E-3</v>
      </c>
      <c r="Y86" s="126">
        <f>W86+Y80</f>
        <v>0.12545396052631577</v>
      </c>
      <c r="Z86" s="338">
        <f>X86 + Z80</f>
        <v>2.6127272727272721E-2</v>
      </c>
      <c r="AA86" s="124"/>
      <c r="AB86" s="127" t="s">
        <v>193</v>
      </c>
      <c r="AC86" s="128">
        <f>SQRT((Y86^2)+(Z86^2))</f>
        <v>0.12814573965568923</v>
      </c>
      <c r="AD86" s="99" t="s">
        <v>140</v>
      </c>
      <c r="AE86" s="340" t="s">
        <v>163</v>
      </c>
      <c r="AF86" s="340"/>
      <c r="AG86" s="341"/>
      <c r="AI86" s="117" t="str">
        <f>R86</f>
        <v>QE-M8</v>
      </c>
      <c r="AJ86" s="114" t="s">
        <v>194</v>
      </c>
      <c r="AK86" s="115">
        <f>($C$18/(SQRT(3)*AC86))</f>
        <v>1892.2760421936293</v>
      </c>
      <c r="AL86" s="116" t="s">
        <v>46</v>
      </c>
      <c r="AM86" s="345" t="s">
        <v>164</v>
      </c>
      <c r="AN86" s="346"/>
    </row>
    <row r="87" spans="16:40" ht="14.65" thickBot="1" x14ac:dyDescent="0.5">
      <c r="P87" s="111" t="s">
        <v>191</v>
      </c>
      <c r="Q87" s="344"/>
      <c r="R87" s="342"/>
      <c r="S87" s="335"/>
      <c r="T87" s="335"/>
      <c r="U87" s="335"/>
      <c r="V87" s="46">
        <f>IF(U86="Al",$J$9,$J$7)</f>
        <v>2.3E-2</v>
      </c>
      <c r="W87" s="125">
        <f>V87*(S86/T86)</f>
        <v>7.4749999999999997E-2</v>
      </c>
      <c r="X87" s="343"/>
      <c r="Y87" s="126">
        <f>W87+Y81</f>
        <v>0.15588552631578945</v>
      </c>
      <c r="Z87" s="338"/>
      <c r="AA87" s="124"/>
      <c r="AB87" s="127" t="s">
        <v>192</v>
      </c>
      <c r="AC87" s="128">
        <f>SQRT((Y87^2)+(Z86^2))</f>
        <v>0.15805989907283877</v>
      </c>
      <c r="AD87" s="99" t="s">
        <v>140</v>
      </c>
      <c r="AE87" s="340" t="s">
        <v>163</v>
      </c>
      <c r="AF87" s="340"/>
      <c r="AG87" s="341"/>
      <c r="AJ87" s="105" t="s">
        <v>195</v>
      </c>
      <c r="AK87" s="96">
        <f>($C$18/(SQRT(3)*AC87))</f>
        <v>1534.1469561985325</v>
      </c>
      <c r="AL87" s="97" t="s">
        <v>46</v>
      </c>
      <c r="AM87" s="347" t="s">
        <v>164</v>
      </c>
      <c r="AN87" s="348"/>
    </row>
    <row r="88" spans="16:40" ht="14.65" thickBot="1" x14ac:dyDescent="0.5">
      <c r="P88" s="339"/>
      <c r="Q88" s="336"/>
      <c r="R88" s="336"/>
      <c r="S88" s="336"/>
      <c r="T88" s="336"/>
      <c r="U88" s="336"/>
      <c r="V88" s="336"/>
      <c r="W88" s="336"/>
      <c r="X88" s="336"/>
      <c r="Y88" s="336"/>
      <c r="Z88" s="336"/>
      <c r="AA88" s="336"/>
      <c r="AB88" s="336"/>
      <c r="AC88" s="336"/>
      <c r="AD88" s="336"/>
      <c r="AE88" s="336"/>
      <c r="AF88" s="336"/>
      <c r="AG88" s="337"/>
    </row>
    <row r="89" spans="16:40" ht="14.65" thickBot="1" x14ac:dyDescent="0.5">
      <c r="P89" s="111" t="s">
        <v>190</v>
      </c>
      <c r="Q89" s="344" t="s">
        <v>124</v>
      </c>
      <c r="R89" s="342" t="s">
        <v>127</v>
      </c>
      <c r="S89" s="335">
        <v>25</v>
      </c>
      <c r="T89" s="335">
        <f>Dimensionamento!AG37</f>
        <v>4</v>
      </c>
      <c r="U89" s="335" t="s">
        <v>44</v>
      </c>
      <c r="V89" s="46">
        <f>IF(U89="Al",$J$8,$J$6)</f>
        <v>1.8509999999999999E-2</v>
      </c>
      <c r="W89" s="125">
        <f>V89*(S89/T89)</f>
        <v>0.1156875</v>
      </c>
      <c r="X89" s="343">
        <f>S89*$J$13</f>
        <v>2E-3</v>
      </c>
      <c r="Y89" s="126">
        <f>W89+Y80</f>
        <v>0.18098396052631577</v>
      </c>
      <c r="Z89" s="338">
        <f>X89 + Z80</f>
        <v>2.7087272727272724E-2</v>
      </c>
      <c r="AA89" s="124"/>
      <c r="AB89" s="127" t="s">
        <v>193</v>
      </c>
      <c r="AC89" s="128">
        <f>SQRT((Y89^2)+(Z89^2))</f>
        <v>0.18299976587851877</v>
      </c>
      <c r="AD89" s="99" t="s">
        <v>140</v>
      </c>
      <c r="AE89" s="340" t="s">
        <v>163</v>
      </c>
      <c r="AF89" s="340"/>
      <c r="AG89" s="341"/>
      <c r="AI89" s="117" t="str">
        <f>R89</f>
        <v>QE-M9</v>
      </c>
      <c r="AJ89" s="114" t="s">
        <v>194</v>
      </c>
      <c r="AK89" s="115">
        <f>($C$18/(SQRT(3)*AC89))</f>
        <v>1325.0678868114712</v>
      </c>
      <c r="AL89" s="116" t="s">
        <v>46</v>
      </c>
      <c r="AM89" s="345" t="s">
        <v>164</v>
      </c>
      <c r="AN89" s="346"/>
    </row>
    <row r="90" spans="16:40" ht="14.65" thickBot="1" x14ac:dyDescent="0.5">
      <c r="P90" s="111" t="s">
        <v>191</v>
      </c>
      <c r="Q90" s="344"/>
      <c r="R90" s="342"/>
      <c r="S90" s="335"/>
      <c r="T90" s="335"/>
      <c r="U90" s="335"/>
      <c r="V90" s="46">
        <f>IF(U89="Al",$J$9,$J$7)</f>
        <v>2.3E-2</v>
      </c>
      <c r="W90" s="125">
        <f>V90*(S89/T89)</f>
        <v>0.14374999999999999</v>
      </c>
      <c r="X90" s="343"/>
      <c r="Y90" s="126">
        <f>W90+Y81</f>
        <v>0.22488552631578945</v>
      </c>
      <c r="Z90" s="338"/>
      <c r="AA90" s="124"/>
      <c r="AB90" s="127" t="s">
        <v>192</v>
      </c>
      <c r="AC90" s="128">
        <f>SQRT((Y90^2)+(Z89^2))</f>
        <v>0.22651097167716025</v>
      </c>
      <c r="AD90" s="99" t="s">
        <v>140</v>
      </c>
      <c r="AE90" s="340" t="s">
        <v>163</v>
      </c>
      <c r="AF90" s="340"/>
      <c r="AG90" s="341"/>
      <c r="AJ90" s="105" t="s">
        <v>195</v>
      </c>
      <c r="AK90" s="96">
        <f>($C$18/(SQRT(3)*AC90))</f>
        <v>1070.53142399324</v>
      </c>
      <c r="AL90" s="97" t="s">
        <v>46</v>
      </c>
      <c r="AM90" s="347" t="s">
        <v>164</v>
      </c>
      <c r="AN90" s="348"/>
    </row>
    <row r="91" spans="16:40" ht="14.65" thickBot="1" x14ac:dyDescent="0.5">
      <c r="P91" s="339"/>
      <c r="Q91" s="336"/>
      <c r="R91" s="336"/>
      <c r="S91" s="336"/>
      <c r="T91" s="336"/>
      <c r="U91" s="336"/>
      <c r="V91" s="336"/>
      <c r="W91" s="336"/>
      <c r="X91" s="336"/>
      <c r="Y91" s="336"/>
      <c r="Z91" s="336"/>
      <c r="AA91" s="336"/>
      <c r="AB91" s="336"/>
      <c r="AC91" s="336"/>
      <c r="AD91" s="336"/>
      <c r="AE91" s="336"/>
      <c r="AF91" s="336"/>
      <c r="AG91" s="337"/>
    </row>
    <row r="92" spans="16:40" ht="14.65" thickBot="1" x14ac:dyDescent="0.5">
      <c r="P92" s="111" t="s">
        <v>190</v>
      </c>
      <c r="Q92" s="344" t="s">
        <v>124</v>
      </c>
      <c r="R92" s="342" t="s">
        <v>128</v>
      </c>
      <c r="S92" s="335">
        <v>32</v>
      </c>
      <c r="T92" s="335">
        <f>Dimensionamento!AG38</f>
        <v>4</v>
      </c>
      <c r="U92" s="335" t="s">
        <v>44</v>
      </c>
      <c r="V92" s="46">
        <f>IF(U92="Al",$J$8,$J$6)</f>
        <v>1.8509999999999999E-2</v>
      </c>
      <c r="W92" s="125">
        <f>V92*(S92/T92)</f>
        <v>0.14807999999999999</v>
      </c>
      <c r="X92" s="343">
        <f>S92*$J$13</f>
        <v>2.5600000000000002E-3</v>
      </c>
      <c r="Y92" s="126">
        <f>W92+Y80</f>
        <v>0.21337646052631576</v>
      </c>
      <c r="Z92" s="338">
        <f>X92 + Z80</f>
        <v>2.7647272727272722E-2</v>
      </c>
      <c r="AA92" s="124"/>
      <c r="AB92" s="127" t="s">
        <v>193</v>
      </c>
      <c r="AC92" s="128">
        <f>SQRT((Y92^2)+(Z92^2))</f>
        <v>0.21516013942176787</v>
      </c>
      <c r="AD92" s="99" t="s">
        <v>140</v>
      </c>
      <c r="AE92" s="340" t="s">
        <v>163</v>
      </c>
      <c r="AF92" s="340"/>
      <c r="AG92" s="341"/>
      <c r="AI92" s="117" t="str">
        <f>R92</f>
        <v>QE-M10</v>
      </c>
      <c r="AJ92" s="114" t="s">
        <v>194</v>
      </c>
      <c r="AK92" s="115">
        <f>($C$18/(SQRT(3)*AC92))</f>
        <v>1127.0076033196244</v>
      </c>
      <c r="AL92" s="116" t="s">
        <v>46</v>
      </c>
      <c r="AM92" s="345" t="s">
        <v>164</v>
      </c>
      <c r="AN92" s="346"/>
    </row>
    <row r="93" spans="16:40" ht="14.65" thickBot="1" x14ac:dyDescent="0.5">
      <c r="P93" s="111" t="s">
        <v>191</v>
      </c>
      <c r="Q93" s="344"/>
      <c r="R93" s="342"/>
      <c r="S93" s="335"/>
      <c r="T93" s="335"/>
      <c r="U93" s="335"/>
      <c r="V93" s="46">
        <f>IF(U92="Al",$J$9,$J$7)</f>
        <v>2.3E-2</v>
      </c>
      <c r="W93" s="125">
        <f>V93*(S92/T92)</f>
        <v>0.184</v>
      </c>
      <c r="X93" s="343"/>
      <c r="Y93" s="126">
        <f>W93+Y81</f>
        <v>0.26513552631578946</v>
      </c>
      <c r="Z93" s="338"/>
      <c r="AA93" s="124"/>
      <c r="AB93" s="127" t="s">
        <v>192</v>
      </c>
      <c r="AC93" s="128">
        <f>SQRT((Y93^2)+(Z92^2))</f>
        <v>0.26657310255163941</v>
      </c>
      <c r="AD93" s="99" t="s">
        <v>140</v>
      </c>
      <c r="AE93" s="340" t="s">
        <v>163</v>
      </c>
      <c r="AF93" s="340"/>
      <c r="AG93" s="341"/>
      <c r="AJ93" s="105" t="s">
        <v>195</v>
      </c>
      <c r="AK93" s="96">
        <f>($C$18/(SQRT(3)*AC93))</f>
        <v>909.6458372527261</v>
      </c>
      <c r="AL93" s="97" t="s">
        <v>46</v>
      </c>
      <c r="AM93" s="347" t="s">
        <v>164</v>
      </c>
      <c r="AN93" s="348"/>
    </row>
    <row r="94" spans="16:40" ht="14.65" thickBot="1" x14ac:dyDescent="0.5">
      <c r="P94" s="339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6"/>
      <c r="AB94" s="336"/>
      <c r="AC94" s="336"/>
      <c r="AD94" s="336"/>
      <c r="AE94" s="336"/>
      <c r="AF94" s="336"/>
      <c r="AG94" s="337"/>
    </row>
    <row r="95" spans="16:40" ht="14.65" thickBot="1" x14ac:dyDescent="0.5">
      <c r="P95" s="111" t="s">
        <v>190</v>
      </c>
      <c r="Q95" s="344" t="s">
        <v>124</v>
      </c>
      <c r="R95" s="342" t="s">
        <v>129</v>
      </c>
      <c r="S95" s="335">
        <v>8.5</v>
      </c>
      <c r="T95" s="335">
        <f>Dimensionamento!AG39</f>
        <v>6</v>
      </c>
      <c r="U95" s="335" t="s">
        <v>44</v>
      </c>
      <c r="V95" s="46">
        <f>IF(U95="Al",$J$8,$J$6)</f>
        <v>1.8509999999999999E-2</v>
      </c>
      <c r="W95" s="125">
        <f>V95*(S95/T95)</f>
        <v>2.6222499999999999E-2</v>
      </c>
      <c r="X95" s="343">
        <f>S95*$J$13</f>
        <v>6.8000000000000005E-4</v>
      </c>
      <c r="Y95" s="126">
        <f>W95+Y80</f>
        <v>9.1518960526315779E-2</v>
      </c>
      <c r="Z95" s="338">
        <f>X95 + Z80</f>
        <v>2.5767272727272722E-2</v>
      </c>
      <c r="AA95" s="124"/>
      <c r="AB95" s="127" t="s">
        <v>193</v>
      </c>
      <c r="AC95" s="128">
        <f>SQRT((Y95^2)+(Z95^2))</f>
        <v>9.5077192215688611E-2</v>
      </c>
      <c r="AD95" s="99" t="s">
        <v>140</v>
      </c>
      <c r="AE95" s="340" t="s">
        <v>163</v>
      </c>
      <c r="AF95" s="340"/>
      <c r="AG95" s="341"/>
      <c r="AI95" s="117" t="str">
        <f>R95</f>
        <v>QE-AVAC.2</v>
      </c>
      <c r="AJ95" s="114" t="s">
        <v>194</v>
      </c>
      <c r="AK95" s="115">
        <f>($C$18/(SQRT(3)*AC95))</f>
        <v>2550.4235811838607</v>
      </c>
      <c r="AL95" s="116" t="s">
        <v>46</v>
      </c>
      <c r="AM95" s="345" t="s">
        <v>164</v>
      </c>
      <c r="AN95" s="346"/>
    </row>
    <row r="96" spans="16:40" ht="14.65" thickBot="1" x14ac:dyDescent="0.5">
      <c r="P96" s="111" t="s">
        <v>191</v>
      </c>
      <c r="Q96" s="344"/>
      <c r="R96" s="342"/>
      <c r="S96" s="335"/>
      <c r="T96" s="335"/>
      <c r="U96" s="335"/>
      <c r="V96" s="46">
        <f>IF(U95="Al",$J$9,$J$7)</f>
        <v>2.3E-2</v>
      </c>
      <c r="W96" s="125">
        <f>V96*(S95/T95)</f>
        <v>3.2583333333333332E-2</v>
      </c>
      <c r="X96" s="343"/>
      <c r="Y96" s="126">
        <f>W96+Y81</f>
        <v>0.11371885964912279</v>
      </c>
      <c r="Z96" s="338"/>
      <c r="AA96" s="124"/>
      <c r="AB96" s="127" t="s">
        <v>192</v>
      </c>
      <c r="AC96" s="128">
        <f>SQRT((Y96^2)+(Z95^2))</f>
        <v>0.11660159254357781</v>
      </c>
      <c r="AD96" s="99" t="s">
        <v>140</v>
      </c>
      <c r="AE96" s="340" t="s">
        <v>163</v>
      </c>
      <c r="AF96" s="340"/>
      <c r="AG96" s="341"/>
      <c r="AJ96" s="105" t="s">
        <v>195</v>
      </c>
      <c r="AK96" s="96">
        <f>($C$18/(SQRT(3)*AC96))</f>
        <v>2079.6209363008275</v>
      </c>
      <c r="AL96" s="97" t="s">
        <v>46</v>
      </c>
      <c r="AM96" s="347" t="s">
        <v>164</v>
      </c>
      <c r="AN96" s="348"/>
    </row>
    <row r="97" spans="16:40" ht="14.65" thickBot="1" x14ac:dyDescent="0.5">
      <c r="P97" s="339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6"/>
      <c r="AB97" s="336"/>
      <c r="AC97" s="336"/>
      <c r="AD97" s="336"/>
      <c r="AE97" s="336"/>
      <c r="AF97" s="336"/>
      <c r="AG97" s="337"/>
    </row>
    <row r="98" spans="16:40" ht="14.65" thickBot="1" x14ac:dyDescent="0.5">
      <c r="P98" s="111" t="s">
        <v>190</v>
      </c>
      <c r="Q98" s="344" t="s">
        <v>105</v>
      </c>
      <c r="R98" s="342" t="s">
        <v>130</v>
      </c>
      <c r="S98" s="335">
        <v>9</v>
      </c>
      <c r="T98" s="335">
        <f>Dimensionamento!AG40</f>
        <v>4</v>
      </c>
      <c r="U98" s="335" t="s">
        <v>44</v>
      </c>
      <c r="V98" s="46">
        <f>IF(U98="Al",$J$8,$J$6)</f>
        <v>1.8509999999999999E-2</v>
      </c>
      <c r="W98" s="125">
        <f>V98*(S98/T98)</f>
        <v>4.1647499999999997E-2</v>
      </c>
      <c r="X98" s="343">
        <f>S98*$J$13</f>
        <v>7.2000000000000005E-4</v>
      </c>
      <c r="Y98" s="126">
        <f>W98+Y23</f>
        <v>0.10000271052631579</v>
      </c>
      <c r="Z98" s="338">
        <f>X98 + Z23</f>
        <v>2.2447272727272722E-2</v>
      </c>
      <c r="AA98" s="124"/>
      <c r="AB98" s="127" t="s">
        <v>193</v>
      </c>
      <c r="AC98" s="128">
        <f>SQRT((Y98^2)+(Z98^2))</f>
        <v>0.10249108334632176</v>
      </c>
      <c r="AD98" s="99" t="s">
        <v>140</v>
      </c>
      <c r="AE98" s="340" t="s">
        <v>163</v>
      </c>
      <c r="AF98" s="340"/>
      <c r="AG98" s="341"/>
      <c r="AI98" s="117" t="str">
        <f>R98</f>
        <v>QE-CD</v>
      </c>
      <c r="AJ98" s="114" t="s">
        <v>194</v>
      </c>
      <c r="AK98" s="115">
        <f>($C$18/(SQRT(3)*AC98))</f>
        <v>2365.9337489903246</v>
      </c>
      <c r="AL98" s="116" t="s">
        <v>46</v>
      </c>
      <c r="AM98" s="345" t="s">
        <v>164</v>
      </c>
      <c r="AN98" s="346"/>
    </row>
    <row r="99" spans="16:40" ht="14.65" thickBot="1" x14ac:dyDescent="0.5">
      <c r="P99" s="111" t="s">
        <v>191</v>
      </c>
      <c r="Q99" s="344"/>
      <c r="R99" s="342"/>
      <c r="S99" s="335"/>
      <c r="T99" s="335"/>
      <c r="U99" s="335"/>
      <c r="V99" s="46">
        <f>IF(U98="Al",$J$9,$J$7)</f>
        <v>2.3E-2</v>
      </c>
      <c r="W99" s="125">
        <f>V99*(S98/T98)</f>
        <v>5.1749999999999997E-2</v>
      </c>
      <c r="X99" s="343"/>
      <c r="Y99" s="126">
        <f>W99+Y24</f>
        <v>0.12426052631578949</v>
      </c>
      <c r="Z99" s="338"/>
      <c r="AA99" s="124"/>
      <c r="AB99" s="127" t="s">
        <v>192</v>
      </c>
      <c r="AC99" s="128">
        <f>SQRT((Y99^2)+(Z98^2))</f>
        <v>0.12627176427519168</v>
      </c>
      <c r="AD99" s="99" t="s">
        <v>140</v>
      </c>
      <c r="AE99" s="340" t="s">
        <v>163</v>
      </c>
      <c r="AF99" s="340"/>
      <c r="AG99" s="341"/>
      <c r="AJ99" s="105" t="s">
        <v>195</v>
      </c>
      <c r="AK99" s="96">
        <f>($C$18/(SQRT(3)*AC99))</f>
        <v>1920.3589531795565</v>
      </c>
      <c r="AL99" s="97" t="s">
        <v>46</v>
      </c>
      <c r="AM99" s="347" t="s">
        <v>164</v>
      </c>
      <c r="AN99" s="348"/>
    </row>
    <row r="100" spans="16:40" ht="14.65" thickBot="1" x14ac:dyDescent="0.5">
      <c r="P100" s="339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  <c r="AA100" s="336"/>
      <c r="AB100" s="336"/>
      <c r="AC100" s="336"/>
      <c r="AD100" s="336"/>
      <c r="AE100" s="336"/>
      <c r="AF100" s="336"/>
      <c r="AG100" s="337"/>
    </row>
    <row r="101" spans="16:40" ht="14.65" thickBot="1" x14ac:dyDescent="0.5">
      <c r="P101" s="111" t="s">
        <v>190</v>
      </c>
      <c r="Q101" s="344" t="s">
        <v>105</v>
      </c>
      <c r="R101" s="342" t="s">
        <v>131</v>
      </c>
      <c r="S101" s="335">
        <v>30</v>
      </c>
      <c r="T101" s="335">
        <f>Dimensionamento!AG41</f>
        <v>4</v>
      </c>
      <c r="U101" s="335" t="s">
        <v>44</v>
      </c>
      <c r="V101" s="46">
        <f>IF(U101="Al",$J$8,$J$6)</f>
        <v>1.8509999999999999E-2</v>
      </c>
      <c r="W101" s="125">
        <f>V101*(S101/T101)</f>
        <v>0.13882499999999998</v>
      </c>
      <c r="X101" s="343">
        <f>S101*$J$13</f>
        <v>2.4000000000000002E-3</v>
      </c>
      <c r="Y101" s="126">
        <f>W101+Y23</f>
        <v>0.19718021052631576</v>
      </c>
      <c r="Z101" s="338">
        <f>X101 + Z23</f>
        <v>2.4127272727272723E-2</v>
      </c>
      <c r="AA101" s="124"/>
      <c r="AB101" s="127" t="s">
        <v>193</v>
      </c>
      <c r="AC101" s="128">
        <f>SQRT((Y101^2)+(Z101^2))</f>
        <v>0.19865085127544357</v>
      </c>
      <c r="AD101" s="99" t="s">
        <v>140</v>
      </c>
      <c r="AE101" s="340" t="s">
        <v>163</v>
      </c>
      <c r="AF101" s="340"/>
      <c r="AG101" s="341"/>
      <c r="AI101" s="117" t="str">
        <f>R101</f>
        <v>QE-B</v>
      </c>
      <c r="AJ101" s="114" t="s">
        <v>194</v>
      </c>
      <c r="AK101" s="115">
        <f>($C$18/(SQRT(3)*AC101))</f>
        <v>1220.6698914338765</v>
      </c>
      <c r="AL101" s="116" t="s">
        <v>46</v>
      </c>
      <c r="AM101" s="345" t="s">
        <v>164</v>
      </c>
      <c r="AN101" s="346"/>
    </row>
    <row r="102" spans="16:40" ht="14.65" thickBot="1" x14ac:dyDescent="0.5">
      <c r="P102" s="109" t="s">
        <v>191</v>
      </c>
      <c r="Q102" s="397"/>
      <c r="R102" s="398"/>
      <c r="S102" s="399"/>
      <c r="T102" s="399"/>
      <c r="U102" s="399"/>
      <c r="V102" s="104">
        <f>IF(U101="Al",$J$9,$J$7)</f>
        <v>2.3E-2</v>
      </c>
      <c r="W102" s="112">
        <f>V102*(S101/T101)</f>
        <v>0.17249999999999999</v>
      </c>
      <c r="X102" s="395"/>
      <c r="Y102" s="113">
        <f>W102+Y24</f>
        <v>0.24501052631578946</v>
      </c>
      <c r="Z102" s="396"/>
      <c r="AA102" s="106"/>
      <c r="AB102" s="107" t="s">
        <v>192</v>
      </c>
      <c r="AC102" s="110">
        <f>SQRT((Y102^2)+(Z101^2))</f>
        <v>0.24619561997484105</v>
      </c>
      <c r="AD102" s="97" t="s">
        <v>140</v>
      </c>
      <c r="AE102" s="347" t="s">
        <v>163</v>
      </c>
      <c r="AF102" s="347"/>
      <c r="AG102" s="348"/>
      <c r="AJ102" s="105" t="s">
        <v>195</v>
      </c>
      <c r="AK102" s="96">
        <f>($C$18/(SQRT(3)*AC102))</f>
        <v>984.93674698364987</v>
      </c>
      <c r="AL102" s="97" t="s">
        <v>46</v>
      </c>
      <c r="AM102" s="347" t="s">
        <v>164</v>
      </c>
      <c r="AN102" s="348"/>
    </row>
  </sheetData>
  <mergeCells count="425">
    <mergeCell ref="U17:U18"/>
    <mergeCell ref="T17:T18"/>
    <mergeCell ref="S17:S18"/>
    <mergeCell ref="R17:R18"/>
    <mergeCell ref="Q17:Q18"/>
    <mergeCell ref="Q14:Q15"/>
    <mergeCell ref="R14:R15"/>
    <mergeCell ref="S14:S15"/>
    <mergeCell ref="T14:T15"/>
    <mergeCell ref="U14:U15"/>
    <mergeCell ref="T26:T27"/>
    <mergeCell ref="U26:U27"/>
    <mergeCell ref="U23:U24"/>
    <mergeCell ref="T23:T24"/>
    <mergeCell ref="S23:S24"/>
    <mergeCell ref="R23:R24"/>
    <mergeCell ref="Q23:Q24"/>
    <mergeCell ref="Q20:Q21"/>
    <mergeCell ref="R20:R21"/>
    <mergeCell ref="S20:S21"/>
    <mergeCell ref="T20:T21"/>
    <mergeCell ref="U20:U21"/>
    <mergeCell ref="Q32:Q33"/>
    <mergeCell ref="R32:R33"/>
    <mergeCell ref="S32:S33"/>
    <mergeCell ref="T32:T33"/>
    <mergeCell ref="U32:U33"/>
    <mergeCell ref="P34:AG34"/>
    <mergeCell ref="AE35:AG35"/>
    <mergeCell ref="AE36:AG36"/>
    <mergeCell ref="AE32:AG32"/>
    <mergeCell ref="AE33:AG33"/>
    <mergeCell ref="X35:X36"/>
    <mergeCell ref="X32:X33"/>
    <mergeCell ref="Z32:Z33"/>
    <mergeCell ref="Z35:Z36"/>
    <mergeCell ref="R44:R45"/>
    <mergeCell ref="S44:S45"/>
    <mergeCell ref="T44:T45"/>
    <mergeCell ref="U44:U45"/>
    <mergeCell ref="U35:U36"/>
    <mergeCell ref="T35:T36"/>
    <mergeCell ref="S35:S36"/>
    <mergeCell ref="R35:R36"/>
    <mergeCell ref="Q35:Q36"/>
    <mergeCell ref="U62:U63"/>
    <mergeCell ref="U59:U60"/>
    <mergeCell ref="T59:T60"/>
    <mergeCell ref="S59:S60"/>
    <mergeCell ref="R59:R60"/>
    <mergeCell ref="Q59:Q60"/>
    <mergeCell ref="Q56:Q57"/>
    <mergeCell ref="R56:R57"/>
    <mergeCell ref="S56:S57"/>
    <mergeCell ref="T56:T57"/>
    <mergeCell ref="U56:U57"/>
    <mergeCell ref="Q74:Q75"/>
    <mergeCell ref="R74:R75"/>
    <mergeCell ref="S74:S75"/>
    <mergeCell ref="T74:T75"/>
    <mergeCell ref="U74:U75"/>
    <mergeCell ref="U71:U72"/>
    <mergeCell ref="T71:T72"/>
    <mergeCell ref="S71:S72"/>
    <mergeCell ref="R71:R72"/>
    <mergeCell ref="Q71:Q72"/>
    <mergeCell ref="Q11:Q12"/>
    <mergeCell ref="R11:R12"/>
    <mergeCell ref="S11:S12"/>
    <mergeCell ref="T11:T12"/>
    <mergeCell ref="U11:U12"/>
    <mergeCell ref="Q101:Q102"/>
    <mergeCell ref="R101:R102"/>
    <mergeCell ref="S101:S102"/>
    <mergeCell ref="T101:T102"/>
    <mergeCell ref="U101:U102"/>
    <mergeCell ref="U98:U99"/>
    <mergeCell ref="T98:T99"/>
    <mergeCell ref="S98:S99"/>
    <mergeCell ref="R98:R99"/>
    <mergeCell ref="Q98:Q99"/>
    <mergeCell ref="Q95:Q96"/>
    <mergeCell ref="R95:R96"/>
    <mergeCell ref="S95:S96"/>
    <mergeCell ref="T95:T96"/>
    <mergeCell ref="U95:U96"/>
    <mergeCell ref="U92:U93"/>
    <mergeCell ref="S77:S78"/>
    <mergeCell ref="R77:R78"/>
    <mergeCell ref="Q77:Q78"/>
    <mergeCell ref="Q89:Q90"/>
    <mergeCell ref="Q86:Q87"/>
    <mergeCell ref="R86:R87"/>
    <mergeCell ref="S86:S87"/>
    <mergeCell ref="T86:T87"/>
    <mergeCell ref="U86:U87"/>
    <mergeCell ref="T92:T93"/>
    <mergeCell ref="Q92:Q93"/>
    <mergeCell ref="R92:R93"/>
    <mergeCell ref="AE102:AG102"/>
    <mergeCell ref="P94:AG94"/>
    <mergeCell ref="AE95:AG95"/>
    <mergeCell ref="AE96:AG96"/>
    <mergeCell ref="P97:AG97"/>
    <mergeCell ref="AE98:AG98"/>
    <mergeCell ref="X101:X102"/>
    <mergeCell ref="X98:X99"/>
    <mergeCell ref="X95:X96"/>
    <mergeCell ref="Z101:Z102"/>
    <mergeCell ref="AE54:AG54"/>
    <mergeCell ref="S80:S81"/>
    <mergeCell ref="T80:T81"/>
    <mergeCell ref="U80:U81"/>
    <mergeCell ref="U77:U78"/>
    <mergeCell ref="T77:T78"/>
    <mergeCell ref="AE99:AG99"/>
    <mergeCell ref="P100:AG100"/>
    <mergeCell ref="AE101:AG101"/>
    <mergeCell ref="AE89:AG89"/>
    <mergeCell ref="AE90:AG90"/>
    <mergeCell ref="P91:AG91"/>
    <mergeCell ref="AE92:AG92"/>
    <mergeCell ref="AE93:AG93"/>
    <mergeCell ref="AE84:AG84"/>
    <mergeCell ref="P85:AG85"/>
    <mergeCell ref="AE86:AG86"/>
    <mergeCell ref="AE87:AG87"/>
    <mergeCell ref="P88:AG88"/>
    <mergeCell ref="S92:S93"/>
    <mergeCell ref="U89:U90"/>
    <mergeCell ref="T89:T90"/>
    <mergeCell ref="S89:S90"/>
    <mergeCell ref="R89:R90"/>
    <mergeCell ref="Q53:Q54"/>
    <mergeCell ref="Q50:Q51"/>
    <mergeCell ref="R50:R51"/>
    <mergeCell ref="S50:S51"/>
    <mergeCell ref="T50:T51"/>
    <mergeCell ref="U50:U51"/>
    <mergeCell ref="U47:U48"/>
    <mergeCell ref="T47:T48"/>
    <mergeCell ref="S47:S48"/>
    <mergeCell ref="R47:R48"/>
    <mergeCell ref="Q47:Q48"/>
    <mergeCell ref="AE44:AG44"/>
    <mergeCell ref="AE45:AG45"/>
    <mergeCell ref="P40:AG40"/>
    <mergeCell ref="AE41:AG41"/>
    <mergeCell ref="AE42:AG42"/>
    <mergeCell ref="P37:AG37"/>
    <mergeCell ref="AE38:AG38"/>
    <mergeCell ref="AE39:AG39"/>
    <mergeCell ref="U41:U42"/>
    <mergeCell ref="T41:T42"/>
    <mergeCell ref="S41:S42"/>
    <mergeCell ref="R41:R42"/>
    <mergeCell ref="Q41:Q42"/>
    <mergeCell ref="Q38:Q39"/>
    <mergeCell ref="R38:R39"/>
    <mergeCell ref="S38:S39"/>
    <mergeCell ref="T38:T39"/>
    <mergeCell ref="U38:U39"/>
    <mergeCell ref="X38:X39"/>
    <mergeCell ref="Z38:Z39"/>
    <mergeCell ref="Z41:Z42"/>
    <mergeCell ref="Z44:Z45"/>
    <mergeCell ref="P43:AG43"/>
    <mergeCell ref="Q44:Q45"/>
    <mergeCell ref="AE29:AG29"/>
    <mergeCell ref="AE30:AG30"/>
    <mergeCell ref="P31:AG31"/>
    <mergeCell ref="P16:AG16"/>
    <mergeCell ref="AE17:AG17"/>
    <mergeCell ref="AE18:AG18"/>
    <mergeCell ref="P19:AG19"/>
    <mergeCell ref="AE20:AG20"/>
    <mergeCell ref="AE21:AG21"/>
    <mergeCell ref="P22:AG22"/>
    <mergeCell ref="AE23:AG23"/>
    <mergeCell ref="AE24:AG24"/>
    <mergeCell ref="P25:AG25"/>
    <mergeCell ref="AE26:AG26"/>
    <mergeCell ref="AE27:AG27"/>
    <mergeCell ref="P28:AG28"/>
    <mergeCell ref="U29:U30"/>
    <mergeCell ref="T29:T30"/>
    <mergeCell ref="S29:S30"/>
    <mergeCell ref="R29:R30"/>
    <mergeCell ref="Q29:Q30"/>
    <mergeCell ref="Q26:Q27"/>
    <mergeCell ref="R26:R27"/>
    <mergeCell ref="S26:S27"/>
    <mergeCell ref="B2:G3"/>
    <mergeCell ref="B5:G5"/>
    <mergeCell ref="I12:I13"/>
    <mergeCell ref="I11:K11"/>
    <mergeCell ref="I5:N5"/>
    <mergeCell ref="I2:N3"/>
    <mergeCell ref="AE11:AG11"/>
    <mergeCell ref="AE12:AG12"/>
    <mergeCell ref="AE14:AG14"/>
    <mergeCell ref="P13:AG13"/>
    <mergeCell ref="AB6:AG7"/>
    <mergeCell ref="Q6:R6"/>
    <mergeCell ref="S6:S7"/>
    <mergeCell ref="T6:T7"/>
    <mergeCell ref="W6:W7"/>
    <mergeCell ref="X6:X7"/>
    <mergeCell ref="L6:N6"/>
    <mergeCell ref="L9:N9"/>
    <mergeCell ref="L7:N7"/>
    <mergeCell ref="L8:N8"/>
    <mergeCell ref="P6:P7"/>
    <mergeCell ref="Z8:Z9"/>
    <mergeCell ref="Z11:Z12"/>
    <mergeCell ref="Z14:Z15"/>
    <mergeCell ref="E23:G23"/>
    <mergeCell ref="E25:G25"/>
    <mergeCell ref="B6:G6"/>
    <mergeCell ref="B10:G10"/>
    <mergeCell ref="B14:G14"/>
    <mergeCell ref="B21:G21"/>
    <mergeCell ref="B24:G24"/>
    <mergeCell ref="E15:G15"/>
    <mergeCell ref="E16:G16"/>
    <mergeCell ref="E17:G17"/>
    <mergeCell ref="E18:G18"/>
    <mergeCell ref="E19:G19"/>
    <mergeCell ref="B13:G13"/>
    <mergeCell ref="E7:G7"/>
    <mergeCell ref="E9:G9"/>
    <mergeCell ref="E11:G11"/>
    <mergeCell ref="E8:G8"/>
    <mergeCell ref="E20:G20"/>
    <mergeCell ref="E22:G22"/>
    <mergeCell ref="AM14:AN14"/>
    <mergeCell ref="AM15:AN15"/>
    <mergeCell ref="AM17:AN17"/>
    <mergeCell ref="AM18:AN18"/>
    <mergeCell ref="AM20:AN20"/>
    <mergeCell ref="AM11:AN11"/>
    <mergeCell ref="AM12:AN12"/>
    <mergeCell ref="AI2:AN6"/>
    <mergeCell ref="U6:U7"/>
    <mergeCell ref="V6:V7"/>
    <mergeCell ref="Y6:Y7"/>
    <mergeCell ref="Z6:Z7"/>
    <mergeCell ref="P2:AG3"/>
    <mergeCell ref="Q8:Q9"/>
    <mergeCell ref="R8:R9"/>
    <mergeCell ref="S8:S9"/>
    <mergeCell ref="T8:T9"/>
    <mergeCell ref="U8:U9"/>
    <mergeCell ref="AE15:AG15"/>
    <mergeCell ref="P5:AG5"/>
    <mergeCell ref="X17:X18"/>
    <mergeCell ref="X14:X15"/>
    <mergeCell ref="X8:X9"/>
    <mergeCell ref="X11:X12"/>
    <mergeCell ref="AM21:AN21"/>
    <mergeCell ref="AM23:AN23"/>
    <mergeCell ref="AM24:AN24"/>
    <mergeCell ref="AM26:AN26"/>
    <mergeCell ref="AM27:AN27"/>
    <mergeCell ref="AM29:AN29"/>
    <mergeCell ref="AM30:AN30"/>
    <mergeCell ref="AM32:AN32"/>
    <mergeCell ref="AM33:AN33"/>
    <mergeCell ref="AM35:AN35"/>
    <mergeCell ref="AM36:AN36"/>
    <mergeCell ref="AM38:AN38"/>
    <mergeCell ref="AM39:AN39"/>
    <mergeCell ref="AM41:AN41"/>
    <mergeCell ref="AM42:AN42"/>
    <mergeCell ref="AM44:AN44"/>
    <mergeCell ref="AM45:AN45"/>
    <mergeCell ref="AM47:AN47"/>
    <mergeCell ref="AM71:AN71"/>
    <mergeCell ref="AM72:AN72"/>
    <mergeCell ref="AM48:AN48"/>
    <mergeCell ref="AM50:AN50"/>
    <mergeCell ref="AM51:AN51"/>
    <mergeCell ref="AM53:AN53"/>
    <mergeCell ref="AM74:AN74"/>
    <mergeCell ref="AM54:AN54"/>
    <mergeCell ref="AM56:AN56"/>
    <mergeCell ref="AM57:AN57"/>
    <mergeCell ref="AM59:AN59"/>
    <mergeCell ref="AM60:AN60"/>
    <mergeCell ref="AM62:AN62"/>
    <mergeCell ref="AM63:AN63"/>
    <mergeCell ref="AM65:AN65"/>
    <mergeCell ref="AM66:AN66"/>
    <mergeCell ref="X92:X93"/>
    <mergeCell ref="X89:X90"/>
    <mergeCell ref="X86:X87"/>
    <mergeCell ref="U83:U84"/>
    <mergeCell ref="T83:T84"/>
    <mergeCell ref="S83:S84"/>
    <mergeCell ref="AE81:AG81"/>
    <mergeCell ref="AM102:AN102"/>
    <mergeCell ref="AE8:AG8"/>
    <mergeCell ref="AM8:AN8"/>
    <mergeCell ref="AE9:AG9"/>
    <mergeCell ref="AM9:AN9"/>
    <mergeCell ref="P10:AG10"/>
    <mergeCell ref="AM81:AN81"/>
    <mergeCell ref="AM83:AN83"/>
    <mergeCell ref="AM84:AN84"/>
    <mergeCell ref="AM86:AN86"/>
    <mergeCell ref="AM87:AN87"/>
    <mergeCell ref="AM89:AN89"/>
    <mergeCell ref="AM90:AN90"/>
    <mergeCell ref="AM92:AN92"/>
    <mergeCell ref="AM93:AN93"/>
    <mergeCell ref="AM68:AN68"/>
    <mergeCell ref="AM69:AN69"/>
    <mergeCell ref="Z74:Z75"/>
    <mergeCell ref="Z77:Z78"/>
    <mergeCell ref="Z80:Z81"/>
    <mergeCell ref="AM95:AN95"/>
    <mergeCell ref="AM96:AN96"/>
    <mergeCell ref="AM98:AN98"/>
    <mergeCell ref="AM99:AN99"/>
    <mergeCell ref="AM101:AN101"/>
    <mergeCell ref="AM75:AN75"/>
    <mergeCell ref="AM77:AN77"/>
    <mergeCell ref="AM78:AN78"/>
    <mergeCell ref="AM80:AN80"/>
    <mergeCell ref="R65:R66"/>
    <mergeCell ref="Q65:Q66"/>
    <mergeCell ref="Q62:Q63"/>
    <mergeCell ref="X83:X84"/>
    <mergeCell ref="X77:X78"/>
    <mergeCell ref="X80:X81"/>
    <mergeCell ref="X74:X75"/>
    <mergeCell ref="X71:X72"/>
    <mergeCell ref="X68:X69"/>
    <mergeCell ref="P82:AG82"/>
    <mergeCell ref="AE83:AG83"/>
    <mergeCell ref="AE74:AG74"/>
    <mergeCell ref="AE75:AG75"/>
    <mergeCell ref="P76:AG76"/>
    <mergeCell ref="AE77:AG77"/>
    <mergeCell ref="AE78:AG78"/>
    <mergeCell ref="AE69:AG69"/>
    <mergeCell ref="P70:AG70"/>
    <mergeCell ref="AE71:AG71"/>
    <mergeCell ref="AE72:AG72"/>
    <mergeCell ref="P73:AG73"/>
    <mergeCell ref="P79:AG79"/>
    <mergeCell ref="AE80:AG80"/>
    <mergeCell ref="R83:R84"/>
    <mergeCell ref="Q80:Q81"/>
    <mergeCell ref="R80:R81"/>
    <mergeCell ref="Z29:Z30"/>
    <mergeCell ref="X65:X66"/>
    <mergeCell ref="X62:X63"/>
    <mergeCell ref="X59:X60"/>
    <mergeCell ref="X56:X57"/>
    <mergeCell ref="X53:X54"/>
    <mergeCell ref="X50:X51"/>
    <mergeCell ref="X47:X48"/>
    <mergeCell ref="X44:X45"/>
    <mergeCell ref="X41:X42"/>
    <mergeCell ref="P64:AG64"/>
    <mergeCell ref="AE65:AG65"/>
    <mergeCell ref="AE66:AG66"/>
    <mergeCell ref="AE59:AG59"/>
    <mergeCell ref="AE60:AG60"/>
    <mergeCell ref="P61:AG61"/>
    <mergeCell ref="AE62:AG62"/>
    <mergeCell ref="AE63:AG63"/>
    <mergeCell ref="U65:U66"/>
    <mergeCell ref="T65:T66"/>
    <mergeCell ref="X29:X30"/>
    <mergeCell ref="S65:S66"/>
    <mergeCell ref="X26:X27"/>
    <mergeCell ref="X23:X24"/>
    <mergeCell ref="X20:X21"/>
    <mergeCell ref="Z98:Z99"/>
    <mergeCell ref="Z47:Z48"/>
    <mergeCell ref="Z50:Z51"/>
    <mergeCell ref="Z53:Z54"/>
    <mergeCell ref="Z56:Z57"/>
    <mergeCell ref="Z59:Z60"/>
    <mergeCell ref="Z62:Z63"/>
    <mergeCell ref="Z65:Z66"/>
    <mergeCell ref="Z68:Z69"/>
    <mergeCell ref="Z71:Z72"/>
    <mergeCell ref="P67:AG67"/>
    <mergeCell ref="AE68:AG68"/>
    <mergeCell ref="Q68:Q69"/>
    <mergeCell ref="R68:R69"/>
    <mergeCell ref="S68:S69"/>
    <mergeCell ref="T68:T69"/>
    <mergeCell ref="U68:U69"/>
    <mergeCell ref="R62:R63"/>
    <mergeCell ref="S62:S63"/>
    <mergeCell ref="T62:T63"/>
    <mergeCell ref="Q83:Q84"/>
    <mergeCell ref="Z17:Z18"/>
    <mergeCell ref="Z20:Z21"/>
    <mergeCell ref="Z23:Z24"/>
    <mergeCell ref="Z26:Z27"/>
    <mergeCell ref="Z83:Z84"/>
    <mergeCell ref="Z86:Z87"/>
    <mergeCell ref="Z89:Z90"/>
    <mergeCell ref="Z92:Z93"/>
    <mergeCell ref="Z95:Z96"/>
    <mergeCell ref="P55:AG55"/>
    <mergeCell ref="AE56:AG56"/>
    <mergeCell ref="AE57:AG57"/>
    <mergeCell ref="P58:AG58"/>
    <mergeCell ref="P49:AG49"/>
    <mergeCell ref="AE50:AG50"/>
    <mergeCell ref="AE51:AG51"/>
    <mergeCell ref="P52:AG52"/>
    <mergeCell ref="AE53:AG53"/>
    <mergeCell ref="AE47:AG47"/>
    <mergeCell ref="AE48:AG48"/>
    <mergeCell ref="U53:U54"/>
    <mergeCell ref="T53:T54"/>
    <mergeCell ref="S53:S54"/>
    <mergeCell ref="R53:R5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3615-5E18-486D-954F-B8AC710D64FA}">
  <dimension ref="B2:AL30"/>
  <sheetViews>
    <sheetView zoomScale="70" zoomScaleNormal="70" workbookViewId="0"/>
  </sheetViews>
  <sheetFormatPr defaultRowHeight="14.25" x14ac:dyDescent="0.45"/>
  <cols>
    <col min="1" max="1" width="5.53125" customWidth="1"/>
    <col min="3" max="3" width="7" customWidth="1"/>
    <col min="6" max="6" width="13.86328125" customWidth="1"/>
    <col min="10" max="10" width="16.19921875" customWidth="1"/>
    <col min="11" max="11" width="9.46484375" customWidth="1"/>
    <col min="18" max="18" width="12.1328125" customWidth="1"/>
    <col min="19" max="19" width="15.46484375" customWidth="1"/>
    <col min="21" max="21" width="8.796875" customWidth="1"/>
    <col min="22" max="22" width="7.796875" customWidth="1"/>
    <col min="31" max="31" width="20.86328125" customWidth="1"/>
    <col min="32" max="32" width="13.46484375" customWidth="1"/>
    <col min="33" max="33" width="18.1328125" customWidth="1"/>
    <col min="34" max="34" width="30.1328125" customWidth="1"/>
    <col min="35" max="35" width="19.86328125" customWidth="1"/>
    <col min="36" max="36" width="18.86328125" customWidth="1"/>
    <col min="37" max="37" width="15.19921875" customWidth="1"/>
    <col min="38" max="38" width="24.19921875" customWidth="1"/>
  </cols>
  <sheetData>
    <row r="2" spans="2:38" ht="28.5" x14ac:dyDescent="0.45">
      <c r="B2" s="1" t="s">
        <v>14</v>
      </c>
      <c r="D2" s="1" t="s">
        <v>15</v>
      </c>
      <c r="F2" s="41" t="s">
        <v>84</v>
      </c>
      <c r="H2" s="401" t="s">
        <v>18</v>
      </c>
      <c r="I2" s="401"/>
      <c r="J2" s="40"/>
      <c r="L2" s="402" t="s">
        <v>41</v>
      </c>
      <c r="M2" s="403"/>
      <c r="N2" s="403"/>
      <c r="O2" s="404"/>
      <c r="R2" s="401" t="s">
        <v>55</v>
      </c>
      <c r="S2" s="401"/>
      <c r="U2" s="401" t="s">
        <v>54</v>
      </c>
      <c r="V2" s="401"/>
      <c r="W2" s="401"/>
      <c r="X2" s="401"/>
      <c r="Y2" s="401"/>
      <c r="Z2" s="401"/>
      <c r="AA2" s="401"/>
      <c r="AB2" s="401"/>
      <c r="AC2" s="401"/>
      <c r="AE2" s="41" t="s">
        <v>83</v>
      </c>
      <c r="AG2" s="400" t="s">
        <v>99</v>
      </c>
      <c r="AH2" s="400"/>
      <c r="AI2" s="147"/>
      <c r="AJ2" s="147"/>
      <c r="AK2" s="147"/>
      <c r="AL2" s="147"/>
    </row>
    <row r="3" spans="2:38" ht="14.45" customHeight="1" x14ac:dyDescent="0.45">
      <c r="B3" s="2">
        <v>230</v>
      </c>
      <c r="D3" s="2">
        <v>2</v>
      </c>
      <c r="F3" s="13" t="s">
        <v>19</v>
      </c>
      <c r="H3" s="5" t="s">
        <v>19</v>
      </c>
      <c r="I3" s="2" t="s">
        <v>25</v>
      </c>
      <c r="L3" s="405"/>
      <c r="M3" s="406"/>
      <c r="N3" s="406"/>
      <c r="O3" s="407"/>
      <c r="P3" s="21" t="s">
        <v>42</v>
      </c>
      <c r="R3" s="28" t="s">
        <v>56</v>
      </c>
      <c r="S3" s="28" t="s">
        <v>45</v>
      </c>
      <c r="U3" s="37" t="s">
        <v>46</v>
      </c>
      <c r="V3" s="37" t="s">
        <v>79</v>
      </c>
      <c r="W3" s="37" t="s">
        <v>47</v>
      </c>
      <c r="X3" s="37" t="s">
        <v>80</v>
      </c>
      <c r="Y3" s="37" t="s">
        <v>81</v>
      </c>
      <c r="Z3" s="37" t="s">
        <v>19</v>
      </c>
      <c r="AA3" s="37" t="s">
        <v>48</v>
      </c>
      <c r="AB3" s="37" t="s">
        <v>21</v>
      </c>
      <c r="AC3" s="37" t="s">
        <v>49</v>
      </c>
      <c r="AE3" s="2">
        <v>0.5</v>
      </c>
      <c r="AG3" s="151" t="s">
        <v>204</v>
      </c>
      <c r="AH3" s="151" t="s">
        <v>205</v>
      </c>
      <c r="AI3" s="147"/>
      <c r="AJ3" s="147"/>
      <c r="AK3" s="147"/>
      <c r="AL3" s="147"/>
    </row>
    <row r="4" spans="2:38" x14ac:dyDescent="0.45">
      <c r="B4" s="2">
        <v>400</v>
      </c>
      <c r="D4" s="2">
        <v>4</v>
      </c>
      <c r="F4" s="13" t="s">
        <v>20</v>
      </c>
      <c r="H4" s="5" t="s">
        <v>20</v>
      </c>
      <c r="I4" s="2" t="s">
        <v>26</v>
      </c>
      <c r="L4" s="24" t="s">
        <v>93</v>
      </c>
      <c r="M4" s="25"/>
      <c r="N4" s="25"/>
      <c r="O4" s="25"/>
      <c r="P4" s="22">
        <v>6</v>
      </c>
      <c r="R4" s="30" t="s">
        <v>43</v>
      </c>
      <c r="S4" s="42">
        <v>3.5999999999999997E-2</v>
      </c>
      <c r="U4" s="36">
        <v>1</v>
      </c>
      <c r="V4" s="36">
        <v>2</v>
      </c>
      <c r="W4" s="36">
        <v>3</v>
      </c>
      <c r="X4" s="36">
        <v>4</v>
      </c>
      <c r="Y4" s="36">
        <v>5</v>
      </c>
      <c r="Z4" s="36">
        <v>61</v>
      </c>
      <c r="AA4" s="36">
        <v>13</v>
      </c>
      <c r="AB4" s="36">
        <v>13</v>
      </c>
      <c r="AC4" s="36">
        <v>14</v>
      </c>
      <c r="AE4" s="2">
        <v>0.75</v>
      </c>
      <c r="AG4" s="152" t="str">
        <f>A[[#Headers],[A]]</f>
        <v>A</v>
      </c>
      <c r="AH4" s="152"/>
      <c r="AI4" s="148"/>
      <c r="AJ4" s="148"/>
      <c r="AK4" s="148"/>
      <c r="AL4" s="148"/>
    </row>
    <row r="5" spans="2:38" x14ac:dyDescent="0.45">
      <c r="D5" s="2">
        <v>6</v>
      </c>
      <c r="F5" s="13" t="s">
        <v>21</v>
      </c>
      <c r="H5" s="5" t="s">
        <v>21</v>
      </c>
      <c r="I5" s="2" t="s">
        <v>27</v>
      </c>
      <c r="J5" s="4" t="s">
        <v>24</v>
      </c>
      <c r="L5" s="24" t="s">
        <v>98</v>
      </c>
      <c r="M5" s="25"/>
      <c r="N5" s="25"/>
      <c r="O5" s="25"/>
      <c r="P5" s="22">
        <v>8</v>
      </c>
      <c r="R5" s="30" t="s">
        <v>44</v>
      </c>
      <c r="S5" s="42">
        <v>2.2499999999999999E-2</v>
      </c>
      <c r="U5" s="36">
        <v>51</v>
      </c>
      <c r="V5" s="38">
        <v>72</v>
      </c>
      <c r="W5" s="36">
        <v>21</v>
      </c>
      <c r="X5" s="36">
        <v>21</v>
      </c>
      <c r="Y5" s="36">
        <v>11</v>
      </c>
      <c r="Z5" s="36">
        <v>62</v>
      </c>
      <c r="AA5" s="36">
        <v>14</v>
      </c>
      <c r="AB5" s="36">
        <v>14</v>
      </c>
      <c r="AC5" s="36">
        <v>15</v>
      </c>
      <c r="AE5" s="2">
        <v>1</v>
      </c>
      <c r="AG5" s="152" t="str">
        <f>A2_[[#Headers],[A2_]]</f>
        <v>A2_</v>
      </c>
      <c r="AH5" s="2"/>
      <c r="AI5" s="149"/>
      <c r="AJ5" s="149"/>
      <c r="AK5" s="149"/>
      <c r="AL5" s="149"/>
    </row>
    <row r="6" spans="2:38" x14ac:dyDescent="0.45">
      <c r="D6" s="2">
        <v>10</v>
      </c>
      <c r="H6" s="5" t="s">
        <v>21</v>
      </c>
      <c r="I6" s="2" t="s">
        <v>28</v>
      </c>
      <c r="J6" s="4" t="s">
        <v>23</v>
      </c>
      <c r="L6" s="24" t="s">
        <v>94</v>
      </c>
      <c r="M6" s="25"/>
      <c r="N6" s="25"/>
      <c r="O6" s="25"/>
      <c r="P6" s="22">
        <v>3</v>
      </c>
      <c r="U6" s="36">
        <v>71</v>
      </c>
      <c r="V6" s="29"/>
      <c r="W6" s="36">
        <v>22</v>
      </c>
      <c r="X6" s="36">
        <v>22</v>
      </c>
      <c r="Y6" s="36" t="s">
        <v>51</v>
      </c>
      <c r="Z6" s="38">
        <v>63</v>
      </c>
      <c r="AA6" s="36">
        <v>15</v>
      </c>
      <c r="AB6" s="36">
        <v>15</v>
      </c>
      <c r="AC6" s="36">
        <v>16</v>
      </c>
      <c r="AE6" s="2">
        <v>1.5</v>
      </c>
      <c r="AG6" s="153" t="str">
        <f>B[[#Headers],[B]]</f>
        <v>B</v>
      </c>
      <c r="AH6" s="154"/>
      <c r="AI6" s="15"/>
      <c r="AJ6" s="15"/>
      <c r="AK6" s="15"/>
      <c r="AL6" s="15"/>
    </row>
    <row r="7" spans="2:38" x14ac:dyDescent="0.45">
      <c r="D7" s="2">
        <v>16</v>
      </c>
      <c r="H7" s="5" t="s">
        <v>21</v>
      </c>
      <c r="I7" s="2" t="s">
        <v>29</v>
      </c>
      <c r="J7" s="4" t="s">
        <v>22</v>
      </c>
      <c r="L7" s="24" t="s">
        <v>97</v>
      </c>
      <c r="M7" s="25"/>
      <c r="N7" s="25"/>
      <c r="O7" s="25"/>
      <c r="P7" s="22">
        <v>5</v>
      </c>
      <c r="U7" s="36">
        <v>73</v>
      </c>
      <c r="V7" s="29"/>
      <c r="W7" s="36">
        <v>23</v>
      </c>
      <c r="X7" s="36">
        <v>23</v>
      </c>
      <c r="Y7" s="36">
        <v>12</v>
      </c>
      <c r="Z7" s="29"/>
      <c r="AA7" s="36">
        <v>16</v>
      </c>
      <c r="AB7" s="38">
        <v>16</v>
      </c>
      <c r="AC7" s="36">
        <v>17</v>
      </c>
      <c r="AE7" s="2">
        <v>2.5</v>
      </c>
      <c r="AG7" s="153" t="str">
        <f>B2_[[#Headers],[B2_]]</f>
        <v>B2_</v>
      </c>
      <c r="AH7" s="6"/>
      <c r="AI7" s="15"/>
      <c r="AJ7" s="15"/>
      <c r="AK7" s="15"/>
      <c r="AL7" s="15"/>
    </row>
    <row r="8" spans="2:38" x14ac:dyDescent="0.45">
      <c r="D8" s="2">
        <v>20</v>
      </c>
      <c r="L8" s="24" t="s">
        <v>82</v>
      </c>
      <c r="M8" s="25"/>
      <c r="N8" s="25"/>
      <c r="O8" s="25"/>
      <c r="P8" s="22">
        <v>1</v>
      </c>
      <c r="R8" s="401" t="s">
        <v>57</v>
      </c>
      <c r="S8" s="401"/>
      <c r="U8" s="38">
        <v>74</v>
      </c>
      <c r="V8" s="29"/>
      <c r="W8" s="36">
        <v>24</v>
      </c>
      <c r="X8" s="36">
        <v>24</v>
      </c>
      <c r="Y8" s="36">
        <v>52</v>
      </c>
      <c r="Z8" s="29"/>
      <c r="AA8" s="38">
        <v>17</v>
      </c>
      <c r="AB8" s="29"/>
      <c r="AC8" s="38">
        <v>18</v>
      </c>
      <c r="AE8" s="2">
        <v>4</v>
      </c>
      <c r="AG8" s="152" t="str">
        <f>C_[[#Headers],[C_]]</f>
        <v>C_</v>
      </c>
      <c r="AH8" s="154"/>
      <c r="AI8" s="149"/>
      <c r="AJ8" s="149"/>
      <c r="AK8" s="149"/>
      <c r="AL8" s="149"/>
    </row>
    <row r="9" spans="2:38" x14ac:dyDescent="0.45">
      <c r="D9" s="2">
        <v>25</v>
      </c>
      <c r="L9" s="24" t="s">
        <v>95</v>
      </c>
      <c r="M9" s="25"/>
      <c r="N9" s="25"/>
      <c r="O9" s="25"/>
      <c r="P9" s="22">
        <v>0.5</v>
      </c>
      <c r="R9" s="31" t="s">
        <v>50</v>
      </c>
      <c r="S9" s="32"/>
      <c r="U9" s="29"/>
      <c r="V9" s="29"/>
      <c r="W9" s="36">
        <v>25</v>
      </c>
      <c r="X9" s="36">
        <v>25</v>
      </c>
      <c r="Y9" s="38">
        <v>53</v>
      </c>
      <c r="Z9" s="29"/>
      <c r="AA9" s="29"/>
      <c r="AB9" s="29"/>
      <c r="AC9" s="29"/>
      <c r="AE9" s="2">
        <v>6</v>
      </c>
      <c r="AG9" s="153" t="str">
        <f>D[[#Headers],[D]]</f>
        <v>D</v>
      </c>
      <c r="AH9" s="6"/>
      <c r="AI9" s="15"/>
      <c r="AJ9" s="15"/>
      <c r="AK9" s="15"/>
      <c r="AL9" s="15"/>
    </row>
    <row r="10" spans="2:38" ht="12.6" customHeight="1" x14ac:dyDescent="0.45">
      <c r="D10" s="2">
        <v>32</v>
      </c>
      <c r="L10" s="26" t="s">
        <v>96</v>
      </c>
      <c r="M10" s="27"/>
      <c r="N10" s="27"/>
      <c r="O10" s="27"/>
      <c r="P10" s="23">
        <v>1.5</v>
      </c>
      <c r="R10" s="31" t="s">
        <v>58</v>
      </c>
      <c r="S10" s="32"/>
      <c r="U10" s="29"/>
      <c r="V10" s="29"/>
      <c r="W10" s="36">
        <v>31</v>
      </c>
      <c r="X10" s="36" t="s">
        <v>52</v>
      </c>
      <c r="Y10" s="29"/>
      <c r="Z10" s="29"/>
      <c r="AA10" s="29"/>
      <c r="AB10" s="29"/>
      <c r="AC10" s="29"/>
      <c r="AE10" s="2">
        <v>10</v>
      </c>
      <c r="AG10" s="153" t="str">
        <f>E[[#Headers],[E]]</f>
        <v>E</v>
      </c>
      <c r="AH10" s="6"/>
      <c r="AI10" s="15"/>
      <c r="AJ10" s="15"/>
      <c r="AK10" s="15"/>
      <c r="AL10" s="15"/>
    </row>
    <row r="11" spans="2:38" x14ac:dyDescent="0.45">
      <c r="D11" s="2">
        <v>40</v>
      </c>
      <c r="R11" s="33" t="s">
        <v>59</v>
      </c>
      <c r="S11" s="34"/>
      <c r="U11" s="29"/>
      <c r="V11" s="29"/>
      <c r="W11" s="36">
        <v>32</v>
      </c>
      <c r="X11" s="36" t="s">
        <v>53</v>
      </c>
      <c r="Y11" s="29"/>
      <c r="Z11" s="29"/>
      <c r="AA11" s="29"/>
      <c r="AB11" s="29"/>
      <c r="AC11" s="29"/>
      <c r="AE11" s="2">
        <v>16</v>
      </c>
      <c r="AG11" s="152" t="str">
        <f>F[[#Headers],[F]]</f>
        <v>F</v>
      </c>
      <c r="AH11" s="154"/>
      <c r="AI11" s="149"/>
      <c r="AJ11" s="149"/>
      <c r="AK11" s="149"/>
      <c r="AL11" s="149"/>
    </row>
    <row r="12" spans="2:38" x14ac:dyDescent="0.45">
      <c r="D12" s="2">
        <v>50</v>
      </c>
      <c r="U12" s="29"/>
      <c r="V12" s="29"/>
      <c r="W12" s="36">
        <v>33</v>
      </c>
      <c r="X12" s="38">
        <v>41</v>
      </c>
      <c r="Y12" s="29"/>
      <c r="Z12" s="29"/>
      <c r="AA12" s="29"/>
      <c r="AB12" s="29"/>
      <c r="AC12" s="29"/>
      <c r="AE12" s="2">
        <v>25</v>
      </c>
      <c r="AG12" s="153" t="str">
        <f>G[[#Headers],[G]]</f>
        <v>G</v>
      </c>
      <c r="AH12" s="6"/>
      <c r="AI12" s="15"/>
      <c r="AJ12" s="15"/>
      <c r="AK12" s="15"/>
      <c r="AL12" s="15"/>
    </row>
    <row r="13" spans="2:38" x14ac:dyDescent="0.45">
      <c r="D13" s="2">
        <v>63</v>
      </c>
      <c r="U13" s="29"/>
      <c r="V13" s="29"/>
      <c r="W13" s="36">
        <v>34</v>
      </c>
      <c r="X13" s="29"/>
      <c r="Y13" s="29"/>
      <c r="Z13" s="29"/>
      <c r="AA13" s="29"/>
      <c r="AB13" s="29"/>
      <c r="AC13" s="29"/>
      <c r="AE13" s="2">
        <v>35</v>
      </c>
      <c r="AG13" s="118"/>
      <c r="AH13" s="15"/>
      <c r="AI13" s="15"/>
      <c r="AJ13" s="15"/>
      <c r="AK13" s="15"/>
      <c r="AL13" s="15"/>
    </row>
    <row r="14" spans="2:38" x14ac:dyDescent="0.45">
      <c r="D14" s="2">
        <v>80</v>
      </c>
      <c r="U14" s="29"/>
      <c r="V14" s="29"/>
      <c r="W14" s="36">
        <v>41</v>
      </c>
      <c r="X14" s="29"/>
      <c r="Y14" s="29"/>
      <c r="Z14" s="29"/>
      <c r="AA14" s="29"/>
      <c r="AB14" s="29"/>
      <c r="AC14" s="29"/>
      <c r="AE14" s="2">
        <v>50</v>
      </c>
      <c r="AG14" s="148"/>
      <c r="AH14" s="149"/>
      <c r="AI14" s="149"/>
      <c r="AJ14" s="149"/>
      <c r="AK14" s="149"/>
      <c r="AL14" s="149"/>
    </row>
    <row r="15" spans="2:38" x14ac:dyDescent="0.45">
      <c r="D15" s="2">
        <v>100</v>
      </c>
      <c r="U15" s="29"/>
      <c r="V15" s="29"/>
      <c r="W15" s="36">
        <v>42</v>
      </c>
      <c r="X15" s="29"/>
      <c r="Y15" s="29"/>
      <c r="Z15" s="29"/>
      <c r="AA15" s="29"/>
      <c r="AB15" s="29"/>
      <c r="AC15" s="29"/>
      <c r="AE15" s="2">
        <v>70</v>
      </c>
      <c r="AG15" s="118"/>
      <c r="AH15" s="15"/>
      <c r="AI15" s="15"/>
      <c r="AJ15" s="15"/>
      <c r="AK15" s="15"/>
      <c r="AL15" s="15"/>
    </row>
    <row r="16" spans="2:38" x14ac:dyDescent="0.45">
      <c r="D16" s="2">
        <v>125</v>
      </c>
      <c r="U16" s="29"/>
      <c r="V16" s="29"/>
      <c r="W16" s="38">
        <v>43</v>
      </c>
      <c r="X16" s="29"/>
      <c r="Y16" s="29"/>
      <c r="Z16" s="29"/>
      <c r="AA16" s="29"/>
      <c r="AB16" s="29"/>
      <c r="AC16" s="29"/>
      <c r="AE16" s="2">
        <v>75</v>
      </c>
      <c r="AG16" s="118"/>
      <c r="AH16" s="15"/>
      <c r="AI16" s="15"/>
      <c r="AJ16" s="15"/>
      <c r="AK16" s="15"/>
      <c r="AL16" s="15"/>
    </row>
    <row r="17" spans="4:38" x14ac:dyDescent="0.45">
      <c r="D17" s="2">
        <v>160</v>
      </c>
      <c r="AE17" s="2">
        <v>95</v>
      </c>
      <c r="AG17" s="148"/>
      <c r="AH17" s="149"/>
      <c r="AI17" s="149"/>
      <c r="AJ17" s="149"/>
      <c r="AK17" s="149"/>
      <c r="AL17" s="149"/>
    </row>
    <row r="18" spans="4:38" x14ac:dyDescent="0.45">
      <c r="D18" s="2">
        <v>200</v>
      </c>
      <c r="AE18" s="2">
        <v>120</v>
      </c>
      <c r="AG18" s="148"/>
      <c r="AH18" s="149"/>
      <c r="AI18" s="149"/>
      <c r="AJ18" s="149"/>
      <c r="AK18" s="149"/>
      <c r="AL18" s="149"/>
    </row>
    <row r="19" spans="4:38" x14ac:dyDescent="0.45">
      <c r="D19" s="2">
        <v>250</v>
      </c>
      <c r="AE19" s="2">
        <v>150</v>
      </c>
      <c r="AG19" s="148"/>
      <c r="AH19" s="149"/>
      <c r="AI19" s="149"/>
      <c r="AJ19" s="149"/>
      <c r="AK19" s="149"/>
      <c r="AL19" s="149"/>
    </row>
    <row r="20" spans="4:38" x14ac:dyDescent="0.45">
      <c r="D20" s="2">
        <v>315</v>
      </c>
      <c r="AE20" s="2">
        <v>185</v>
      </c>
      <c r="AG20" s="148"/>
      <c r="AH20" s="149"/>
      <c r="AI20" s="149"/>
      <c r="AJ20" s="149"/>
      <c r="AK20" s="149"/>
      <c r="AL20" s="149"/>
    </row>
    <row r="21" spans="4:38" x14ac:dyDescent="0.45">
      <c r="D21" s="2">
        <v>400</v>
      </c>
      <c r="AE21" s="2">
        <v>240</v>
      </c>
      <c r="AG21" s="148"/>
      <c r="AH21" s="150"/>
      <c r="AI21" s="149"/>
      <c r="AJ21" s="149"/>
      <c r="AK21" s="149"/>
      <c r="AL21" s="149"/>
    </row>
    <row r="22" spans="4:38" x14ac:dyDescent="0.45">
      <c r="D22" s="2">
        <v>500</v>
      </c>
      <c r="AE22" s="2">
        <v>300</v>
      </c>
      <c r="AG22" s="118"/>
      <c r="AH22" s="15"/>
      <c r="AI22" s="15"/>
      <c r="AJ22" s="15"/>
      <c r="AK22" s="149"/>
      <c r="AL22" s="15"/>
    </row>
    <row r="23" spans="4:38" x14ac:dyDescent="0.45">
      <c r="D23" s="2">
        <v>630</v>
      </c>
      <c r="AE23" s="2">
        <v>400</v>
      </c>
      <c r="AG23" s="118"/>
      <c r="AH23" s="15"/>
      <c r="AI23" s="15"/>
      <c r="AJ23" s="15"/>
      <c r="AK23" s="149"/>
      <c r="AL23" s="15"/>
    </row>
    <row r="24" spans="4:38" x14ac:dyDescent="0.45">
      <c r="D24" s="2">
        <v>800</v>
      </c>
      <c r="AE24" s="2">
        <v>500</v>
      </c>
      <c r="AG24" s="148"/>
      <c r="AH24" s="150"/>
      <c r="AI24" s="149"/>
      <c r="AJ24" s="149"/>
      <c r="AK24" s="149"/>
      <c r="AL24" s="149"/>
    </row>
    <row r="25" spans="4:38" x14ac:dyDescent="0.45">
      <c r="D25" s="2">
        <v>1000</v>
      </c>
      <c r="AE25" s="2">
        <v>630</v>
      </c>
      <c r="AG25" s="118"/>
      <c r="AH25" s="15"/>
      <c r="AI25" s="15"/>
      <c r="AJ25" s="15"/>
      <c r="AK25" s="149"/>
      <c r="AL25" s="15"/>
    </row>
    <row r="26" spans="4:38" x14ac:dyDescent="0.45">
      <c r="D26" s="2">
        <v>1600</v>
      </c>
      <c r="AG26" s="148"/>
      <c r="AH26" s="150"/>
      <c r="AI26" s="149"/>
      <c r="AJ26" s="149"/>
      <c r="AK26" s="149"/>
      <c r="AL26" s="149"/>
    </row>
    <row r="27" spans="4:38" x14ac:dyDescent="0.45">
      <c r="D27" s="2">
        <v>2000</v>
      </c>
      <c r="AG27" s="118"/>
      <c r="AH27" s="15"/>
      <c r="AI27" s="15"/>
      <c r="AJ27" s="15"/>
      <c r="AK27" s="149"/>
      <c r="AL27" s="15"/>
    </row>
    <row r="28" spans="4:38" x14ac:dyDescent="0.45">
      <c r="D28" s="2">
        <v>2500</v>
      </c>
    </row>
    <row r="29" spans="4:38" x14ac:dyDescent="0.45">
      <c r="D29" s="2">
        <v>3200</v>
      </c>
    </row>
    <row r="30" spans="4:38" x14ac:dyDescent="0.45">
      <c r="D30" s="2">
        <v>4000</v>
      </c>
    </row>
  </sheetData>
  <mergeCells count="6">
    <mergeCell ref="AG2:AH2"/>
    <mergeCell ref="R8:S8"/>
    <mergeCell ref="L2:O3"/>
    <mergeCell ref="H2:I2"/>
    <mergeCell ref="U2:AC2"/>
    <mergeCell ref="R2:S2"/>
  </mergeCells>
  <dataValidations disablePrompts="1" count="1">
    <dataValidation type="list" allowBlank="1" showInputMessage="1" showErrorMessage="1" sqref="B5" xr:uid="{E505DC69-D837-4A79-A8CF-8B5FB3D4A6F4}">
      <formula1>$B$3:$B$4</formula1>
    </dataValidation>
  </dataValidations>
  <pageMargins left="0.7" right="0.7" top="0.75" bottom="0.75" header="0.3" footer="0.3"/>
  <pageSetup paperSize="9" orientation="portrait" horizontalDpi="1200" verticalDpi="120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9</vt:i4>
      </vt:variant>
    </vt:vector>
  </HeadingPairs>
  <TitlesOfParts>
    <vt:vector size="12" baseType="lpstr">
      <vt:lpstr>Dimensionamento</vt:lpstr>
      <vt:lpstr>Corrente CC</vt:lpstr>
      <vt:lpstr>Auxiliares-D</vt:lpstr>
      <vt:lpstr>Método_A</vt:lpstr>
      <vt:lpstr>Método_A2</vt:lpstr>
      <vt:lpstr>Método_B</vt:lpstr>
      <vt:lpstr>Método_B2</vt:lpstr>
      <vt:lpstr>Método_C</vt:lpstr>
      <vt:lpstr>Método_D</vt:lpstr>
      <vt:lpstr>Método_E</vt:lpstr>
      <vt:lpstr>Método_F</vt:lpstr>
      <vt:lpstr>Método_G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Xavier Guimarães de Azevedo</dc:creator>
  <cp:lastModifiedBy>Tiago Oliveira</cp:lastModifiedBy>
  <dcterms:created xsi:type="dcterms:W3CDTF">2025-09-27T11:16:20Z</dcterms:created>
  <dcterms:modified xsi:type="dcterms:W3CDTF">2026-03-11T22:24:50Z</dcterms:modified>
</cp:coreProperties>
</file>