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fe02f6d9689d04/A erospace Year 3/Semester 2 structures/"/>
    </mc:Choice>
  </mc:AlternateContent>
  <xr:revisionPtr revIDLastSave="1814" documentId="8_{2A8F9F98-D203-4DC9-8B7C-E2AA7521A3B9}" xr6:coauthVersionLast="47" xr6:coauthVersionMax="47" xr10:uidLastSave="{D978C7CB-0703-4D97-9547-F3DA4CD7C804}"/>
  <bookViews>
    <workbookView xWindow="-110" yWindow="-110" windowWidth="19420" windowHeight="10300" firstSheet="1" activeTab="2" xr2:uid="{00000000-000D-0000-FFFF-FFFF00000000}"/>
  </bookViews>
  <sheets>
    <sheet name="Shear flow" sheetId="8" r:id="rId1"/>
    <sheet name="Fuselage Stresses" sheetId="3" r:id="rId2"/>
    <sheet name="Data" sheetId="11" r:id="rId3"/>
    <sheet name="Gust Loads" sheetId="13" r:id="rId4"/>
    <sheet name="Fatigue" sheetId="7" r:id="rId5"/>
    <sheet name="Stress-Strain" sheetId="14" r:id="rId6"/>
    <sheet name="New paris law" sheetId="12" r:id="rId7"/>
  </sheets>
  <definedNames>
    <definedName name="solver_eng" localSheetId="5" hidden="1">1</definedName>
    <definedName name="solver_lin" localSheetId="5" hidden="1">2</definedName>
    <definedName name="solver_neg" localSheetId="5" hidden="1">1</definedName>
    <definedName name="solver_num" localSheetId="5" hidden="1">0</definedName>
    <definedName name="solver_opt" localSheetId="5" hidden="1">'Stress-Strain'!$C$31</definedName>
    <definedName name="solver_typ" localSheetId="5" hidden="1">3</definedName>
    <definedName name="solver_val" localSheetId="5" hidden="1">0</definedName>
    <definedName name="solver_ver" localSheetId="5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7" l="1"/>
  <c r="AP19" i="7" s="1"/>
  <c r="X3" i="7"/>
  <c r="W18" i="7" s="1"/>
  <c r="B27" i="7"/>
  <c r="A28" i="7"/>
  <c r="B28" i="7"/>
  <c r="A29" i="7"/>
  <c r="B29" i="7"/>
  <c r="A30" i="7"/>
  <c r="B30" i="7"/>
  <c r="A31" i="7"/>
  <c r="B31" i="7" s="1"/>
  <c r="W27" i="7"/>
  <c r="W28" i="7"/>
  <c r="W51" i="7"/>
  <c r="V52" i="7"/>
  <c r="W52" i="7"/>
  <c r="V53" i="7"/>
  <c r="V54" i="7" s="1"/>
  <c r="W53" i="7"/>
  <c r="AW17" i="7"/>
  <c r="AX17" i="7" s="1"/>
  <c r="AY17" i="7" s="1"/>
  <c r="AZ17" i="7" s="1"/>
  <c r="AW18" i="7"/>
  <c r="AW19" i="7" s="1"/>
  <c r="AX18" i="7"/>
  <c r="AY18" i="7"/>
  <c r="AZ18" i="7" s="1"/>
  <c r="AX35" i="7"/>
  <c r="AY35" i="7"/>
  <c r="AZ35" i="7"/>
  <c r="AX36" i="7"/>
  <c r="AY36" i="7"/>
  <c r="AZ36" i="7"/>
  <c r="AX37" i="7"/>
  <c r="AY37" i="7"/>
  <c r="AZ37" i="7" s="1"/>
  <c r="BG17" i="7"/>
  <c r="AX8" i="7"/>
  <c r="AX9" i="7" s="1"/>
  <c r="AS13" i="7"/>
  <c r="AO43" i="7"/>
  <c r="AP43" i="7" s="1"/>
  <c r="BQ15" i="7"/>
  <c r="BO15" i="7"/>
  <c r="B16" i="12"/>
  <c r="H83" i="14"/>
  <c r="A71" i="14"/>
  <c r="B71" i="14" s="1"/>
  <c r="A72" i="14"/>
  <c r="B72" i="14" s="1"/>
  <c r="BI15" i="7"/>
  <c r="BG15" i="7"/>
  <c r="B22" i="14"/>
  <c r="M18" i="14" s="1"/>
  <c r="M17" i="14"/>
  <c r="A65" i="14"/>
  <c r="B65" i="14" s="1"/>
  <c r="E2" i="14"/>
  <c r="H2" i="14"/>
  <c r="B6" i="14"/>
  <c r="R10" i="14"/>
  <c r="W10" i="14"/>
  <c r="M11" i="14"/>
  <c r="R11" i="14"/>
  <c r="V11" i="14"/>
  <c r="R12" i="14"/>
  <c r="M13" i="14"/>
  <c r="R13" i="14"/>
  <c r="R14" i="14"/>
  <c r="R15" i="14"/>
  <c r="B16" i="14"/>
  <c r="M16" i="14"/>
  <c r="R16" i="14"/>
  <c r="B17" i="14"/>
  <c r="G17" i="14"/>
  <c r="R17" i="14"/>
  <c r="B18" i="14"/>
  <c r="R18" i="14"/>
  <c r="B19" i="14"/>
  <c r="M15" i="14" s="1"/>
  <c r="M19" i="14"/>
  <c r="R19" i="14"/>
  <c r="B20" i="14"/>
  <c r="R20" i="14"/>
  <c r="B21" i="14"/>
  <c r="R21" i="14"/>
  <c r="R22" i="14"/>
  <c r="B23" i="14"/>
  <c r="R23" i="14"/>
  <c r="B24" i="14"/>
  <c r="M20" i="14" s="1"/>
  <c r="H24" i="14"/>
  <c r="R24" i="14"/>
  <c r="B25" i="14"/>
  <c r="M21" i="14" s="1"/>
  <c r="H25" i="14"/>
  <c r="B26" i="14"/>
  <c r="H26" i="14"/>
  <c r="B27" i="14"/>
  <c r="M23" i="14" s="1"/>
  <c r="H27" i="14"/>
  <c r="B28" i="14"/>
  <c r="M24" i="14" s="1"/>
  <c r="H28" i="14"/>
  <c r="H29" i="14"/>
  <c r="H30" i="14"/>
  <c r="C31" i="14"/>
  <c r="B48" i="14" s="1"/>
  <c r="B32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B54" i="14"/>
  <c r="B55" i="14"/>
  <c r="B56" i="14"/>
  <c r="B57" i="14"/>
  <c r="B58" i="14"/>
  <c r="B59" i="14"/>
  <c r="B60" i="14"/>
  <c r="B61" i="14"/>
  <c r="B62" i="14"/>
  <c r="B63" i="14"/>
  <c r="B64" i="14"/>
  <c r="A66" i="14"/>
  <c r="B66" i="14" s="1"/>
  <c r="A67" i="14"/>
  <c r="B67" i="14" s="1"/>
  <c r="A68" i="14"/>
  <c r="B68" i="14" s="1"/>
  <c r="A69" i="14"/>
  <c r="B69" i="14" s="1"/>
  <c r="A70" i="14"/>
  <c r="B70" i="14"/>
  <c r="A73" i="14"/>
  <c r="B73" i="14"/>
  <c r="A74" i="14"/>
  <c r="B74" i="14" s="1"/>
  <c r="A32" i="7" l="1"/>
  <c r="W19" i="7"/>
  <c r="W21" i="7" s="1"/>
  <c r="W30" i="7"/>
  <c r="X30" i="7" s="1"/>
  <c r="W31" i="7" s="1"/>
  <c r="W54" i="7"/>
  <c r="V55" i="7"/>
  <c r="AX19" i="7"/>
  <c r="AY19" i="7" s="1"/>
  <c r="AZ19" i="7" s="1"/>
  <c r="AW20" i="7"/>
  <c r="AO44" i="7"/>
  <c r="H81" i="14"/>
  <c r="H86" i="14" s="1"/>
  <c r="V12" i="14"/>
  <c r="W12" i="14" s="1"/>
  <c r="W11" i="14"/>
  <c r="B36" i="14"/>
  <c r="B41" i="14"/>
  <c r="B40" i="14"/>
  <c r="C32" i="14"/>
  <c r="B42" i="14"/>
  <c r="B44" i="14"/>
  <c r="B47" i="14"/>
  <c r="B39" i="14"/>
  <c r="B43" i="14"/>
  <c r="B38" i="14"/>
  <c r="B37" i="14"/>
  <c r="B45" i="14"/>
  <c r="M22" i="14"/>
  <c r="M14" i="14"/>
  <c r="M12" i="14"/>
  <c r="B46" i="14"/>
  <c r="A33" i="7" l="1"/>
  <c r="B32" i="7"/>
  <c r="W20" i="7"/>
  <c r="W23" i="7" s="1"/>
  <c r="W22" i="7"/>
  <c r="W24" i="7"/>
  <c r="W55" i="7"/>
  <c r="V56" i="7"/>
  <c r="AW21" i="7"/>
  <c r="AX20" i="7"/>
  <c r="AY20" i="7" s="1"/>
  <c r="AZ20" i="7" s="1"/>
  <c r="AP44" i="7"/>
  <c r="AO45" i="7"/>
  <c r="V13" i="14"/>
  <c r="W13" i="14" s="1"/>
  <c r="B33" i="7" l="1"/>
  <c r="A34" i="7"/>
  <c r="W56" i="7"/>
  <c r="V57" i="7"/>
  <c r="AW22" i="7"/>
  <c r="AX21" i="7"/>
  <c r="AY21" i="7" s="1"/>
  <c r="AZ21" i="7" s="1"/>
  <c r="AP45" i="7"/>
  <c r="AO46" i="7"/>
  <c r="V14" i="14"/>
  <c r="V15" i="14"/>
  <c r="W14" i="14"/>
  <c r="B34" i="7" l="1"/>
  <c r="A35" i="7"/>
  <c r="V58" i="7"/>
  <c r="W57" i="7"/>
  <c r="AW23" i="7"/>
  <c r="AX22" i="7"/>
  <c r="AY22" i="7" s="1"/>
  <c r="AZ22" i="7" s="1"/>
  <c r="AO47" i="7"/>
  <c r="AP46" i="7"/>
  <c r="W15" i="14"/>
  <c r="V16" i="14"/>
  <c r="B35" i="7" l="1"/>
  <c r="A36" i="7"/>
  <c r="W58" i="7"/>
  <c r="V59" i="7"/>
  <c r="AW24" i="7"/>
  <c r="AX23" i="7"/>
  <c r="AY23" i="7" s="1"/>
  <c r="AZ23" i="7" s="1"/>
  <c r="AP47" i="7"/>
  <c r="AO48" i="7"/>
  <c r="V17" i="14"/>
  <c r="W16" i="14"/>
  <c r="A37" i="7" l="1"/>
  <c r="B36" i="7"/>
  <c r="W59" i="7"/>
  <c r="V60" i="7"/>
  <c r="AW25" i="7"/>
  <c r="AX24" i="7"/>
  <c r="AY24" i="7" s="1"/>
  <c r="AZ24" i="7" s="1"/>
  <c r="AO49" i="7"/>
  <c r="AP48" i="7"/>
  <c r="V18" i="14"/>
  <c r="W17" i="14"/>
  <c r="B37" i="7" l="1"/>
  <c r="A38" i="7"/>
  <c r="V61" i="7"/>
  <c r="W60" i="7"/>
  <c r="AX25" i="7"/>
  <c r="AY25" i="7" s="1"/>
  <c r="AZ25" i="7" s="1"/>
  <c r="AW26" i="7"/>
  <c r="AP49" i="7"/>
  <c r="AO50" i="7"/>
  <c r="V19" i="14"/>
  <c r="W18" i="14"/>
  <c r="B38" i="7" l="1"/>
  <c r="A39" i="7"/>
  <c r="V62" i="7"/>
  <c r="W61" i="7"/>
  <c r="AW27" i="7"/>
  <c r="AX26" i="7"/>
  <c r="AY26" i="7" s="1"/>
  <c r="AZ26" i="7" s="1"/>
  <c r="AP50" i="7"/>
  <c r="AO51" i="7"/>
  <c r="W19" i="14"/>
  <c r="V20" i="14"/>
  <c r="B39" i="7" l="1"/>
  <c r="A40" i="7"/>
  <c r="W62" i="7"/>
  <c r="V63" i="7"/>
  <c r="AW28" i="7"/>
  <c r="AX27" i="7"/>
  <c r="AY27" i="7" s="1"/>
  <c r="AZ27" i="7" s="1"/>
  <c r="AO52" i="7"/>
  <c r="AP51" i="7"/>
  <c r="W20" i="14"/>
  <c r="V21" i="14"/>
  <c r="B11" i="12"/>
  <c r="A41" i="7" l="1"/>
  <c r="B40" i="7"/>
  <c r="W63" i="7"/>
  <c r="V64" i="7"/>
  <c r="AW29" i="7"/>
  <c r="AX28" i="7"/>
  <c r="AY28" i="7" s="1"/>
  <c r="AZ28" i="7" s="1"/>
  <c r="AP52" i="7"/>
  <c r="AO53" i="7"/>
  <c r="V22" i="14"/>
  <c r="W21" i="14"/>
  <c r="J3" i="8"/>
  <c r="J4" i="8"/>
  <c r="J5" i="8"/>
  <c r="J6" i="8"/>
  <c r="J7" i="8"/>
  <c r="J8" i="8"/>
  <c r="J9" i="8"/>
  <c r="J10" i="8"/>
  <c r="J11" i="8"/>
  <c r="J2" i="8"/>
  <c r="B41" i="7" l="1"/>
  <c r="A42" i="7"/>
  <c r="W64" i="7"/>
  <c r="V65" i="7"/>
  <c r="AX29" i="7"/>
  <c r="AY29" i="7" s="1"/>
  <c r="AZ29" i="7" s="1"/>
  <c r="AW30" i="7"/>
  <c r="AO54" i="7"/>
  <c r="AP53" i="7"/>
  <c r="V23" i="14"/>
  <c r="W22" i="14"/>
  <c r="D3" i="12"/>
  <c r="D4" i="12" s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G17" i="3"/>
  <c r="K7" i="8"/>
  <c r="B14" i="12"/>
  <c r="F2" i="12"/>
  <c r="G2" i="12" s="1"/>
  <c r="B7" i="12"/>
  <c r="B6" i="12"/>
  <c r="B1" i="12"/>
  <c r="B9" i="12"/>
  <c r="F12" i="3"/>
  <c r="A43" i="7" l="1"/>
  <c r="B42" i="7"/>
  <c r="V66" i="7"/>
  <c r="W65" i="7"/>
  <c r="AW31" i="7"/>
  <c r="AX30" i="7"/>
  <c r="AY30" i="7" s="1"/>
  <c r="AZ30" i="7" s="1"/>
  <c r="AP54" i="7"/>
  <c r="AO55" i="7"/>
  <c r="W23" i="14"/>
  <c r="V24" i="14"/>
  <c r="R17" i="3"/>
  <c r="F4" i="12"/>
  <c r="G4" i="12" s="1"/>
  <c r="F3" i="12"/>
  <c r="G3" i="12" s="1"/>
  <c r="B43" i="7" l="1"/>
  <c r="A44" i="7"/>
  <c r="W66" i="7"/>
  <c r="V67" i="7"/>
  <c r="AW32" i="7"/>
  <c r="AX31" i="7"/>
  <c r="AY31" i="7" s="1"/>
  <c r="AZ31" i="7" s="1"/>
  <c r="AO56" i="7"/>
  <c r="AP55" i="7"/>
  <c r="W24" i="14"/>
  <c r="V25" i="14"/>
  <c r="F5" i="12"/>
  <c r="G5" i="12" s="1"/>
  <c r="B15" i="7"/>
  <c r="F9" i="7"/>
  <c r="F8" i="7"/>
  <c r="M23" i="3"/>
  <c r="G22" i="3"/>
  <c r="H22" i="3" s="1"/>
  <c r="G21" i="3"/>
  <c r="I21" i="3" s="1"/>
  <c r="G20" i="3"/>
  <c r="I20" i="3" s="1"/>
  <c r="G19" i="3"/>
  <c r="I19" i="3" s="1"/>
  <c r="G18" i="3"/>
  <c r="I18" i="3" s="1"/>
  <c r="I17" i="3"/>
  <c r="G16" i="3"/>
  <c r="I16" i="3" s="1"/>
  <c r="G15" i="3"/>
  <c r="I15" i="3" s="1"/>
  <c r="G14" i="3"/>
  <c r="H14" i="3" s="1"/>
  <c r="G13" i="3"/>
  <c r="I13" i="3" s="1"/>
  <c r="G12" i="3"/>
  <c r="I12" i="3" s="1"/>
  <c r="F11" i="3"/>
  <c r="F10" i="3"/>
  <c r="F9" i="3"/>
  <c r="G9" i="3" s="1"/>
  <c r="F8" i="3"/>
  <c r="F7" i="3"/>
  <c r="G7" i="3" s="1"/>
  <c r="F6" i="3"/>
  <c r="F5" i="3"/>
  <c r="F4" i="3"/>
  <c r="F3" i="3"/>
  <c r="G3" i="3" s="1"/>
  <c r="F2" i="3"/>
  <c r="G2" i="3" s="1"/>
  <c r="B15" i="8"/>
  <c r="B14" i="8"/>
  <c r="G11" i="8"/>
  <c r="G10" i="8"/>
  <c r="G9" i="8"/>
  <c r="G8" i="8"/>
  <c r="I7" i="8"/>
  <c r="G7" i="8"/>
  <c r="H7" i="8" s="1"/>
  <c r="G6" i="8"/>
  <c r="G5" i="8"/>
  <c r="G4" i="8"/>
  <c r="G3" i="8"/>
  <c r="O2" i="8"/>
  <c r="I2" i="8"/>
  <c r="K2" i="8" s="1"/>
  <c r="R22" i="3" s="1"/>
  <c r="G2" i="8"/>
  <c r="H2" i="8" s="1"/>
  <c r="B44" i="7" l="1"/>
  <c r="A45" i="7"/>
  <c r="W67" i="7"/>
  <c r="V68" i="7"/>
  <c r="AW33" i="7"/>
  <c r="AX32" i="7"/>
  <c r="AY32" i="7" s="1"/>
  <c r="AZ32" i="7" s="1"/>
  <c r="AP56" i="7"/>
  <c r="AO57" i="7"/>
  <c r="W25" i="14"/>
  <c r="V26" i="14"/>
  <c r="F6" i="12"/>
  <c r="G6" i="12" s="1"/>
  <c r="G11" i="3"/>
  <c r="H11" i="3" s="1"/>
  <c r="I22" i="3"/>
  <c r="H17" i="3"/>
  <c r="H13" i="3"/>
  <c r="H18" i="3"/>
  <c r="H21" i="3"/>
  <c r="I14" i="3"/>
  <c r="H16" i="3"/>
  <c r="H19" i="3"/>
  <c r="H15" i="3"/>
  <c r="H20" i="3"/>
  <c r="I2" i="3"/>
  <c r="H2" i="3"/>
  <c r="I7" i="3"/>
  <c r="H7" i="3"/>
  <c r="I3" i="3"/>
  <c r="H3" i="3"/>
  <c r="H9" i="3"/>
  <c r="I9" i="3"/>
  <c r="G4" i="3"/>
  <c r="G5" i="3"/>
  <c r="G8" i="3"/>
  <c r="G6" i="3"/>
  <c r="G10" i="3"/>
  <c r="H12" i="3"/>
  <c r="B45" i="7" l="1"/>
  <c r="A46" i="7"/>
  <c r="V69" i="7"/>
  <c r="W68" i="7"/>
  <c r="AX33" i="7"/>
  <c r="AY33" i="7" s="1"/>
  <c r="AZ33" i="7" s="1"/>
  <c r="AW34" i="7"/>
  <c r="AX34" i="7" s="1"/>
  <c r="AY34" i="7" s="1"/>
  <c r="AZ34" i="7" s="1"/>
  <c r="AO58" i="7"/>
  <c r="AP57" i="7"/>
  <c r="W26" i="14"/>
  <c r="V27" i="14"/>
  <c r="I11" i="3"/>
  <c r="F7" i="12"/>
  <c r="G7" i="12" s="1"/>
  <c r="G23" i="3"/>
  <c r="I6" i="3"/>
  <c r="H6" i="3"/>
  <c r="I10" i="3"/>
  <c r="H10" i="3"/>
  <c r="I8" i="3"/>
  <c r="H8" i="3"/>
  <c r="I5" i="3"/>
  <c r="H5" i="3"/>
  <c r="I4" i="3"/>
  <c r="H4" i="3"/>
  <c r="B46" i="7" l="1"/>
  <c r="A47" i="7"/>
  <c r="V70" i="7"/>
  <c r="W69" i="7"/>
  <c r="AP58" i="7"/>
  <c r="AO59" i="7"/>
  <c r="V28" i="14"/>
  <c r="W27" i="14"/>
  <c r="F8" i="12"/>
  <c r="G8" i="12" s="1"/>
  <c r="H23" i="3"/>
  <c r="I27" i="3" s="1"/>
  <c r="I23" i="3"/>
  <c r="I28" i="3" s="1"/>
  <c r="B47" i="7" l="1"/>
  <c r="A48" i="7"/>
  <c r="W70" i="7"/>
  <c r="V71" i="7"/>
  <c r="AO60" i="7"/>
  <c r="AP59" i="7"/>
  <c r="D8" i="8"/>
  <c r="K21" i="3"/>
  <c r="V29" i="14"/>
  <c r="W28" i="14"/>
  <c r="F9" i="12"/>
  <c r="G9" i="12" s="1"/>
  <c r="D5" i="8"/>
  <c r="J14" i="3"/>
  <c r="J10" i="3"/>
  <c r="J6" i="3"/>
  <c r="J9" i="3"/>
  <c r="J4" i="3"/>
  <c r="K8" i="3"/>
  <c r="J15" i="3"/>
  <c r="J12" i="3"/>
  <c r="D11" i="8"/>
  <c r="J21" i="3"/>
  <c r="J13" i="3"/>
  <c r="K5" i="3"/>
  <c r="K2" i="3"/>
  <c r="J19" i="3"/>
  <c r="K22" i="3"/>
  <c r="J22" i="3"/>
  <c r="D6" i="8"/>
  <c r="J5" i="3"/>
  <c r="J11" i="3"/>
  <c r="K16" i="3"/>
  <c r="K12" i="3"/>
  <c r="J18" i="3"/>
  <c r="K4" i="3"/>
  <c r="J8" i="3"/>
  <c r="J20" i="3"/>
  <c r="J3" i="3"/>
  <c r="K6" i="3"/>
  <c r="K11" i="3"/>
  <c r="J17" i="3"/>
  <c r="J7" i="3"/>
  <c r="K3" i="3"/>
  <c r="K17" i="3"/>
  <c r="J16" i="3"/>
  <c r="D9" i="8"/>
  <c r="J2" i="3"/>
  <c r="K7" i="3"/>
  <c r="K20" i="3"/>
  <c r="K15" i="3"/>
  <c r="K10" i="3"/>
  <c r="D3" i="8"/>
  <c r="K9" i="3"/>
  <c r="D7" i="8"/>
  <c r="D4" i="8"/>
  <c r="K13" i="3"/>
  <c r="K14" i="3"/>
  <c r="K18" i="3"/>
  <c r="K19" i="3"/>
  <c r="D10" i="8"/>
  <c r="A49" i="7" l="1"/>
  <c r="B48" i="7"/>
  <c r="W71" i="7"/>
  <c r="V72" i="7"/>
  <c r="AP60" i="7"/>
  <c r="AO61" i="7"/>
  <c r="W29" i="14"/>
  <c r="V30" i="14"/>
  <c r="F10" i="12"/>
  <c r="G10" i="12" s="1"/>
  <c r="P13" i="3"/>
  <c r="N13" i="3" s="1"/>
  <c r="P19" i="3"/>
  <c r="N19" i="3" s="1"/>
  <c r="L10" i="3"/>
  <c r="L11" i="3"/>
  <c r="P21" i="3"/>
  <c r="N21" i="3" s="1"/>
  <c r="L5" i="3"/>
  <c r="L8" i="3"/>
  <c r="P22" i="3"/>
  <c r="N22" i="3" s="1"/>
  <c r="L6" i="3"/>
  <c r="L9" i="3"/>
  <c r="P17" i="3"/>
  <c r="N17" i="3" s="1"/>
  <c r="P16" i="3"/>
  <c r="N16" i="3" s="1"/>
  <c r="L4" i="3"/>
  <c r="P15" i="3"/>
  <c r="L7" i="3"/>
  <c r="P18" i="3"/>
  <c r="C11" i="8" s="1"/>
  <c r="E11" i="8" s="1"/>
  <c r="L12" i="3"/>
  <c r="L3" i="3"/>
  <c r="L2" i="3"/>
  <c r="B49" i="7" l="1"/>
  <c r="A50" i="7"/>
  <c r="V73" i="7"/>
  <c r="W72" i="7"/>
  <c r="AO62" i="7"/>
  <c r="AP61" i="7"/>
  <c r="P20" i="3"/>
  <c r="W30" i="14"/>
  <c r="V31" i="14"/>
  <c r="N15" i="3"/>
  <c r="C5" i="8"/>
  <c r="E5" i="8" s="1"/>
  <c r="F11" i="12"/>
  <c r="G11" i="12" s="1"/>
  <c r="C10" i="8"/>
  <c r="E10" i="8" s="1"/>
  <c r="C7" i="8"/>
  <c r="E7" i="8" s="1"/>
  <c r="C8" i="8"/>
  <c r="E8" i="8" s="1"/>
  <c r="C6" i="8"/>
  <c r="E6" i="8" s="1"/>
  <c r="C3" i="8"/>
  <c r="E3" i="8" s="1"/>
  <c r="N20" i="3"/>
  <c r="C9" i="8"/>
  <c r="E9" i="8" s="1"/>
  <c r="N18" i="3"/>
  <c r="P14" i="3"/>
  <c r="N14" i="3" s="1"/>
  <c r="A51" i="7" l="1"/>
  <c r="B51" i="7" s="1"/>
  <c r="B50" i="7"/>
  <c r="V74" i="7"/>
  <c r="W73" i="7"/>
  <c r="AP62" i="7"/>
  <c r="AO63" i="7"/>
  <c r="V32" i="14"/>
  <c r="W31" i="14"/>
  <c r="N23" i="3"/>
  <c r="Q17" i="3" s="1"/>
  <c r="F12" i="12"/>
  <c r="G12" i="12" s="1"/>
  <c r="C4" i="8"/>
  <c r="E4" i="8" s="1"/>
  <c r="W74" i="7" l="1"/>
  <c r="V75" i="7"/>
  <c r="W75" i="7" s="1"/>
  <c r="AO64" i="7"/>
  <c r="AP63" i="7"/>
  <c r="W32" i="14"/>
  <c r="V33" i="14"/>
  <c r="F13" i="12"/>
  <c r="G13" i="12" s="1"/>
  <c r="Q22" i="3"/>
  <c r="Q16" i="3"/>
  <c r="Q15" i="3"/>
  <c r="Q21" i="3"/>
  <c r="Q18" i="3"/>
  <c r="Q14" i="3"/>
  <c r="Q20" i="3"/>
  <c r="B17" i="8"/>
  <c r="Q19" i="3"/>
  <c r="Q13" i="3"/>
  <c r="AP64" i="7" l="1"/>
  <c r="AO65" i="7"/>
  <c r="V34" i="14"/>
  <c r="W33" i="14"/>
  <c r="S22" i="3"/>
  <c r="T22" i="3"/>
  <c r="F3" i="8"/>
  <c r="F4" i="8" s="1"/>
  <c r="F14" i="12"/>
  <c r="G14" i="12" s="1"/>
  <c r="F8" i="8"/>
  <c r="H8" i="8" s="1"/>
  <c r="AO66" i="7" l="1"/>
  <c r="AP65" i="7"/>
  <c r="V35" i="14"/>
  <c r="W34" i="14"/>
  <c r="U22" i="3"/>
  <c r="V22" i="3" s="1"/>
  <c r="H3" i="8"/>
  <c r="I3" i="8"/>
  <c r="K3" i="8" s="1"/>
  <c r="R13" i="3" s="1"/>
  <c r="F15" i="12"/>
  <c r="G15" i="12" s="1"/>
  <c r="F9" i="8"/>
  <c r="F10" i="8" s="1"/>
  <c r="I8" i="8"/>
  <c r="K8" i="8" s="1"/>
  <c r="R21" i="3" s="1"/>
  <c r="I4" i="8"/>
  <c r="H4" i="8"/>
  <c r="F5" i="8"/>
  <c r="F6" i="8" s="1"/>
  <c r="I6" i="8" s="1"/>
  <c r="K6" i="8" s="1"/>
  <c r="R16" i="3" s="1"/>
  <c r="AP66" i="7" l="1"/>
  <c r="AO67" i="7"/>
  <c r="V36" i="14"/>
  <c r="W35" i="14"/>
  <c r="F16" i="12"/>
  <c r="G16" i="12" s="1"/>
  <c r="H9" i="8"/>
  <c r="I9" i="8"/>
  <c r="K9" i="8" s="1"/>
  <c r="R20" i="3" s="1"/>
  <c r="K4" i="8"/>
  <c r="R14" i="3" s="1"/>
  <c r="H10" i="8"/>
  <c r="F11" i="8"/>
  <c r="I10" i="8"/>
  <c r="I5" i="8"/>
  <c r="H5" i="8"/>
  <c r="AO68" i="7" l="1"/>
  <c r="AP68" i="7" s="1"/>
  <c r="AP67" i="7"/>
  <c r="V37" i="14"/>
  <c r="W36" i="14"/>
  <c r="T20" i="3"/>
  <c r="S20" i="3"/>
  <c r="S14" i="3"/>
  <c r="T14" i="3"/>
  <c r="S13" i="3"/>
  <c r="T13" i="3"/>
  <c r="T21" i="3"/>
  <c r="S21" i="3"/>
  <c r="F17" i="12"/>
  <c r="G17" i="12" s="1"/>
  <c r="K10" i="8"/>
  <c r="R19" i="3" s="1"/>
  <c r="K5" i="8"/>
  <c r="R15" i="3" s="1"/>
  <c r="H6" i="8"/>
  <c r="I11" i="8"/>
  <c r="H11" i="8"/>
  <c r="W37" i="14" l="1"/>
  <c r="V38" i="14"/>
  <c r="U21" i="3"/>
  <c r="V21" i="3" s="1"/>
  <c r="U13" i="3"/>
  <c r="V13" i="3" s="1"/>
  <c r="S19" i="3"/>
  <c r="T19" i="3"/>
  <c r="T16" i="3"/>
  <c r="S16" i="3"/>
  <c r="F18" i="12"/>
  <c r="G18" i="12" s="1"/>
  <c r="U20" i="3"/>
  <c r="V20" i="3" s="1"/>
  <c r="U14" i="3"/>
  <c r="V14" i="3" s="1"/>
  <c r="K11" i="8"/>
  <c r="R18" i="3" s="1"/>
  <c r="H12" i="8"/>
  <c r="W38" i="14" l="1"/>
  <c r="S15" i="3"/>
  <c r="T15" i="3"/>
  <c r="F19" i="12"/>
  <c r="G19" i="12" s="1"/>
  <c r="U19" i="3"/>
  <c r="V19" i="3" s="1"/>
  <c r="U15" i="3" l="1"/>
  <c r="V15" i="3" s="1"/>
  <c r="S17" i="3"/>
  <c r="T17" i="3"/>
  <c r="T18" i="3"/>
  <c r="S18" i="3"/>
  <c r="R23" i="3"/>
  <c r="F20" i="12"/>
  <c r="G20" i="12" s="1"/>
  <c r="U16" i="3"/>
  <c r="V16" i="3" s="1"/>
  <c r="U18" i="3" l="1"/>
  <c r="V18" i="3" s="1"/>
  <c r="U17" i="3"/>
  <c r="V17" i="3" s="1"/>
  <c r="F21" i="12"/>
  <c r="G21" i="12" s="1"/>
  <c r="E3" i="7" l="1"/>
  <c r="F22" i="12"/>
  <c r="G22" i="12" s="1"/>
  <c r="AP18" i="7" l="1"/>
  <c r="BI17" i="7"/>
  <c r="BQ17" i="7"/>
  <c r="B6" i="7"/>
  <c r="B5" i="7"/>
  <c r="B7" i="14"/>
  <c r="BQ16" i="7"/>
  <c r="BO17" i="7"/>
  <c r="BO16" i="7"/>
  <c r="BI16" i="7"/>
  <c r="BG16" i="7"/>
  <c r="F23" i="12"/>
  <c r="G23" i="12" s="1"/>
  <c r="AX11" i="7" l="1"/>
  <c r="AP20" i="7"/>
  <c r="AP24" i="7"/>
  <c r="B4" i="12" s="1"/>
  <c r="AP21" i="7"/>
  <c r="AP22" i="7"/>
  <c r="S13" i="14"/>
  <c r="T13" i="14" s="1"/>
  <c r="H17" i="14"/>
  <c r="I26" i="14" s="1"/>
  <c r="H18" i="14"/>
  <c r="I27" i="14" s="1"/>
  <c r="H20" i="14"/>
  <c r="I29" i="14" s="1"/>
  <c r="E23" i="14"/>
  <c r="N19" i="14" s="1"/>
  <c r="O19" i="14" s="1"/>
  <c r="S20" i="14"/>
  <c r="T20" i="14" s="1"/>
  <c r="E16" i="14"/>
  <c r="N12" i="14" s="1"/>
  <c r="O12" i="14" s="1"/>
  <c r="S19" i="14"/>
  <c r="T19" i="14" s="1"/>
  <c r="D31" i="14"/>
  <c r="E18" i="14"/>
  <c r="N14" i="14" s="1"/>
  <c r="O14" i="14" s="1"/>
  <c r="E24" i="14"/>
  <c r="N20" i="14" s="1"/>
  <c r="O20" i="14" s="1"/>
  <c r="S15" i="14"/>
  <c r="T15" i="14" s="1"/>
  <c r="S16" i="14"/>
  <c r="T16" i="14" s="1"/>
  <c r="E28" i="14"/>
  <c r="N24" i="14" s="1"/>
  <c r="O24" i="14" s="1"/>
  <c r="H21" i="14"/>
  <c r="I30" i="14" s="1"/>
  <c r="H19" i="14"/>
  <c r="I28" i="14" s="1"/>
  <c r="E17" i="14"/>
  <c r="N13" i="14" s="1"/>
  <c r="O13" i="14" s="1"/>
  <c r="E25" i="14"/>
  <c r="N21" i="14" s="1"/>
  <c r="O21" i="14" s="1"/>
  <c r="E15" i="14"/>
  <c r="N11" i="14" s="1"/>
  <c r="O11" i="14" s="1"/>
  <c r="H15" i="14"/>
  <c r="I24" i="14" s="1"/>
  <c r="E27" i="14"/>
  <c r="N23" i="14" s="1"/>
  <c r="O23" i="14" s="1"/>
  <c r="S21" i="14"/>
  <c r="T21" i="14" s="1"/>
  <c r="S17" i="14"/>
  <c r="T17" i="14" s="1"/>
  <c r="S22" i="14"/>
  <c r="T22" i="14" s="1"/>
  <c r="E22" i="14"/>
  <c r="N18" i="14" s="1"/>
  <c r="O18" i="14" s="1"/>
  <c r="S24" i="14"/>
  <c r="T24" i="14" s="1"/>
  <c r="E20" i="14"/>
  <c r="N16" i="14" s="1"/>
  <c r="O16" i="14" s="1"/>
  <c r="X10" i="14"/>
  <c r="Y10" i="14" s="1"/>
  <c r="H16" i="14"/>
  <c r="I25" i="14" s="1"/>
  <c r="E26" i="14"/>
  <c r="N22" i="14" s="1"/>
  <c r="O22" i="14" s="1"/>
  <c r="S18" i="14"/>
  <c r="T18" i="14" s="1"/>
  <c r="S12" i="14"/>
  <c r="T12" i="14" s="1"/>
  <c r="S23" i="14"/>
  <c r="T23" i="14" s="1"/>
  <c r="E21" i="14"/>
  <c r="N17" i="14" s="1"/>
  <c r="O17" i="14" s="1"/>
  <c r="S10" i="14"/>
  <c r="T10" i="14" s="1"/>
  <c r="X11" i="14"/>
  <c r="Y11" i="14" s="1"/>
  <c r="S11" i="14"/>
  <c r="T11" i="14" s="1"/>
  <c r="E19" i="14"/>
  <c r="N15" i="14" s="1"/>
  <c r="O15" i="14" s="1"/>
  <c r="S14" i="14"/>
  <c r="T14" i="14" s="1"/>
  <c r="H22" i="14"/>
  <c r="X12" i="14"/>
  <c r="Y12" i="14" s="1"/>
  <c r="X13" i="14"/>
  <c r="Y13" i="14" s="1"/>
  <c r="X14" i="14"/>
  <c r="Y14" i="14" s="1"/>
  <c r="X15" i="14"/>
  <c r="Y15" i="14" s="1"/>
  <c r="X16" i="14"/>
  <c r="Y16" i="14" s="1"/>
  <c r="X17" i="14"/>
  <c r="Y17" i="14" s="1"/>
  <c r="X18" i="14"/>
  <c r="Y18" i="14" s="1"/>
  <c r="X19" i="14"/>
  <c r="Y19" i="14" s="1"/>
  <c r="X20" i="14"/>
  <c r="Y20" i="14" s="1"/>
  <c r="X21" i="14"/>
  <c r="Y21" i="14" s="1"/>
  <c r="X22" i="14"/>
  <c r="Y22" i="14" s="1"/>
  <c r="X23" i="14"/>
  <c r="Y23" i="14" s="1"/>
  <c r="X24" i="14"/>
  <c r="Y24" i="14" s="1"/>
  <c r="X25" i="14"/>
  <c r="Y25" i="14" s="1"/>
  <c r="X26" i="14"/>
  <c r="Y26" i="14" s="1"/>
  <c r="X27" i="14"/>
  <c r="Y27" i="14" s="1"/>
  <c r="X28" i="14"/>
  <c r="Y28" i="14" s="1"/>
  <c r="X29" i="14"/>
  <c r="Y29" i="14" s="1"/>
  <c r="X30" i="14"/>
  <c r="Y30" i="14" s="1"/>
  <c r="X31" i="14"/>
  <c r="Y31" i="14" s="1"/>
  <c r="X32" i="14"/>
  <c r="Y32" i="14" s="1"/>
  <c r="X33" i="14"/>
  <c r="Y33" i="14" s="1"/>
  <c r="X34" i="14"/>
  <c r="Y34" i="14" s="1"/>
  <c r="X35" i="14"/>
  <c r="Y35" i="14" s="1"/>
  <c r="X36" i="14"/>
  <c r="Y36" i="14" s="1"/>
  <c r="X37" i="14"/>
  <c r="Y37" i="14" s="1"/>
  <c r="X38" i="14"/>
  <c r="Y38" i="14" s="1"/>
  <c r="B17" i="7"/>
  <c r="C17" i="7" s="1"/>
  <c r="BO18" i="7"/>
  <c r="BO19" i="7"/>
  <c r="BQ18" i="7"/>
  <c r="BQ19" i="7"/>
  <c r="BG18" i="7"/>
  <c r="BG19" i="7"/>
  <c r="BI18" i="7"/>
  <c r="BI19" i="7"/>
  <c r="B11" i="7"/>
  <c r="B7" i="7"/>
  <c r="B9" i="7"/>
  <c r="B8" i="7"/>
  <c r="F24" i="12"/>
  <c r="G24" i="12" s="1"/>
  <c r="AP23" i="7" l="1"/>
  <c r="AY11" i="7"/>
  <c r="AY12" i="7" s="1"/>
  <c r="AX12" i="7"/>
  <c r="F31" i="14"/>
  <c r="D32" i="14"/>
  <c r="BG20" i="7"/>
  <c r="B18" i="7"/>
  <c r="BO20" i="7"/>
  <c r="BQ20" i="7"/>
  <c r="BQ21" i="7" s="1"/>
  <c r="BQ22" i="7" s="1"/>
  <c r="BI20" i="7"/>
  <c r="BI21" i="7" s="1"/>
  <c r="BI22" i="7" s="1"/>
  <c r="B8" i="12"/>
  <c r="B2" i="12" s="1"/>
  <c r="B10" i="7"/>
  <c r="F25" i="12"/>
  <c r="G25" i="12" s="1"/>
  <c r="E11" i="12"/>
  <c r="H11" i="12" s="1"/>
  <c r="I11" i="12" s="1"/>
  <c r="E7" i="12"/>
  <c r="H7" i="12" s="1"/>
  <c r="I7" i="12" s="1"/>
  <c r="E13" i="12"/>
  <c r="H13" i="12" s="1"/>
  <c r="I13" i="12" s="1"/>
  <c r="E25" i="12"/>
  <c r="H25" i="12" s="1"/>
  <c r="I25" i="12" s="1"/>
  <c r="E15" i="12"/>
  <c r="H15" i="12" s="1"/>
  <c r="I15" i="12" s="1"/>
  <c r="E20" i="12"/>
  <c r="H20" i="12" s="1"/>
  <c r="I20" i="12" s="1"/>
  <c r="E23" i="12"/>
  <c r="H23" i="12" s="1"/>
  <c r="I23" i="12" s="1"/>
  <c r="E6" i="12"/>
  <c r="H6" i="12" s="1"/>
  <c r="I6" i="12" s="1"/>
  <c r="E3" i="12"/>
  <c r="H3" i="12" s="1"/>
  <c r="I3" i="12" s="1"/>
  <c r="E18" i="12"/>
  <c r="H18" i="12" s="1"/>
  <c r="I18" i="12" s="1"/>
  <c r="E24" i="12"/>
  <c r="H24" i="12" s="1"/>
  <c r="I24" i="12" s="1"/>
  <c r="E19" i="12"/>
  <c r="H19" i="12" s="1"/>
  <c r="I19" i="12" s="1"/>
  <c r="E2" i="12"/>
  <c r="H2" i="12" s="1"/>
  <c r="I2" i="12" s="1"/>
  <c r="J2" i="12" s="1"/>
  <c r="E8" i="12"/>
  <c r="H8" i="12" s="1"/>
  <c r="I8" i="12" s="1"/>
  <c r="E5" i="12"/>
  <c r="H5" i="12" s="1"/>
  <c r="I5" i="12" s="1"/>
  <c r="E4" i="12"/>
  <c r="H4" i="12" s="1"/>
  <c r="I4" i="12" s="1"/>
  <c r="E16" i="12"/>
  <c r="H16" i="12" s="1"/>
  <c r="I16" i="12" s="1"/>
  <c r="E14" i="12"/>
  <c r="H14" i="12" s="1"/>
  <c r="I14" i="12" s="1"/>
  <c r="E21" i="12"/>
  <c r="H21" i="12" s="1"/>
  <c r="I21" i="12" s="1"/>
  <c r="E22" i="12"/>
  <c r="H22" i="12" s="1"/>
  <c r="I22" i="12" s="1"/>
  <c r="E17" i="12"/>
  <c r="H17" i="12" s="1"/>
  <c r="I17" i="12" s="1"/>
  <c r="E10" i="12"/>
  <c r="H10" i="12" s="1"/>
  <c r="I10" i="12" s="1"/>
  <c r="E26" i="12"/>
  <c r="H26" i="12" s="1"/>
  <c r="I26" i="12" s="1"/>
  <c r="E12" i="12"/>
  <c r="H12" i="12" s="1"/>
  <c r="I12" i="12" s="1"/>
  <c r="E9" i="12"/>
  <c r="H9" i="12" s="1"/>
  <c r="I9" i="12" s="1"/>
  <c r="BS20" i="7" l="1"/>
  <c r="BG21" i="7"/>
  <c r="BK21" i="7" s="1"/>
  <c r="BK20" i="7"/>
  <c r="BO21" i="7"/>
  <c r="BG22" i="7"/>
  <c r="BK22" i="7" s="1"/>
  <c r="BG24" i="7" s="1"/>
  <c r="BG26" i="7" s="1"/>
  <c r="D63" i="14"/>
  <c r="D72" i="14"/>
  <c r="D66" i="14"/>
  <c r="D67" i="14"/>
  <c r="D74" i="14"/>
  <c r="D71" i="14"/>
  <c r="D54" i="14"/>
  <c r="D61" i="14"/>
  <c r="D69" i="14"/>
  <c r="D73" i="14"/>
  <c r="D55" i="14"/>
  <c r="D58" i="14"/>
  <c r="D57" i="14"/>
  <c r="D65" i="14"/>
  <c r="D70" i="14"/>
  <c r="D56" i="14"/>
  <c r="D60" i="14"/>
  <c r="D62" i="14"/>
  <c r="D59" i="14"/>
  <c r="D64" i="14"/>
  <c r="D68" i="14"/>
  <c r="F26" i="12"/>
  <c r="G26" i="12" s="1"/>
  <c r="J3" i="12"/>
  <c r="J4" i="12" s="1"/>
  <c r="J5" i="12" s="1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BO22" i="7" l="1"/>
  <c r="BS22" i="7" s="1"/>
  <c r="BO24" i="7" s="1"/>
  <c r="BO26" i="7" s="1"/>
  <c r="BS21" i="7"/>
  <c r="F27" i="12"/>
  <c r="G27" i="12" s="1"/>
  <c r="E27" i="12"/>
  <c r="H27" i="12" s="1"/>
  <c r="I27" i="12" s="1"/>
  <c r="J27" i="12" s="1"/>
  <c r="F28" i="12" l="1"/>
  <c r="G28" i="12" s="1"/>
  <c r="E28" i="12"/>
  <c r="H28" i="12" s="1"/>
  <c r="I28" i="12" s="1"/>
  <c r="J28" i="12" s="1"/>
  <c r="F29" i="12" l="1"/>
  <c r="G29" i="12" s="1"/>
  <c r="E29" i="12"/>
  <c r="H29" i="12" s="1"/>
  <c r="I29" i="12" s="1"/>
  <c r="J29" i="12" s="1"/>
  <c r="F30" i="12" l="1"/>
  <c r="G30" i="12" s="1"/>
  <c r="E30" i="12"/>
  <c r="H30" i="12" s="1"/>
  <c r="I30" i="12" s="1"/>
  <c r="J30" i="12" s="1"/>
  <c r="F31" i="12" l="1"/>
  <c r="G31" i="12" s="1"/>
  <c r="E31" i="12"/>
  <c r="H31" i="12" s="1"/>
  <c r="I31" i="12" s="1"/>
  <c r="J31" i="12" s="1"/>
  <c r="F32" i="12" l="1"/>
  <c r="G32" i="12" s="1"/>
  <c r="E32" i="12"/>
  <c r="H32" i="12" s="1"/>
  <c r="I32" i="12" s="1"/>
  <c r="J32" i="12" s="1"/>
  <c r="F33" i="12" l="1"/>
  <c r="G33" i="12" s="1"/>
  <c r="E33" i="12"/>
  <c r="H33" i="12" s="1"/>
  <c r="I33" i="12" s="1"/>
  <c r="J33" i="12" s="1"/>
  <c r="F34" i="12" l="1"/>
  <c r="G34" i="12" s="1"/>
  <c r="E34" i="12"/>
  <c r="H34" i="12" s="1"/>
  <c r="I34" i="12" s="1"/>
  <c r="J34" i="12" s="1"/>
  <c r="F35" i="12" l="1"/>
  <c r="G35" i="12" s="1"/>
  <c r="E35" i="12"/>
  <c r="H35" i="12" s="1"/>
  <c r="I35" i="12" s="1"/>
  <c r="J35" i="12" s="1"/>
  <c r="F36" i="12" l="1"/>
  <c r="G36" i="12" s="1"/>
  <c r="E36" i="12"/>
  <c r="H36" i="12" s="1"/>
  <c r="I36" i="12" s="1"/>
  <c r="J36" i="12" s="1"/>
  <c r="E37" i="12" l="1"/>
  <c r="H37" i="12" s="1"/>
  <c r="I37" i="12" s="1"/>
  <c r="J37" i="12" s="1"/>
  <c r="F37" i="12"/>
  <c r="G37" i="12" s="1"/>
  <c r="F38" i="12" l="1"/>
  <c r="G38" i="12" s="1"/>
  <c r="E38" i="12"/>
  <c r="H38" i="12" s="1"/>
  <c r="I38" i="12" s="1"/>
  <c r="J38" i="12" s="1"/>
  <c r="F39" i="12" l="1"/>
  <c r="G39" i="12" s="1"/>
  <c r="E39" i="12"/>
  <c r="H39" i="12" s="1"/>
  <c r="I39" i="12" s="1"/>
  <c r="J39" i="12" s="1"/>
  <c r="E40" i="12" l="1"/>
  <c r="H40" i="12" s="1"/>
  <c r="I40" i="12" s="1"/>
  <c r="J40" i="12" s="1"/>
  <c r="F40" i="12"/>
  <c r="G40" i="12" s="1"/>
  <c r="E41" i="12" l="1"/>
  <c r="H41" i="12" s="1"/>
  <c r="I41" i="12" s="1"/>
  <c r="J41" i="12" s="1"/>
  <c r="F41" i="12"/>
  <c r="G41" i="12" s="1"/>
  <c r="F42" i="12" l="1"/>
  <c r="G42" i="12" s="1"/>
  <c r="E42" i="12"/>
  <c r="H42" i="12" s="1"/>
  <c r="I42" i="12" s="1"/>
  <c r="J42" i="12" s="1"/>
  <c r="F43" i="12" l="1"/>
  <c r="G43" i="12" s="1"/>
  <c r="E43" i="12"/>
  <c r="H43" i="12" s="1"/>
  <c r="I43" i="12" s="1"/>
  <c r="J43" i="12" s="1"/>
  <c r="F44" i="12" l="1"/>
  <c r="G44" i="12" s="1"/>
  <c r="E44" i="12"/>
  <c r="H44" i="12" s="1"/>
  <c r="I44" i="12" s="1"/>
  <c r="J44" i="12" s="1"/>
  <c r="F45" i="12" l="1"/>
  <c r="G45" i="12" s="1"/>
  <c r="E45" i="12"/>
  <c r="H45" i="12" s="1"/>
  <c r="I45" i="12" s="1"/>
  <c r="J45" i="12" s="1"/>
  <c r="E46" i="12" l="1"/>
  <c r="H46" i="12" s="1"/>
  <c r="I46" i="12" s="1"/>
  <c r="J46" i="12" s="1"/>
  <c r="F46" i="12"/>
  <c r="G46" i="12" s="1"/>
  <c r="F47" i="12" l="1"/>
  <c r="G47" i="12" s="1"/>
  <c r="E47" i="12"/>
  <c r="H47" i="12" s="1"/>
  <c r="I47" i="12" s="1"/>
  <c r="J47" i="12" s="1"/>
  <c r="E48" i="12" l="1"/>
  <c r="H48" i="12" s="1"/>
  <c r="I48" i="12" s="1"/>
  <c r="J48" i="12" s="1"/>
  <c r="F48" i="12"/>
  <c r="G48" i="12" s="1"/>
  <c r="E49" i="12" l="1"/>
  <c r="H49" i="12" s="1"/>
  <c r="I49" i="12" s="1"/>
  <c r="J49" i="12" s="1"/>
  <c r="F49" i="12"/>
  <c r="G49" i="12" s="1"/>
  <c r="F50" i="12" l="1"/>
  <c r="G50" i="12" s="1"/>
  <c r="E50" i="12"/>
  <c r="H50" i="12" s="1"/>
  <c r="I50" i="12" s="1"/>
  <c r="J50" i="12" s="1"/>
  <c r="E51" i="12" l="1"/>
  <c r="H51" i="12" s="1"/>
  <c r="I51" i="12" s="1"/>
  <c r="J51" i="12" s="1"/>
  <c r="F51" i="12"/>
  <c r="G51" i="12" s="1"/>
  <c r="F52" i="12" l="1"/>
  <c r="G52" i="12" s="1"/>
  <c r="E52" i="12"/>
  <c r="H52" i="12" s="1"/>
  <c r="I52" i="12" s="1"/>
  <c r="J52" i="12" s="1"/>
  <c r="E53" i="12" l="1"/>
  <c r="H53" i="12" s="1"/>
  <c r="I53" i="12" s="1"/>
  <c r="J53" i="12" s="1"/>
  <c r="F53" i="12"/>
  <c r="G53" i="12" s="1"/>
  <c r="F54" i="12" l="1"/>
  <c r="G54" i="12" s="1"/>
  <c r="E54" i="12"/>
  <c r="H54" i="12" s="1"/>
  <c r="I54" i="12" s="1"/>
  <c r="J54" i="12" s="1"/>
  <c r="F55" i="12" l="1"/>
  <c r="G55" i="12" s="1"/>
  <c r="E55" i="12"/>
  <c r="H55" i="12" s="1"/>
  <c r="I55" i="12" s="1"/>
  <c r="J55" i="12" s="1"/>
  <c r="E56" i="12" l="1"/>
  <c r="H56" i="12" s="1"/>
  <c r="I56" i="12" s="1"/>
  <c r="J56" i="12" s="1"/>
  <c r="F56" i="12"/>
  <c r="G56" i="12" s="1"/>
  <c r="E57" i="12" l="1"/>
  <c r="H57" i="12" s="1"/>
  <c r="I57" i="12" s="1"/>
  <c r="J57" i="12" s="1"/>
  <c r="F57" i="12"/>
  <c r="G57" i="12" s="1"/>
  <c r="F58" i="12" l="1"/>
  <c r="G58" i="12" s="1"/>
  <c r="E58" i="12"/>
  <c r="H58" i="12" s="1"/>
  <c r="I58" i="12" s="1"/>
  <c r="J58" i="12" s="1"/>
  <c r="E59" i="12" l="1"/>
  <c r="H59" i="12" s="1"/>
  <c r="I59" i="12" s="1"/>
  <c r="J59" i="12" s="1"/>
  <c r="F59" i="12"/>
  <c r="G59" i="12" s="1"/>
  <c r="F60" i="12" l="1"/>
  <c r="G60" i="12" s="1"/>
  <c r="E60" i="12"/>
  <c r="H60" i="12" s="1"/>
  <c r="I60" i="12" s="1"/>
  <c r="J60" i="12" s="1"/>
  <c r="E61" i="12" l="1"/>
  <c r="H61" i="12" s="1"/>
  <c r="I61" i="12" s="1"/>
  <c r="J61" i="12" s="1"/>
  <c r="F61" i="12"/>
  <c r="G61" i="12" s="1"/>
  <c r="F62" i="12" l="1"/>
  <c r="G62" i="12" s="1"/>
  <c r="E62" i="12"/>
  <c r="H62" i="12" s="1"/>
  <c r="I62" i="12" s="1"/>
  <c r="J62" i="12" s="1"/>
  <c r="F63" i="12" l="1"/>
  <c r="G63" i="12" s="1"/>
  <c r="E63" i="12"/>
  <c r="H63" i="12" s="1"/>
  <c r="I63" i="12" s="1"/>
  <c r="J63" i="12" s="1"/>
  <c r="F64" i="12" l="1"/>
  <c r="G64" i="12" s="1"/>
  <c r="E64" i="12"/>
  <c r="H64" i="12" s="1"/>
  <c r="I64" i="12" s="1"/>
  <c r="J64" i="12" s="1"/>
  <c r="E65" i="12" l="1"/>
  <c r="H65" i="12" s="1"/>
  <c r="I65" i="12" s="1"/>
  <c r="J65" i="12" s="1"/>
  <c r="F65" i="12"/>
  <c r="G65" i="12" s="1"/>
  <c r="E66" i="12" l="1"/>
  <c r="H66" i="12" s="1"/>
  <c r="I66" i="12" s="1"/>
  <c r="J66" i="12" s="1"/>
  <c r="F66" i="12"/>
  <c r="G66" i="12" s="1"/>
  <c r="F67" i="12" l="1"/>
  <c r="G67" i="12" s="1"/>
  <c r="E67" i="12"/>
  <c r="H67" i="12" s="1"/>
  <c r="I67" i="12" s="1"/>
  <c r="J67" i="12" s="1"/>
  <c r="F68" i="12" l="1"/>
  <c r="G68" i="12" s="1"/>
  <c r="E68" i="12"/>
  <c r="H68" i="12" s="1"/>
  <c r="I68" i="12" s="1"/>
  <c r="J68" i="12" s="1"/>
  <c r="E69" i="12" l="1"/>
  <c r="H69" i="12" s="1"/>
  <c r="I69" i="12" s="1"/>
  <c r="J69" i="12" s="1"/>
  <c r="F69" i="12"/>
  <c r="G69" i="12" s="1"/>
  <c r="E70" i="12" l="1"/>
  <c r="H70" i="12" s="1"/>
  <c r="I70" i="12" s="1"/>
  <c r="J70" i="12" s="1"/>
  <c r="F70" i="12"/>
  <c r="G70" i="12" s="1"/>
  <c r="E71" i="12" l="1"/>
  <c r="H71" i="12" s="1"/>
  <c r="I71" i="12" s="1"/>
  <c r="J71" i="12" s="1"/>
  <c r="F71" i="12"/>
  <c r="G71" i="12" s="1"/>
  <c r="E72" i="12" l="1"/>
  <c r="H72" i="12" s="1"/>
  <c r="I72" i="12" s="1"/>
  <c r="J72" i="12" s="1"/>
  <c r="F72" i="12"/>
  <c r="G72" i="12" s="1"/>
  <c r="E73" i="12" l="1"/>
  <c r="H73" i="12" s="1"/>
  <c r="I73" i="12" s="1"/>
  <c r="J73" i="12" s="1"/>
  <c r="F73" i="12"/>
  <c r="G73" i="12" s="1"/>
  <c r="E74" i="12" l="1"/>
  <c r="H74" i="12" s="1"/>
  <c r="I74" i="12" s="1"/>
  <c r="J74" i="12" s="1"/>
  <c r="F74" i="12"/>
  <c r="G74" i="12" s="1"/>
  <c r="E75" i="12" l="1"/>
  <c r="H75" i="12" s="1"/>
  <c r="I75" i="12" s="1"/>
  <c r="J75" i="12" s="1"/>
  <c r="F75" i="12"/>
  <c r="G75" i="12" s="1"/>
  <c r="F76" i="12" l="1"/>
  <c r="G76" i="12" s="1"/>
  <c r="E76" i="12"/>
  <c r="H76" i="12" s="1"/>
  <c r="I76" i="12" s="1"/>
  <c r="J76" i="12" s="1"/>
  <c r="E77" i="12" l="1"/>
  <c r="H77" i="12" s="1"/>
  <c r="I77" i="12" s="1"/>
  <c r="J77" i="12" s="1"/>
  <c r="F77" i="12"/>
  <c r="G77" i="12" s="1"/>
  <c r="E78" i="12" l="1"/>
  <c r="H78" i="12" s="1"/>
  <c r="I78" i="12" s="1"/>
  <c r="J78" i="12" s="1"/>
  <c r="F78" i="12"/>
  <c r="G78" i="12" s="1"/>
  <c r="F79" i="12" l="1"/>
  <c r="G79" i="12" s="1"/>
  <c r="E79" i="12"/>
  <c r="H79" i="12" s="1"/>
  <c r="I79" i="12" s="1"/>
  <c r="J79" i="12" l="1"/>
  <c r="E80" i="12"/>
  <c r="H80" i="12" s="1"/>
  <c r="I80" i="12" s="1"/>
  <c r="F80" i="12"/>
  <c r="G80" i="12" s="1"/>
  <c r="J80" i="12" l="1"/>
  <c r="E81" i="12"/>
  <c r="H81" i="12" s="1"/>
  <c r="I81" i="12" s="1"/>
  <c r="F81" i="12"/>
  <c r="G81" i="12" s="1"/>
  <c r="J81" i="12" l="1"/>
  <c r="E82" i="12"/>
  <c r="H82" i="12" s="1"/>
  <c r="I82" i="12" s="1"/>
  <c r="F82" i="12"/>
  <c r="G82" i="12" s="1"/>
  <c r="J82" i="12" l="1"/>
  <c r="F83" i="12"/>
  <c r="G83" i="12" s="1"/>
  <c r="E83" i="12"/>
  <c r="H83" i="12" s="1"/>
  <c r="I83" i="12" s="1"/>
  <c r="J83" i="12" l="1"/>
  <c r="F84" i="12"/>
  <c r="G84" i="12" s="1"/>
  <c r="E84" i="12"/>
  <c r="H84" i="12" s="1"/>
  <c r="I84" i="12" s="1"/>
  <c r="J84" i="12" l="1"/>
  <c r="B12" i="12"/>
  <c r="B17" i="12" s="1"/>
  <c r="B18" i="12" s="1"/>
  <c r="F85" i="12"/>
  <c r="G85" i="12" s="1"/>
  <c r="E85" i="12"/>
  <c r="H85" i="12" s="1"/>
  <c r="I85" i="12" s="1"/>
  <c r="J85" i="12" l="1"/>
  <c r="F86" i="12"/>
  <c r="G86" i="12" s="1"/>
  <c r="E86" i="12"/>
  <c r="H86" i="12" s="1"/>
  <c r="I86" i="12" s="1"/>
  <c r="J86" i="12" l="1"/>
  <c r="F87" i="12"/>
  <c r="G87" i="12" s="1"/>
  <c r="E87" i="12"/>
  <c r="H87" i="12" s="1"/>
  <c r="I87" i="12" s="1"/>
  <c r="J87" i="12" l="1"/>
  <c r="F88" i="12"/>
  <c r="G88" i="12" s="1"/>
  <c r="E88" i="12"/>
  <c r="H88" i="12" s="1"/>
  <c r="I88" i="12" s="1"/>
  <c r="J88" i="12" l="1"/>
  <c r="F89" i="12"/>
  <c r="G89" i="12" s="1"/>
  <c r="E89" i="12"/>
  <c r="H89" i="12" s="1"/>
  <c r="I89" i="12" s="1"/>
  <c r="J89" i="12" l="1"/>
  <c r="E90" i="12"/>
  <c r="H90" i="12" s="1"/>
  <c r="I90" i="12" s="1"/>
  <c r="F90" i="12"/>
  <c r="G90" i="12" s="1"/>
  <c r="J90" i="12" l="1"/>
  <c r="F91" i="12"/>
  <c r="G91" i="12" s="1"/>
  <c r="E91" i="12"/>
  <c r="H91" i="12" s="1"/>
  <c r="I91" i="12" s="1"/>
  <c r="J91" i="12" s="1"/>
  <c r="E92" i="12" l="1"/>
  <c r="H92" i="12" s="1"/>
  <c r="I92" i="12" s="1"/>
  <c r="J92" i="12" s="1"/>
  <c r="F92" i="12"/>
  <c r="G92" i="12" s="1"/>
  <c r="F93" i="12" l="1"/>
  <c r="G93" i="12" s="1"/>
  <c r="E93" i="12"/>
  <c r="H93" i="12" s="1"/>
  <c r="I93" i="12" s="1"/>
  <c r="J93" i="12" s="1"/>
  <c r="E94" i="12" l="1"/>
  <c r="H94" i="12" s="1"/>
  <c r="I94" i="12" s="1"/>
  <c r="F94" i="12"/>
  <c r="G94" i="12" s="1"/>
  <c r="J94" i="12" l="1"/>
  <c r="E95" i="12"/>
  <c r="H95" i="12" s="1"/>
  <c r="I95" i="12" s="1"/>
  <c r="F95" i="12"/>
  <c r="G95" i="12" s="1"/>
  <c r="J95" i="12" l="1"/>
  <c r="E96" i="12"/>
  <c r="H96" i="12" s="1"/>
  <c r="I96" i="12" s="1"/>
  <c r="F96" i="12"/>
  <c r="G96" i="12" s="1"/>
  <c r="J96" i="12" l="1"/>
  <c r="E97" i="12"/>
  <c r="H97" i="12" s="1"/>
  <c r="I97" i="12" s="1"/>
  <c r="F97" i="12"/>
  <c r="G97" i="12" s="1"/>
  <c r="J97" i="12" l="1"/>
  <c r="E98" i="12"/>
  <c r="H98" i="12" s="1"/>
  <c r="I98" i="12" s="1"/>
  <c r="J98" i="12" s="1"/>
  <c r="F98" i="12"/>
  <c r="G98" i="12" s="1"/>
  <c r="F99" i="12" l="1"/>
  <c r="G99" i="12" s="1"/>
  <c r="E99" i="12"/>
  <c r="H99" i="12" s="1"/>
  <c r="I99" i="12" s="1"/>
  <c r="J99" i="12" s="1"/>
  <c r="F100" i="12" l="1"/>
  <c r="G100" i="12" s="1"/>
  <c r="E100" i="12"/>
  <c r="H100" i="12" s="1"/>
  <c r="I100" i="12" s="1"/>
  <c r="J100" i="12" s="1"/>
  <c r="E101" i="12" l="1"/>
  <c r="H101" i="12" s="1"/>
  <c r="I101" i="12" s="1"/>
  <c r="J101" i="12" s="1"/>
  <c r="F101" i="12"/>
  <c r="G101" i="12" s="1"/>
  <c r="E102" i="12" l="1"/>
  <c r="H102" i="12" s="1"/>
  <c r="I102" i="12" s="1"/>
  <c r="J102" i="12" s="1"/>
  <c r="F102" i="12"/>
  <c r="G102" i="12" s="1"/>
  <c r="E103" i="12" l="1"/>
  <c r="H103" i="12" s="1"/>
  <c r="I103" i="12" s="1"/>
  <c r="J103" i="12" s="1"/>
  <c r="F103" i="12"/>
  <c r="G103" i="12" s="1"/>
  <c r="E104" i="12" l="1"/>
  <c r="H104" i="12" s="1"/>
  <c r="I104" i="12" s="1"/>
  <c r="J104" i="12" s="1"/>
  <c r="F104" i="12"/>
  <c r="G104" i="12" s="1"/>
  <c r="E105" i="12" l="1"/>
  <c r="H105" i="12" s="1"/>
  <c r="I105" i="12" s="1"/>
  <c r="J105" i="12" s="1"/>
  <c r="F105" i="12"/>
  <c r="G105" i="12" s="1"/>
  <c r="F106" i="12" l="1"/>
  <c r="G106" i="12" s="1"/>
  <c r="E106" i="12"/>
  <c r="H106" i="12" s="1"/>
  <c r="I106" i="12" s="1"/>
  <c r="J106" i="12" s="1"/>
  <c r="F107" i="12" l="1"/>
  <c r="G107" i="12" s="1"/>
  <c r="E107" i="12"/>
  <c r="H107" i="12" s="1"/>
  <c r="I107" i="12" s="1"/>
  <c r="J107" i="12" s="1"/>
  <c r="E108" i="12" l="1"/>
  <c r="H108" i="12" s="1"/>
  <c r="I108" i="12" s="1"/>
  <c r="J108" i="12" s="1"/>
  <c r="F108" i="12"/>
  <c r="G108" i="12" s="1"/>
  <c r="E109" i="12" l="1"/>
  <c r="H109" i="12" s="1"/>
  <c r="I109" i="12" s="1"/>
  <c r="J109" i="12" s="1"/>
  <c r="F109" i="12"/>
  <c r="G109" i="12" s="1"/>
  <c r="F110" i="12" l="1"/>
  <c r="G110" i="12" s="1"/>
  <c r="E110" i="12"/>
  <c r="H110" i="12" s="1"/>
  <c r="I110" i="12" s="1"/>
  <c r="J110" i="12" s="1"/>
  <c r="F111" i="12" l="1"/>
  <c r="G111" i="12" s="1"/>
  <c r="E111" i="12"/>
  <c r="H111" i="12" s="1"/>
  <c r="I111" i="12" s="1"/>
  <c r="J111" i="12" s="1"/>
  <c r="E112" i="12" l="1"/>
  <c r="H112" i="12" s="1"/>
  <c r="I112" i="12" s="1"/>
  <c r="J112" i="12" s="1"/>
  <c r="F112" i="12"/>
  <c r="G112" i="12" s="1"/>
  <c r="E113" i="12" l="1"/>
  <c r="H113" i="12" s="1"/>
  <c r="I113" i="12" s="1"/>
  <c r="J113" i="12" s="1"/>
  <c r="F113" i="12"/>
  <c r="G113" i="12" s="1"/>
  <c r="F114" i="12" l="1"/>
  <c r="G114" i="12" s="1"/>
  <c r="E114" i="12"/>
  <c r="H114" i="12" s="1"/>
  <c r="I114" i="12" s="1"/>
  <c r="J114" i="12" s="1"/>
  <c r="F115" i="12" l="1"/>
  <c r="G115" i="12" s="1"/>
  <c r="E115" i="12"/>
  <c r="H115" i="12" s="1"/>
  <c r="I115" i="12" s="1"/>
  <c r="J115" i="12" s="1"/>
  <c r="E116" i="12" l="1"/>
  <c r="H116" i="12" s="1"/>
  <c r="I116" i="12" s="1"/>
  <c r="J116" i="12" s="1"/>
  <c r="F116" i="12"/>
  <c r="G116" i="12" s="1"/>
  <c r="E117" i="12" l="1"/>
  <c r="H117" i="12" s="1"/>
  <c r="I117" i="12" s="1"/>
  <c r="J117" i="12" s="1"/>
  <c r="F117" i="12"/>
  <c r="G117" i="12" s="1"/>
  <c r="F118" i="12" l="1"/>
  <c r="G118" i="12" s="1"/>
  <c r="E118" i="12"/>
  <c r="H118" i="12" s="1"/>
  <c r="I118" i="12" s="1"/>
  <c r="J118" i="12" s="1"/>
  <c r="E119" i="12" l="1"/>
  <c r="H119" i="12" s="1"/>
  <c r="I119" i="12" s="1"/>
  <c r="J119" i="12" s="1"/>
  <c r="F119" i="12"/>
  <c r="G119" i="12" s="1"/>
  <c r="E120" i="12" l="1"/>
  <c r="H120" i="12" s="1"/>
  <c r="I120" i="12" s="1"/>
  <c r="J120" i="12" s="1"/>
  <c r="F120" i="12"/>
  <c r="G120" i="12" s="1"/>
  <c r="F121" i="12" l="1"/>
  <c r="G121" i="12" s="1"/>
  <c r="E121" i="12"/>
  <c r="H121" i="12" s="1"/>
  <c r="I121" i="12" s="1"/>
  <c r="J121" i="12" s="1"/>
  <c r="E122" i="12" l="1"/>
  <c r="H122" i="12" s="1"/>
  <c r="I122" i="12" s="1"/>
  <c r="J122" i="12" s="1"/>
  <c r="F122" i="12"/>
  <c r="G122" i="12" s="1"/>
  <c r="E123" i="12" l="1"/>
  <c r="H123" i="12" s="1"/>
  <c r="I123" i="12" s="1"/>
  <c r="J123" i="12" s="1"/>
  <c r="F123" i="12"/>
  <c r="G123" i="12" s="1"/>
  <c r="E124" i="12" l="1"/>
  <c r="H124" i="12" s="1"/>
  <c r="I124" i="12" s="1"/>
  <c r="J124" i="12" s="1"/>
  <c r="F124" i="12"/>
  <c r="G124" i="12" s="1"/>
  <c r="E125" i="12" l="1"/>
  <c r="H125" i="12" s="1"/>
  <c r="I125" i="12" s="1"/>
  <c r="J125" i="12" s="1"/>
  <c r="F125" i="12"/>
  <c r="G125" i="12" s="1"/>
  <c r="F126" i="12" l="1"/>
  <c r="G126" i="12" s="1"/>
  <c r="E126" i="12"/>
  <c r="H126" i="12" s="1"/>
  <c r="I126" i="12" s="1"/>
  <c r="J126" i="12" s="1"/>
  <c r="E127" i="12" l="1"/>
  <c r="H127" i="12" s="1"/>
  <c r="I127" i="12" s="1"/>
  <c r="J127" i="12" s="1"/>
  <c r="F127" i="12"/>
  <c r="G127" i="12" s="1"/>
  <c r="F128" i="12" l="1"/>
  <c r="G128" i="12" s="1"/>
  <c r="E128" i="12"/>
  <c r="H128" i="12" s="1"/>
  <c r="I128" i="12" s="1"/>
  <c r="J128" i="12" s="1"/>
  <c r="F129" i="12" l="1"/>
  <c r="G129" i="12" s="1"/>
  <c r="E129" i="12"/>
  <c r="H129" i="12" s="1"/>
  <c r="I129" i="12" s="1"/>
  <c r="J129" i="12" s="1"/>
  <c r="E130" i="12" l="1"/>
  <c r="H130" i="12" s="1"/>
  <c r="I130" i="12" s="1"/>
  <c r="J130" i="12" s="1"/>
  <c r="F130" i="12"/>
  <c r="G130" i="12" s="1"/>
  <c r="E131" i="12" l="1"/>
  <c r="H131" i="12" s="1"/>
  <c r="I131" i="12" s="1"/>
  <c r="J131" i="12" s="1"/>
  <c r="F131" i="12"/>
  <c r="G131" i="12" s="1"/>
  <c r="E132" i="12" l="1"/>
  <c r="H132" i="12" s="1"/>
  <c r="I132" i="12" s="1"/>
  <c r="J132" i="12" s="1"/>
  <c r="F132" i="12"/>
  <c r="G132" i="12" s="1"/>
  <c r="E133" i="12" l="1"/>
  <c r="H133" i="12" s="1"/>
  <c r="I133" i="12" s="1"/>
  <c r="J133" i="12" s="1"/>
  <c r="F133" i="12"/>
  <c r="G133" i="12" s="1"/>
  <c r="E134" i="12" l="1"/>
  <c r="H134" i="12" s="1"/>
  <c r="I134" i="12" s="1"/>
  <c r="J134" i="12" s="1"/>
  <c r="F134" i="12"/>
  <c r="G134" i="12" s="1"/>
  <c r="E135" i="12" l="1"/>
  <c r="H135" i="12" s="1"/>
  <c r="I135" i="12" s="1"/>
  <c r="J135" i="12" s="1"/>
  <c r="F135" i="12"/>
  <c r="G135" i="12" s="1"/>
  <c r="F136" i="12" l="1"/>
  <c r="G136" i="12" s="1"/>
  <c r="E136" i="12"/>
  <c r="H136" i="12" s="1"/>
  <c r="I136" i="12" s="1"/>
  <c r="J136" i="12" s="1"/>
  <c r="E137" i="12" l="1"/>
  <c r="H137" i="12" s="1"/>
  <c r="I137" i="12" s="1"/>
  <c r="J137" i="12" s="1"/>
  <c r="F137" i="12"/>
  <c r="G137" i="12" s="1"/>
  <c r="F138" i="12" l="1"/>
  <c r="G138" i="12" s="1"/>
  <c r="E138" i="12"/>
  <c r="H138" i="12" s="1"/>
  <c r="I138" i="12" s="1"/>
  <c r="J138" i="12" s="1"/>
  <c r="F139" i="12" l="1"/>
  <c r="G139" i="12" s="1"/>
  <c r="E139" i="12"/>
  <c r="H139" i="12" s="1"/>
  <c r="I139" i="12" s="1"/>
  <c r="J139" i="12" s="1"/>
  <c r="F140" i="12" l="1"/>
  <c r="G140" i="12" s="1"/>
  <c r="E140" i="12"/>
  <c r="H140" i="12" s="1"/>
  <c r="I140" i="12" s="1"/>
  <c r="J140" i="12" s="1"/>
  <c r="E141" i="12" l="1"/>
  <c r="H141" i="12" s="1"/>
  <c r="I141" i="12" s="1"/>
  <c r="J141" i="12" s="1"/>
  <c r="F141" i="12"/>
  <c r="G141" i="12" s="1"/>
  <c r="E142" i="12" l="1"/>
  <c r="H142" i="12" s="1"/>
  <c r="I142" i="12" s="1"/>
  <c r="J142" i="12" s="1"/>
  <c r="F142" i="12"/>
  <c r="G142" i="12" s="1"/>
  <c r="E143" i="12" l="1"/>
  <c r="H143" i="12" s="1"/>
  <c r="I143" i="12" s="1"/>
  <c r="J143" i="12" s="1"/>
  <c r="F143" i="12"/>
  <c r="G143" i="12" s="1"/>
  <c r="F144" i="12" l="1"/>
  <c r="G144" i="12" s="1"/>
  <c r="E144" i="12"/>
  <c r="H144" i="12" s="1"/>
  <c r="I144" i="12" s="1"/>
  <c r="J144" i="12" s="1"/>
  <c r="E145" i="12" l="1"/>
  <c r="H145" i="12" s="1"/>
  <c r="I145" i="12" s="1"/>
  <c r="J145" i="12" s="1"/>
  <c r="F145" i="12"/>
  <c r="G145" i="12" s="1"/>
  <c r="F146" i="12" l="1"/>
  <c r="G146" i="12" s="1"/>
  <c r="E146" i="12"/>
  <c r="H146" i="12" s="1"/>
  <c r="I146" i="12" s="1"/>
  <c r="J146" i="12" s="1"/>
  <c r="F147" i="12" l="1"/>
  <c r="G147" i="12" s="1"/>
  <c r="E147" i="12"/>
  <c r="H147" i="12" s="1"/>
  <c r="I147" i="12" s="1"/>
  <c r="J147" i="12" s="1"/>
  <c r="E148" i="12" l="1"/>
  <c r="H148" i="12" s="1"/>
  <c r="I148" i="12" s="1"/>
  <c r="J148" i="12" s="1"/>
  <c r="F148" i="12"/>
  <c r="G148" i="12" s="1"/>
  <c r="E149" i="12" l="1"/>
  <c r="H149" i="12" s="1"/>
  <c r="I149" i="12" s="1"/>
  <c r="J149" i="12" s="1"/>
  <c r="F149" i="12"/>
  <c r="G149" i="12" s="1"/>
  <c r="E150" i="12" l="1"/>
  <c r="H150" i="12" s="1"/>
  <c r="I150" i="12" s="1"/>
  <c r="J150" i="12" s="1"/>
  <c r="F150" i="12"/>
  <c r="G150" i="12" s="1"/>
  <c r="F151" i="12" l="1"/>
  <c r="G151" i="12" s="1"/>
  <c r="E151" i="12"/>
  <c r="H151" i="12" s="1"/>
  <c r="I151" i="12" s="1"/>
  <c r="J151" i="12" s="1"/>
  <c r="E152" i="12" l="1"/>
  <c r="H152" i="12" s="1"/>
  <c r="I152" i="12" s="1"/>
  <c r="J152" i="12" s="1"/>
  <c r="F152" i="12"/>
  <c r="G152" i="12" s="1"/>
  <c r="E153" i="12" l="1"/>
  <c r="H153" i="12" s="1"/>
  <c r="I153" i="12" s="1"/>
  <c r="J153" i="12" s="1"/>
  <c r="F153" i="12"/>
  <c r="G153" i="12" s="1"/>
  <c r="F154" i="12" l="1"/>
  <c r="G154" i="12" s="1"/>
  <c r="E154" i="12"/>
  <c r="H154" i="12" s="1"/>
  <c r="I154" i="12" s="1"/>
  <c r="J154" i="12" s="1"/>
  <c r="E155" i="12" l="1"/>
  <c r="H155" i="12" s="1"/>
  <c r="I155" i="12" s="1"/>
  <c r="J155" i="12" s="1"/>
  <c r="F155" i="12"/>
  <c r="G155" i="12" s="1"/>
  <c r="F156" i="12" l="1"/>
  <c r="G156" i="12" s="1"/>
  <c r="E156" i="12"/>
  <c r="H156" i="12" s="1"/>
  <c r="I156" i="12" s="1"/>
  <c r="J156" i="12" s="1"/>
  <c r="E157" i="12" l="1"/>
  <c r="H157" i="12" s="1"/>
  <c r="I157" i="12" s="1"/>
  <c r="J157" i="12" s="1"/>
  <c r="F157" i="12"/>
  <c r="G157" i="12" s="1"/>
  <c r="F158" i="12" l="1"/>
  <c r="G158" i="12" s="1"/>
  <c r="E158" i="12"/>
  <c r="H158" i="12" s="1"/>
  <c r="I158" i="12" s="1"/>
  <c r="J158" i="12" s="1"/>
  <c r="E159" i="12" l="1"/>
  <c r="H159" i="12" s="1"/>
  <c r="I159" i="12" s="1"/>
  <c r="J159" i="12" s="1"/>
  <c r="F159" i="12"/>
  <c r="G159" i="12" s="1"/>
  <c r="F160" i="12" l="1"/>
  <c r="G160" i="12" s="1"/>
  <c r="E160" i="12"/>
  <c r="H160" i="12" s="1"/>
  <c r="I160" i="12" s="1"/>
  <c r="J160" i="12" s="1"/>
  <c r="F161" i="12" l="1"/>
  <c r="G161" i="12" s="1"/>
  <c r="E161" i="12"/>
  <c r="H161" i="12" s="1"/>
  <c r="I161" i="12" s="1"/>
  <c r="J161" i="12" s="1"/>
  <c r="E162" i="12" l="1"/>
  <c r="H162" i="12" s="1"/>
  <c r="I162" i="12" s="1"/>
  <c r="J162" i="12" s="1"/>
  <c r="F162" i="12"/>
  <c r="G162" i="12" s="1"/>
  <c r="F163" i="12" l="1"/>
  <c r="G163" i="12" s="1"/>
  <c r="E163" i="12"/>
  <c r="H163" i="12" s="1"/>
  <c r="I163" i="12" s="1"/>
  <c r="J163" i="12" s="1"/>
  <c r="E164" i="12" l="1"/>
  <c r="H164" i="12" s="1"/>
  <c r="I164" i="12" s="1"/>
  <c r="J164" i="12" s="1"/>
  <c r="F164" i="12"/>
  <c r="G164" i="12" s="1"/>
  <c r="E165" i="12" l="1"/>
  <c r="H165" i="12" s="1"/>
  <c r="I165" i="12" s="1"/>
  <c r="J165" i="12" s="1"/>
  <c r="F165" i="12"/>
  <c r="G165" i="12" s="1"/>
  <c r="F166" i="12" l="1"/>
  <c r="G166" i="12" s="1"/>
  <c r="E166" i="12"/>
  <c r="H166" i="12" s="1"/>
  <c r="I166" i="12" s="1"/>
  <c r="J166" i="12" s="1"/>
  <c r="F167" i="12" l="1"/>
  <c r="G167" i="12" s="1"/>
  <c r="E167" i="12"/>
  <c r="H167" i="12" s="1"/>
  <c r="I167" i="12" s="1"/>
  <c r="J167" i="12" s="1"/>
  <c r="F168" i="12" l="1"/>
  <c r="G168" i="12" s="1"/>
  <c r="E168" i="12"/>
  <c r="H168" i="12" s="1"/>
  <c r="I168" i="12" s="1"/>
  <c r="J168" i="12" s="1"/>
  <c r="E169" i="12" l="1"/>
  <c r="H169" i="12" s="1"/>
  <c r="I169" i="12" s="1"/>
  <c r="J169" i="12" s="1"/>
  <c r="F169" i="12"/>
  <c r="G169" i="12" s="1"/>
  <c r="E170" i="12" l="1"/>
  <c r="H170" i="12" s="1"/>
  <c r="I170" i="12" s="1"/>
  <c r="J170" i="12" s="1"/>
  <c r="F170" i="12"/>
  <c r="G170" i="12" s="1"/>
  <c r="F171" i="12" l="1"/>
  <c r="G171" i="12" s="1"/>
  <c r="E171" i="12"/>
  <c r="H171" i="12" s="1"/>
  <c r="I171" i="12" s="1"/>
  <c r="J171" i="12" s="1"/>
  <c r="F172" i="12" l="1"/>
  <c r="G172" i="12" s="1"/>
  <c r="E172" i="12"/>
  <c r="H172" i="12" s="1"/>
  <c r="I172" i="12" s="1"/>
  <c r="J172" i="12" s="1"/>
  <c r="E173" i="12" l="1"/>
  <c r="H173" i="12" s="1"/>
  <c r="I173" i="12" s="1"/>
  <c r="J173" i="12" s="1"/>
  <c r="F173" i="12"/>
  <c r="G173" i="12" s="1"/>
  <c r="E174" i="12" l="1"/>
  <c r="H174" i="12" s="1"/>
  <c r="I174" i="12" s="1"/>
  <c r="J174" i="12" s="1"/>
  <c r="F174" i="12"/>
  <c r="G174" i="12" s="1"/>
  <c r="F175" i="12" l="1"/>
  <c r="G175" i="12" s="1"/>
  <c r="E175" i="12"/>
  <c r="H175" i="12" s="1"/>
  <c r="I175" i="12" s="1"/>
  <c r="J175" i="12" s="1"/>
  <c r="F176" i="12" l="1"/>
  <c r="G176" i="12" s="1"/>
  <c r="E176" i="12"/>
  <c r="H176" i="12" s="1"/>
  <c r="I176" i="12" s="1"/>
  <c r="J176" i="12" s="1"/>
  <c r="F177" i="12" l="1"/>
  <c r="G177" i="12" s="1"/>
  <c r="E177" i="12"/>
  <c r="H177" i="12" s="1"/>
  <c r="I177" i="12" s="1"/>
  <c r="J177" i="12" s="1"/>
  <c r="E178" i="12" l="1"/>
  <c r="H178" i="12" s="1"/>
  <c r="I178" i="12" s="1"/>
  <c r="J178" i="12" s="1"/>
  <c r="F178" i="12"/>
  <c r="G178" i="12" s="1"/>
  <c r="F179" i="12" l="1"/>
  <c r="G179" i="12" s="1"/>
  <c r="E179" i="12"/>
  <c r="H179" i="12" s="1"/>
  <c r="I179" i="12" s="1"/>
  <c r="J179" i="12" s="1"/>
  <c r="F180" i="12" l="1"/>
  <c r="G180" i="12" s="1"/>
  <c r="E180" i="12"/>
  <c r="H180" i="12" s="1"/>
  <c r="I180" i="12" s="1"/>
  <c r="J180" i="12" s="1"/>
  <c r="F181" i="12" l="1"/>
  <c r="G181" i="12" s="1"/>
  <c r="E181" i="12"/>
  <c r="H181" i="12" s="1"/>
  <c r="I181" i="12" s="1"/>
  <c r="J181" i="12" s="1"/>
  <c r="E182" i="12" l="1"/>
  <c r="H182" i="12" s="1"/>
  <c r="I182" i="12" s="1"/>
  <c r="J182" i="12" s="1"/>
  <c r="F182" i="12"/>
  <c r="G182" i="12" s="1"/>
  <c r="E183" i="12" l="1"/>
  <c r="H183" i="12" s="1"/>
  <c r="I183" i="12" s="1"/>
  <c r="J183" i="12" s="1"/>
  <c r="F183" i="12"/>
  <c r="G183" i="12" s="1"/>
  <c r="F184" i="12" l="1"/>
  <c r="G184" i="12" s="1"/>
  <c r="E184" i="12"/>
  <c r="H184" i="12" s="1"/>
  <c r="I184" i="12" s="1"/>
  <c r="J184" i="12" s="1"/>
  <c r="F185" i="12" l="1"/>
  <c r="G185" i="12" s="1"/>
  <c r="E185" i="12"/>
  <c r="H185" i="12" s="1"/>
  <c r="I185" i="12" s="1"/>
  <c r="J185" i="12" s="1"/>
  <c r="F186" i="12" l="1"/>
  <c r="G186" i="12" s="1"/>
  <c r="E186" i="12"/>
  <c r="H186" i="12" s="1"/>
  <c r="I186" i="12" s="1"/>
  <c r="J186" i="12" s="1"/>
  <c r="F187" i="12" l="1"/>
  <c r="G187" i="12" s="1"/>
  <c r="E187" i="12"/>
  <c r="H187" i="12" s="1"/>
  <c r="I187" i="12" s="1"/>
  <c r="J187" i="12" s="1"/>
  <c r="F188" i="12" l="1"/>
  <c r="G188" i="12" s="1"/>
  <c r="E188" i="12"/>
  <c r="H188" i="12" s="1"/>
  <c r="I188" i="12" s="1"/>
  <c r="J188" i="12" s="1"/>
  <c r="E189" i="12" l="1"/>
  <c r="H189" i="12" s="1"/>
  <c r="I189" i="12" s="1"/>
  <c r="J189" i="12" s="1"/>
  <c r="F189" i="12"/>
  <c r="G189" i="12" s="1"/>
  <c r="F190" i="12" l="1"/>
  <c r="G190" i="12" s="1"/>
  <c r="E190" i="12"/>
  <c r="H190" i="12" s="1"/>
  <c r="I190" i="12" s="1"/>
  <c r="J190" i="12" s="1"/>
  <c r="E191" i="12" l="1"/>
  <c r="H191" i="12" s="1"/>
  <c r="I191" i="12" s="1"/>
  <c r="J191" i="12" s="1"/>
  <c r="F191" i="12"/>
  <c r="G191" i="12" s="1"/>
  <c r="F192" i="12" l="1"/>
  <c r="G192" i="12" s="1"/>
  <c r="E192" i="12"/>
  <c r="H192" i="12" s="1"/>
  <c r="I192" i="12" s="1"/>
  <c r="J192" i="12" s="1"/>
  <c r="F193" i="12" l="1"/>
  <c r="G193" i="12" s="1"/>
  <c r="E193" i="12"/>
  <c r="H193" i="12" s="1"/>
  <c r="I193" i="12" s="1"/>
  <c r="J193" i="12" s="1"/>
  <c r="F194" i="12" l="1"/>
  <c r="G194" i="12" s="1"/>
  <c r="E194" i="12"/>
  <c r="H194" i="12" s="1"/>
  <c r="I194" i="12" s="1"/>
  <c r="J194" i="12" s="1"/>
  <c r="E195" i="12" l="1"/>
  <c r="H195" i="12" s="1"/>
  <c r="I195" i="12" s="1"/>
  <c r="J195" i="12" s="1"/>
  <c r="F195" i="12"/>
  <c r="G195" i="12" s="1"/>
  <c r="E196" i="12" l="1"/>
  <c r="H196" i="12" s="1"/>
  <c r="I196" i="12" s="1"/>
  <c r="J196" i="12" s="1"/>
  <c r="F196" i="12"/>
  <c r="G196" i="12" s="1"/>
  <c r="E197" i="12" l="1"/>
  <c r="H197" i="12" s="1"/>
  <c r="I197" i="12" s="1"/>
  <c r="J197" i="12" s="1"/>
  <c r="F197" i="12"/>
  <c r="G197" i="12" s="1"/>
  <c r="F198" i="12" l="1"/>
  <c r="G198" i="12" s="1"/>
  <c r="E198" i="12"/>
  <c r="H198" i="12" s="1"/>
  <c r="I198" i="12" s="1"/>
  <c r="J198" i="12" s="1"/>
  <c r="E199" i="12" l="1"/>
  <c r="H199" i="12" s="1"/>
  <c r="I199" i="12" s="1"/>
  <c r="J199" i="12" s="1"/>
  <c r="F199" i="12"/>
  <c r="G199" i="12" s="1"/>
  <c r="E200" i="12" l="1"/>
  <c r="H200" i="12" s="1"/>
  <c r="I200" i="12" s="1"/>
  <c r="J200" i="12" s="1"/>
  <c r="F200" i="12"/>
  <c r="G200" i="12" s="1"/>
</calcChain>
</file>

<file path=xl/sharedStrings.xml><?xml version="1.0" encoding="utf-8"?>
<sst xmlns="http://schemas.openxmlformats.org/spreadsheetml/2006/main" count="286" uniqueCount="199">
  <si>
    <t>Section</t>
  </si>
  <si>
    <t>Stiffners</t>
  </si>
  <si>
    <t>x (mm)</t>
  </si>
  <si>
    <t>y (mm)</t>
  </si>
  <si>
    <t>L (mm)</t>
  </si>
  <si>
    <t>t (mm)</t>
  </si>
  <si>
    <t>A (mm^2)</t>
  </si>
  <si>
    <t>x*A</t>
  </si>
  <si>
    <t>y*A</t>
  </si>
  <si>
    <t>X true</t>
  </si>
  <si>
    <t>Y True</t>
  </si>
  <si>
    <t>Boom Area</t>
  </si>
  <si>
    <r>
      <rPr>
        <sz val="11"/>
        <color theme="1"/>
        <rFont val="Symbol"/>
        <family val="1"/>
        <charset val="2"/>
      </rPr>
      <t>DI</t>
    </r>
    <r>
      <rPr>
        <sz val="11"/>
        <color theme="1"/>
        <rFont val="Calibri"/>
        <family val="2"/>
      </rPr>
      <t>xx Real</t>
    </r>
  </si>
  <si>
    <r>
      <rPr>
        <sz val="11"/>
        <color theme="1"/>
        <rFont val="Symbol"/>
        <family val="1"/>
        <charset val="2"/>
      </rPr>
      <t>DI</t>
    </r>
    <r>
      <rPr>
        <sz val="11"/>
        <color theme="1"/>
        <rFont val="Calibri"/>
        <family val="2"/>
      </rPr>
      <t>xx Ideal</t>
    </r>
  </si>
  <si>
    <t>Stress</t>
  </si>
  <si>
    <t>1-2</t>
  </si>
  <si>
    <t>2-3</t>
  </si>
  <si>
    <t>3-4</t>
  </si>
  <si>
    <t>4-5</t>
  </si>
  <si>
    <t>5-6</t>
  </si>
  <si>
    <t>1</t>
  </si>
  <si>
    <t>2</t>
  </si>
  <si>
    <t>3</t>
  </si>
  <si>
    <t>4</t>
  </si>
  <si>
    <t>5</t>
  </si>
  <si>
    <t>6</t>
  </si>
  <si>
    <t>S</t>
  </si>
  <si>
    <t>Location of Centroid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</si>
  <si>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</rPr>
      <t>(x*A/Atotal)= Xc =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</si>
  <si>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</rPr>
      <t>(y*A/Atotal)=Yc =</t>
    </r>
  </si>
  <si>
    <t>Applied Moment M=</t>
  </si>
  <si>
    <t>Material Strength MPa</t>
  </si>
  <si>
    <t>Fatigue limit MPa</t>
  </si>
  <si>
    <t>Stress Rat</t>
  </si>
  <si>
    <t>6-7</t>
  </si>
  <si>
    <t>7-8</t>
  </si>
  <si>
    <t>8-9</t>
  </si>
  <si>
    <t>9-10</t>
  </si>
  <si>
    <t>7</t>
  </si>
  <si>
    <t>8</t>
  </si>
  <si>
    <t>9</t>
  </si>
  <si>
    <t>10</t>
  </si>
  <si>
    <t>Upper skin</t>
  </si>
  <si>
    <t>Lower Skin</t>
  </si>
  <si>
    <t>T-Stringer (A)</t>
  </si>
  <si>
    <t>U-Stringer (A)</t>
  </si>
  <si>
    <t>10-1</t>
  </si>
  <si>
    <t>2-8</t>
  </si>
  <si>
    <t>L-Stringer (A)</t>
  </si>
  <si>
    <t>Load limits</t>
  </si>
  <si>
    <t>Positive</t>
  </si>
  <si>
    <t>Negative</t>
  </si>
  <si>
    <t>Max Stress</t>
  </si>
  <si>
    <t>MPa</t>
  </si>
  <si>
    <t>Min Stress</t>
  </si>
  <si>
    <t>Amplitude</t>
  </si>
  <si>
    <t>Mean stress</t>
  </si>
  <si>
    <t>Stress Ratio (R)</t>
  </si>
  <si>
    <t>Amplitude Ratio (A)</t>
  </si>
  <si>
    <t>Panel</t>
  </si>
  <si>
    <t>Boom</t>
  </si>
  <si>
    <t>Boom area</t>
  </si>
  <si>
    <t>Shear force</t>
  </si>
  <si>
    <t>N</t>
  </si>
  <si>
    <t>Total</t>
  </si>
  <si>
    <t>Ultimate stress</t>
  </si>
  <si>
    <t>Yield Stress</t>
  </si>
  <si>
    <t>10-9</t>
  </si>
  <si>
    <t>9-8</t>
  </si>
  <si>
    <t>8-7</t>
  </si>
  <si>
    <t>7-6</t>
  </si>
  <si>
    <t>6-5</t>
  </si>
  <si>
    <t>Boom y pos from neutral</t>
  </si>
  <si>
    <t>mm</t>
  </si>
  <si>
    <t>K_t
Stress concentration factor</t>
  </si>
  <si>
    <t>Shear Force</t>
  </si>
  <si>
    <t>cut</t>
  </si>
  <si>
    <t xml:space="preserve">Area </t>
  </si>
  <si>
    <t>mm^2</t>
  </si>
  <si>
    <t>m^2</t>
  </si>
  <si>
    <t>qb</t>
  </si>
  <si>
    <t>Shear/Ixx</t>
  </si>
  <si>
    <t>A_br* yr</t>
  </si>
  <si>
    <t>x1y2-x2-y2</t>
  </si>
  <si>
    <t>Becasue shape is symtrical and shear force acts through middle of fuselage the, here is no torque meaning no constant shear flow is needed</t>
  </si>
  <si>
    <r>
      <rPr>
        <sz val="11"/>
        <rFont val="Aptos Narrow"/>
        <family val="2"/>
      </rPr>
      <t>≈</t>
    </r>
    <r>
      <rPr>
        <sz val="9"/>
        <rFont val="Calibri"/>
        <family val="2"/>
      </rPr>
      <t>0</t>
    </r>
  </si>
  <si>
    <t>Shear force N/mm</t>
  </si>
  <si>
    <t>Panel thickness (mm)</t>
  </si>
  <si>
    <t>tau = q/t</t>
  </si>
  <si>
    <t>Shear stress (N/mm^2)</t>
  </si>
  <si>
    <r>
      <rPr>
        <sz val="11"/>
        <color theme="1"/>
        <rFont val="Aptos Narrow"/>
        <family val="2"/>
      </rPr>
      <t>∆</t>
    </r>
    <r>
      <rPr>
        <sz val="14.3"/>
        <color theme="1"/>
        <rFont val="Calibri"/>
        <family val="2"/>
      </rPr>
      <t>σ</t>
    </r>
  </si>
  <si>
    <t>F</t>
  </si>
  <si>
    <t>Initial Crack lenght</t>
  </si>
  <si>
    <t>thick of plate (b)</t>
  </si>
  <si>
    <t>a/b</t>
  </si>
  <si>
    <t>K_c</t>
  </si>
  <si>
    <t>A_c (critical crack lenght)</t>
  </si>
  <si>
    <t>A/B</t>
  </si>
  <si>
    <t>σ_ar</t>
  </si>
  <si>
    <t>σ_fb</t>
  </si>
  <si>
    <t>N_f</t>
  </si>
  <si>
    <t>b</t>
  </si>
  <si>
    <t>Morrow</t>
  </si>
  <si>
    <t>σ_f</t>
  </si>
  <si>
    <t>Load Factor Max</t>
  </si>
  <si>
    <t>Load Factor Min</t>
  </si>
  <si>
    <t>Sigma 1</t>
  </si>
  <si>
    <t>Sigma 2</t>
  </si>
  <si>
    <t>Sigma_vm</t>
  </si>
  <si>
    <t>VM * FOS (1.5)</t>
  </si>
  <si>
    <t>Max stress lower than Yield</t>
  </si>
  <si>
    <t>Max Stress VM (FOS 1.5)</t>
  </si>
  <si>
    <t>Miin Stress</t>
  </si>
  <si>
    <t>Max stress (kt)</t>
  </si>
  <si>
    <t>n_u = 3.2416</t>
  </si>
  <si>
    <t>n_d = -1.2416</t>
  </si>
  <si>
    <t>This is for15m/s but very unfrequent so better to use 3.8 for manouver which is higher</t>
  </si>
  <si>
    <t>Max allowable stress</t>
  </si>
  <si>
    <t>a</t>
  </si>
  <si>
    <t>K</t>
  </si>
  <si>
    <t>Keep changing a until u get K=34 and u will get F from that</t>
  </si>
  <si>
    <t>Unotched</t>
  </si>
  <si>
    <t>a/b= alpha</t>
  </si>
  <si>
    <t>Plate width (b)</t>
  </si>
  <si>
    <t>Toughness K_c</t>
  </si>
  <si>
    <t>Stress intensity factor K</t>
  </si>
  <si>
    <t>Notched</t>
  </si>
  <si>
    <t>mm/mm</t>
  </si>
  <si>
    <t>C_0</t>
  </si>
  <si>
    <t>C</t>
  </si>
  <si>
    <t>m</t>
  </si>
  <si>
    <t>Delta sigma</t>
  </si>
  <si>
    <t>gamma</t>
  </si>
  <si>
    <t>delta a</t>
  </si>
  <si>
    <t>R</t>
  </si>
  <si>
    <t>a_c</t>
  </si>
  <si>
    <t>1 cycle</t>
  </si>
  <si>
    <t>1 trip</t>
  </si>
  <si>
    <t>km</t>
  </si>
  <si>
    <t>Trips</t>
  </si>
  <si>
    <t>Years</t>
  </si>
  <si>
    <t>Crack length</t>
  </si>
  <si>
    <t>Delta K</t>
  </si>
  <si>
    <t>da/dN</t>
  </si>
  <si>
    <t>Numb of Cycles for incremment</t>
  </si>
  <si>
    <t>cumulative</t>
  </si>
  <si>
    <t>cycles per trip</t>
  </si>
  <si>
    <t xml:space="preserve">trips </t>
  </si>
  <si>
    <t>Shear stress MPa</t>
  </si>
  <si>
    <r>
      <rPr>
        <sz val="11"/>
        <rFont val="Aptos Narrow"/>
        <family val="2"/>
      </rPr>
      <t>∆</t>
    </r>
    <r>
      <rPr>
        <sz val="14.3"/>
        <rFont val="Calibri"/>
        <family val="2"/>
      </rPr>
      <t>σ</t>
    </r>
  </si>
  <si>
    <t>hole dimater</t>
  </si>
  <si>
    <t>d/b</t>
  </si>
  <si>
    <t>1 trip per day</t>
  </si>
  <si>
    <t>A</t>
  </si>
  <si>
    <t>B</t>
  </si>
  <si>
    <t>N_i</t>
  </si>
  <si>
    <t>Ni/Nf</t>
  </si>
  <si>
    <t>B_f</t>
  </si>
  <si>
    <t>Notched hole</t>
  </si>
  <si>
    <t>How many 1000km u can do</t>
  </si>
  <si>
    <t>Strain Life Curve</t>
  </si>
  <si>
    <t>Eps</t>
  </si>
  <si>
    <t>Sig</t>
  </si>
  <si>
    <t>Hyeteresis Loop</t>
  </si>
  <si>
    <t>EpsAmp</t>
  </si>
  <si>
    <t>EpsN</t>
  </si>
  <si>
    <t>EpsR-O</t>
  </si>
  <si>
    <t>Re-Align to lower loop</t>
  </si>
  <si>
    <t>Neuber Analysis (Second rev)</t>
  </si>
  <si>
    <t>Neuber Analysis (first rev)</t>
  </si>
  <si>
    <t>Cyclic Stress Strain curve</t>
  </si>
  <si>
    <t>difference</t>
  </si>
  <si>
    <t>reverse</t>
  </si>
  <si>
    <t>1st</t>
  </si>
  <si>
    <t>Intersect</t>
  </si>
  <si>
    <t>c</t>
  </si>
  <si>
    <t>kt</t>
  </si>
  <si>
    <t>EpsF'</t>
  </si>
  <si>
    <t>SigF'</t>
  </si>
  <si>
    <t>A Reduced</t>
  </si>
  <si>
    <t>SigY'</t>
  </si>
  <si>
    <t>Dia</t>
  </si>
  <si>
    <t>E</t>
  </si>
  <si>
    <t>n'</t>
  </si>
  <si>
    <t>t</t>
  </si>
  <si>
    <t>H'</t>
  </si>
  <si>
    <t>P</t>
  </si>
  <si>
    <t>Mat Props</t>
  </si>
  <si>
    <t>Load</t>
  </si>
  <si>
    <t>Plate Geometry</t>
  </si>
  <si>
    <t>Min</t>
  </si>
  <si>
    <t xml:space="preserve">max </t>
  </si>
  <si>
    <t>sigma_a</t>
  </si>
  <si>
    <t>sigma_ar</t>
  </si>
  <si>
    <t>sigma mean</t>
  </si>
  <si>
    <t>Proportion of life used</t>
  </si>
  <si>
    <t>Number of fights</t>
  </si>
  <si>
    <t>if crack that big = Failure</t>
  </si>
  <si>
    <t>Rainflow Counting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</si>
</sst>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0E+00"/>
    <numFmt numFmtId="166" formatCode="0.00000000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sz val="16"/>
      <color theme="1"/>
      <name val="Symbol"/>
      <family val="1"/>
      <charset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9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4.3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212121"/>
      <name val="Consolas"/>
      <family val="3"/>
    </font>
    <font>
      <b/>
      <sz val="11"/>
      <color rgb="FFFF0000"/>
      <name val="Calibri"/>
      <family val="2"/>
      <scheme val="minor"/>
    </font>
    <font>
      <sz val="14.3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98">
    <xf numFmtId="0" fontId="0" fillId="0" borderId="0" xfId="0"/>
    <xf numFmtId="0" fontId="0" fillId="0" borderId="4" xfId="0" applyBorder="1"/>
    <xf numFmtId="0" fontId="0" fillId="0" borderId="5" xfId="0" applyBorder="1"/>
    <xf numFmtId="0" fontId="3" fillId="0" borderId="5" xfId="0" applyFont="1" applyBorder="1"/>
    <xf numFmtId="0" fontId="0" fillId="0" borderId="13" xfId="0" applyBorder="1"/>
    <xf numFmtId="0" fontId="0" fillId="0" borderId="16" xfId="0" applyBorder="1"/>
    <xf numFmtId="49" fontId="0" fillId="2" borderId="9" xfId="0" applyNumberFormat="1" applyFill="1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3" borderId="11" xfId="0" applyNumberFormat="1" applyFill="1" applyBorder="1" applyAlignment="1">
      <alignment horizontal="center"/>
    </xf>
    <xf numFmtId="49" fontId="0" fillId="3" borderId="13" xfId="0" applyNumberFormat="1" applyFill="1" applyBorder="1" applyAlignment="1">
      <alignment horizontal="center"/>
    </xf>
    <xf numFmtId="49" fontId="0" fillId="5" borderId="13" xfId="0" applyNumberFormat="1" applyFill="1" applyBorder="1" applyAlignment="1">
      <alignment horizontal="center"/>
    </xf>
    <xf numFmtId="0" fontId="0" fillId="5" borderId="1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49" fontId="0" fillId="6" borderId="12" xfId="0" applyNumberFormat="1" applyFill="1" applyBorder="1" applyAlignment="1">
      <alignment horizontal="center"/>
    </xf>
    <xf numFmtId="0" fontId="0" fillId="4" borderId="5" xfId="0" applyFill="1" applyBorder="1"/>
    <xf numFmtId="0" fontId="0" fillId="8" borderId="5" xfId="0" applyFill="1" applyBorder="1"/>
    <xf numFmtId="0" fontId="4" fillId="4" borderId="4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4" borderId="17" xfId="0" applyFill="1" applyBorder="1"/>
    <xf numFmtId="0" fontId="3" fillId="0" borderId="6" xfId="0" applyFont="1" applyBorder="1"/>
    <xf numFmtId="0" fontId="0" fillId="3" borderId="3" xfId="0" applyFill="1" applyBorder="1"/>
    <xf numFmtId="0" fontId="0" fillId="3" borderId="1" xfId="0" applyFill="1" applyBorder="1"/>
    <xf numFmtId="0" fontId="0" fillId="5" borderId="1" xfId="0" applyFill="1" applyBorder="1"/>
    <xf numFmtId="0" fontId="1" fillId="8" borderId="6" xfId="0" applyFont="1" applyFill="1" applyBorder="1"/>
    <xf numFmtId="0" fontId="0" fillId="0" borderId="0" xfId="0" applyAlignment="1">
      <alignment horizontal="center" vertical="center"/>
    </xf>
    <xf numFmtId="0" fontId="0" fillId="8" borderId="17" xfId="0" applyFill="1" applyBorder="1"/>
    <xf numFmtId="0" fontId="0" fillId="3" borderId="8" xfId="0" applyFill="1" applyBorder="1" applyAlignment="1">
      <alignment vertical="center"/>
    </xf>
    <xf numFmtId="0" fontId="0" fillId="3" borderId="24" xfId="0" applyFill="1" applyBorder="1"/>
    <xf numFmtId="0" fontId="0" fillId="3" borderId="25" xfId="0" applyFill="1" applyBorder="1"/>
    <xf numFmtId="0" fontId="0" fillId="5" borderId="25" xfId="0" applyFill="1" applyBorder="1"/>
    <xf numFmtId="0" fontId="1" fillId="8" borderId="23" xfId="0" applyFont="1" applyFill="1" applyBorder="1"/>
    <xf numFmtId="0" fontId="3" fillId="11" borderId="18" xfId="0" applyFont="1" applyFill="1" applyBorder="1"/>
    <xf numFmtId="0" fontId="3" fillId="11" borderId="19" xfId="0" applyFont="1" applyFill="1" applyBorder="1"/>
    <xf numFmtId="0" fontId="3" fillId="11" borderId="20" xfId="0" applyFont="1" applyFill="1" applyBorder="1"/>
    <xf numFmtId="0" fontId="0" fillId="2" borderId="26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2" fontId="0" fillId="2" borderId="3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3" fillId="13" borderId="5" xfId="0" applyFont="1" applyFill="1" applyBorder="1"/>
    <xf numFmtId="0" fontId="0" fillId="6" borderId="1" xfId="0" applyFill="1" applyBorder="1" applyAlignment="1">
      <alignment vertical="center"/>
    </xf>
    <xf numFmtId="0" fontId="5" fillId="9" borderId="11" xfId="0" applyFont="1" applyFill="1" applyBorder="1"/>
    <xf numFmtId="0" fontId="5" fillId="9" borderId="13" xfId="0" applyFont="1" applyFill="1" applyBorder="1"/>
    <xf numFmtId="0" fontId="5" fillId="9" borderId="16" xfId="0" applyFont="1" applyFill="1" applyBorder="1"/>
    <xf numFmtId="0" fontId="5" fillId="0" borderId="0" xfId="0" applyFont="1"/>
    <xf numFmtId="0" fontId="5" fillId="10" borderId="2" xfId="0" applyFont="1" applyFill="1" applyBorder="1"/>
    <xf numFmtId="0" fontId="3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49" fontId="7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vertical="top" wrapText="1"/>
    </xf>
    <xf numFmtId="0" fontId="7" fillId="0" borderId="0" xfId="0" applyFont="1" applyAlignment="1">
      <alignment wrapText="1"/>
    </xf>
    <xf numFmtId="0" fontId="0" fillId="0" borderId="0" xfId="0" applyAlignment="1">
      <alignment vertical="top" wrapText="1"/>
    </xf>
    <xf numFmtId="164" fontId="7" fillId="0" borderId="0" xfId="0" applyNumberFormat="1" applyFont="1"/>
    <xf numFmtId="0" fontId="10" fillId="0" borderId="0" xfId="0" applyFont="1"/>
    <xf numFmtId="0" fontId="7" fillId="0" borderId="0" xfId="0" applyFont="1" applyAlignment="1">
      <alignment vertical="top" wrapText="1"/>
    </xf>
    <xf numFmtId="0" fontId="13" fillId="0" borderId="0" xfId="0" applyFont="1"/>
    <xf numFmtId="0" fontId="0" fillId="15" borderId="0" xfId="0" applyFill="1"/>
    <xf numFmtId="11" fontId="0" fillId="0" borderId="0" xfId="0" applyNumberFormat="1"/>
    <xf numFmtId="0" fontId="14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/>
    <xf numFmtId="11" fontId="1" fillId="0" borderId="0" xfId="0" applyNumberFormat="1" applyFont="1"/>
    <xf numFmtId="0" fontId="15" fillId="0" borderId="0" xfId="0" applyFont="1" applyAlignment="1">
      <alignment vertical="top"/>
    </xf>
    <xf numFmtId="0" fontId="16" fillId="0" borderId="0" xfId="0" applyFont="1"/>
    <xf numFmtId="11" fontId="7" fillId="0" borderId="0" xfId="0" applyNumberFormat="1" applyFont="1"/>
    <xf numFmtId="0" fontId="10" fillId="0" borderId="0" xfId="0" applyFont="1" applyAlignment="1">
      <alignment vertical="top" wrapText="1"/>
    </xf>
    <xf numFmtId="0" fontId="7" fillId="14" borderId="0" xfId="0" applyFont="1" applyFill="1" applyAlignment="1">
      <alignment vertical="top" wrapText="1"/>
    </xf>
    <xf numFmtId="165" fontId="0" fillId="0" borderId="0" xfId="0" applyNumberFormat="1"/>
    <xf numFmtId="2" fontId="0" fillId="0" borderId="0" xfId="0" applyNumberFormat="1"/>
    <xf numFmtId="0" fontId="18" fillId="0" borderId="0" xfId="1"/>
    <xf numFmtId="0" fontId="19" fillId="0" borderId="0" xfId="1" applyFont="1"/>
    <xf numFmtId="0" fontId="18" fillId="16" borderId="0" xfId="1" applyFill="1"/>
    <xf numFmtId="11" fontId="18" fillId="0" borderId="0" xfId="1" applyNumberFormat="1"/>
    <xf numFmtId="166" fontId="0" fillId="0" borderId="0" xfId="0" applyNumberFormat="1"/>
    <xf numFmtId="0" fontId="3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12" borderId="21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20" fillId="0" borderId="0" xfId="0" applyFont="1"/>
  </cellXfs>
  <cellStyles count="2">
    <cellStyle name="Normal" xfId="0" builtinId="0"/>
    <cellStyle name="Normal 2" xfId="1" xr:uid="{38CA22F5-81A3-46F9-938A-6A4280312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Fuselage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'Fuselage Stresses'!$C$2:$C$12</c:f>
              <c:numCache>
                <c:formatCode>General</c:formatCode>
                <c:ptCount val="11"/>
                <c:pt idx="0">
                  <c:v>-795</c:v>
                </c:pt>
                <c:pt idx="1">
                  <c:v>-800</c:v>
                </c:pt>
                <c:pt idx="2">
                  <c:v>-690</c:v>
                </c:pt>
                <c:pt idx="3">
                  <c:v>-275</c:v>
                </c:pt>
                <c:pt idx="4">
                  <c:v>275</c:v>
                </c:pt>
                <c:pt idx="5">
                  <c:v>690</c:v>
                </c:pt>
                <c:pt idx="6">
                  <c:v>800</c:v>
                </c:pt>
                <c:pt idx="7">
                  <c:v>795</c:v>
                </c:pt>
                <c:pt idx="8">
                  <c:v>400</c:v>
                </c:pt>
                <c:pt idx="9">
                  <c:v>-400</c:v>
                </c:pt>
                <c:pt idx="10">
                  <c:v>0</c:v>
                </c:pt>
              </c:numCache>
            </c:numRef>
          </c:xVal>
          <c:yVal>
            <c:numRef>
              <c:f>'Fuselage Stresses'!$D$2:$D$12</c:f>
              <c:numCache>
                <c:formatCode>General</c:formatCode>
                <c:ptCount val="11"/>
                <c:pt idx="0">
                  <c:v>350</c:v>
                </c:pt>
                <c:pt idx="1">
                  <c:v>950</c:v>
                </c:pt>
                <c:pt idx="2">
                  <c:v>1625</c:v>
                </c:pt>
                <c:pt idx="3">
                  <c:v>2065</c:v>
                </c:pt>
                <c:pt idx="4">
                  <c:v>2065</c:v>
                </c:pt>
                <c:pt idx="5">
                  <c:v>1625</c:v>
                </c:pt>
                <c:pt idx="6">
                  <c:v>950</c:v>
                </c:pt>
                <c:pt idx="7">
                  <c:v>230</c:v>
                </c:pt>
                <c:pt idx="8">
                  <c:v>0</c:v>
                </c:pt>
                <c:pt idx="9">
                  <c:v>0</c:v>
                </c:pt>
                <c:pt idx="10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F-4AA7-85B4-9EFE36C99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32687"/>
        <c:axId val="1177633647"/>
      </c:scatterChart>
      <c:scatterChart>
        <c:scatterStyle val="smoothMarker"/>
        <c:varyColors val="0"/>
        <c:ser>
          <c:idx val="2"/>
          <c:order val="1"/>
          <c:tx>
            <c:v>Boom 2-3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'Fuselage Stresses'!$C$14:$C$15</c:f>
              <c:numCache>
                <c:formatCode>General</c:formatCode>
                <c:ptCount val="2"/>
                <c:pt idx="0">
                  <c:v>-800</c:v>
                </c:pt>
                <c:pt idx="1">
                  <c:v>-800</c:v>
                </c:pt>
              </c:numCache>
            </c:numRef>
          </c:xVal>
          <c:yVal>
            <c:numRef>
              <c:f>'Fuselage Stresses'!$D$14:$D$15</c:f>
              <c:numCache>
                <c:formatCode>General</c:formatCode>
                <c:ptCount val="2"/>
                <c:pt idx="0">
                  <c:v>600</c:v>
                </c:pt>
                <c:pt idx="1">
                  <c:v>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FF-4AA7-85B4-9EFE36C99FAB}"/>
            </c:ext>
          </c:extLst>
        </c:ser>
        <c:ser>
          <c:idx val="5"/>
          <c:order val="2"/>
          <c:tx>
            <c:v>Boom 7-8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'Fuselage Stresses'!$C$19:$C$20</c:f>
              <c:numCache>
                <c:formatCode>General</c:formatCode>
                <c:ptCount val="2"/>
                <c:pt idx="0">
                  <c:v>800</c:v>
                </c:pt>
                <c:pt idx="1">
                  <c:v>800</c:v>
                </c:pt>
              </c:numCache>
            </c:numRef>
          </c:xVal>
          <c:yVal>
            <c:numRef>
              <c:f>'Fuselage Stresses'!$D$19:$D$20</c:f>
              <c:numCache>
                <c:formatCode>General</c:formatCode>
                <c:ptCount val="2"/>
                <c:pt idx="0">
                  <c:v>1300</c:v>
                </c:pt>
                <c:pt idx="1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FF-4AA7-85B4-9EFE36C99FAB}"/>
            </c:ext>
          </c:extLst>
        </c:ser>
        <c:ser>
          <c:idx val="8"/>
          <c:order val="3"/>
          <c:tx>
            <c:v>Boom 2-8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('Fuselage Stresses'!$C$14,'Fuselage Stresses'!$C$20)</c:f>
              <c:numCache>
                <c:formatCode>General</c:formatCode>
                <c:ptCount val="2"/>
                <c:pt idx="0">
                  <c:v>-800</c:v>
                </c:pt>
                <c:pt idx="1">
                  <c:v>800</c:v>
                </c:pt>
              </c:numCache>
            </c:numRef>
          </c:xVal>
          <c:yVal>
            <c:numRef>
              <c:f>('Fuselage Stresses'!$D$14,'Fuselage Stresses'!$D$20)</c:f>
              <c:numCache>
                <c:formatCode>General</c:formatCode>
                <c:ptCount val="2"/>
                <c:pt idx="0">
                  <c:v>600</c:v>
                </c:pt>
                <c:pt idx="1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FF-4AA7-85B4-9EFE36C99FAB}"/>
            </c:ext>
          </c:extLst>
        </c:ser>
        <c:ser>
          <c:idx val="3"/>
          <c:order val="4"/>
          <c:tx>
            <c:v>Boom curved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('Fuselage Stresses'!$C$15,'Fuselage Stresses'!$C$16,'Fuselage Stresses'!$C$17,'Fuselage Stresses'!$C$18,'Fuselage Stresses'!$C$19)</c:f>
              <c:numCache>
                <c:formatCode>General</c:formatCode>
                <c:ptCount val="5"/>
                <c:pt idx="0">
                  <c:v>-800</c:v>
                </c:pt>
                <c:pt idx="1">
                  <c:v>-550</c:v>
                </c:pt>
                <c:pt idx="2">
                  <c:v>0</c:v>
                </c:pt>
                <c:pt idx="3">
                  <c:v>550</c:v>
                </c:pt>
                <c:pt idx="4">
                  <c:v>800</c:v>
                </c:pt>
              </c:numCache>
            </c:numRef>
          </c:xVal>
          <c:yVal>
            <c:numRef>
              <c:f>('Fuselage Stresses'!$D$15,'Fuselage Stresses'!$D$16,'Fuselage Stresses'!$D$17,'Fuselage Stresses'!$D$18,'Fuselage Stresses'!$D$19)</c:f>
              <c:numCache>
                <c:formatCode>General</c:formatCode>
                <c:ptCount val="5"/>
                <c:pt idx="0">
                  <c:v>1300</c:v>
                </c:pt>
                <c:pt idx="1">
                  <c:v>1950</c:v>
                </c:pt>
                <c:pt idx="2">
                  <c:v>2100</c:v>
                </c:pt>
                <c:pt idx="3">
                  <c:v>1950</c:v>
                </c:pt>
                <c:pt idx="4">
                  <c:v>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FF-4AA7-85B4-9EFE36C99FAB}"/>
            </c:ext>
          </c:extLst>
        </c:ser>
        <c:ser>
          <c:idx val="0"/>
          <c:order val="5"/>
          <c:tx>
            <c:v>Boom 8-9-10-1-2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0FF-4AA7-85B4-9EFE36C99FAB}"/>
              </c:ext>
            </c:extLst>
          </c:dPt>
          <c:xVal>
            <c:numRef>
              <c:f>('Fuselage Stresses'!$C$20,'Fuselage Stresses'!$C$21,'Fuselage Stresses'!$C$22,'Fuselage Stresses'!$C$13,'Fuselage Stresses'!$C$14)</c:f>
              <c:numCache>
                <c:formatCode>General</c:formatCode>
                <c:ptCount val="5"/>
                <c:pt idx="0">
                  <c:v>800</c:v>
                </c:pt>
                <c:pt idx="1">
                  <c:v>700</c:v>
                </c:pt>
                <c:pt idx="2">
                  <c:v>0</c:v>
                </c:pt>
                <c:pt idx="3">
                  <c:v>-700</c:v>
                </c:pt>
                <c:pt idx="4">
                  <c:v>-800</c:v>
                </c:pt>
              </c:numCache>
            </c:numRef>
          </c:xVal>
          <c:yVal>
            <c:numRef>
              <c:f>('Fuselage Stresses'!$D$20,'Fuselage Stresses'!$D$21,'Fuselage Stresses'!$D$22,'Fuselage Stresses'!$D$13,'Fuselage Stresses'!$D$14)</c:f>
              <c:numCache>
                <c:formatCode>General</c:formatCode>
                <c:ptCount val="5"/>
                <c:pt idx="0">
                  <c:v>600</c:v>
                </c:pt>
                <c:pt idx="1">
                  <c:v>100</c:v>
                </c:pt>
                <c:pt idx="2">
                  <c:v>0</c:v>
                </c:pt>
                <c:pt idx="3">
                  <c:v>100</c:v>
                </c:pt>
                <c:pt idx="4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FF-4AA7-85B4-9EFE36C99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32687"/>
        <c:axId val="1177633647"/>
      </c:scatterChart>
      <c:valAx>
        <c:axId val="117763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33647"/>
        <c:crosses val="autoZero"/>
        <c:crossBetween val="midCat"/>
      </c:valAx>
      <c:valAx>
        <c:axId val="117763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3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Fuselage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Boom 2-3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'Fuselage Stresses'!$C$14:$C$15</c:f>
              <c:numCache>
                <c:formatCode>General</c:formatCode>
                <c:ptCount val="2"/>
                <c:pt idx="0">
                  <c:v>-800</c:v>
                </c:pt>
                <c:pt idx="1">
                  <c:v>-800</c:v>
                </c:pt>
              </c:numCache>
            </c:numRef>
          </c:xVal>
          <c:yVal>
            <c:numRef>
              <c:f>'Fuselage Stresses'!$D$14:$D$15</c:f>
              <c:numCache>
                <c:formatCode>General</c:formatCode>
                <c:ptCount val="2"/>
                <c:pt idx="0">
                  <c:v>600</c:v>
                </c:pt>
                <c:pt idx="1">
                  <c:v>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5D-4CEA-96F5-1A54C022DE65}"/>
            </c:ext>
          </c:extLst>
        </c:ser>
        <c:ser>
          <c:idx val="5"/>
          <c:order val="1"/>
          <c:tx>
            <c:v>Boom 7-8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1C-47E2-8F48-736B7E9035FD}"/>
              </c:ext>
            </c:extLst>
          </c:dPt>
          <c:xVal>
            <c:numRef>
              <c:f>'Fuselage Stresses'!$C$19:$C$20</c:f>
              <c:numCache>
                <c:formatCode>General</c:formatCode>
                <c:ptCount val="2"/>
                <c:pt idx="0">
                  <c:v>800</c:v>
                </c:pt>
                <c:pt idx="1">
                  <c:v>800</c:v>
                </c:pt>
              </c:numCache>
            </c:numRef>
          </c:xVal>
          <c:yVal>
            <c:numRef>
              <c:f>'Fuselage Stresses'!$D$19:$D$20</c:f>
              <c:numCache>
                <c:formatCode>General</c:formatCode>
                <c:ptCount val="2"/>
                <c:pt idx="0">
                  <c:v>1300</c:v>
                </c:pt>
                <c:pt idx="1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5D-4CEA-96F5-1A54C022DE65}"/>
            </c:ext>
          </c:extLst>
        </c:ser>
        <c:ser>
          <c:idx val="8"/>
          <c:order val="2"/>
          <c:tx>
            <c:v>Boom 2-8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('Fuselage Stresses'!$C$14,'Fuselage Stresses'!$C$20)</c:f>
              <c:numCache>
                <c:formatCode>General</c:formatCode>
                <c:ptCount val="2"/>
                <c:pt idx="0">
                  <c:v>-800</c:v>
                </c:pt>
                <c:pt idx="1">
                  <c:v>800</c:v>
                </c:pt>
              </c:numCache>
            </c:numRef>
          </c:xVal>
          <c:yVal>
            <c:numRef>
              <c:f>('Fuselage Stresses'!$D$14,'Fuselage Stresses'!$D$20)</c:f>
              <c:numCache>
                <c:formatCode>General</c:formatCode>
                <c:ptCount val="2"/>
                <c:pt idx="0">
                  <c:v>600</c:v>
                </c:pt>
                <c:pt idx="1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55D-4CEA-96F5-1A54C022DE65}"/>
            </c:ext>
          </c:extLst>
        </c:ser>
        <c:ser>
          <c:idx val="3"/>
          <c:order val="3"/>
          <c:tx>
            <c:v>Boom curved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('Fuselage Stresses'!$C$15,'Fuselage Stresses'!$C$16,'Fuselage Stresses'!$C$17,'Fuselage Stresses'!$C$18,'Fuselage Stresses'!$C$19)</c:f>
              <c:numCache>
                <c:formatCode>General</c:formatCode>
                <c:ptCount val="5"/>
                <c:pt idx="0">
                  <c:v>-800</c:v>
                </c:pt>
                <c:pt idx="1">
                  <c:v>-550</c:v>
                </c:pt>
                <c:pt idx="2">
                  <c:v>0</c:v>
                </c:pt>
                <c:pt idx="3">
                  <c:v>550</c:v>
                </c:pt>
                <c:pt idx="4">
                  <c:v>800</c:v>
                </c:pt>
              </c:numCache>
            </c:numRef>
          </c:xVal>
          <c:yVal>
            <c:numRef>
              <c:f>('Fuselage Stresses'!$D$15,'Fuselage Stresses'!$D$16,'Fuselage Stresses'!$D$17,'Fuselage Stresses'!$D$18,'Fuselage Stresses'!$D$19)</c:f>
              <c:numCache>
                <c:formatCode>General</c:formatCode>
                <c:ptCount val="5"/>
                <c:pt idx="0">
                  <c:v>1300</c:v>
                </c:pt>
                <c:pt idx="1">
                  <c:v>1950</c:v>
                </c:pt>
                <c:pt idx="2">
                  <c:v>2100</c:v>
                </c:pt>
                <c:pt idx="3">
                  <c:v>1950</c:v>
                </c:pt>
                <c:pt idx="4">
                  <c:v>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55D-4CEA-96F5-1A54C022DE65}"/>
            </c:ext>
          </c:extLst>
        </c:ser>
        <c:ser>
          <c:idx val="0"/>
          <c:order val="4"/>
          <c:tx>
            <c:v>Boom 8-9-10-1-2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1F6-46C2-A061-EDF9B7956FCB}"/>
              </c:ext>
            </c:extLst>
          </c:dPt>
          <c:xVal>
            <c:numRef>
              <c:f>('Fuselage Stresses'!$C$20,'Fuselage Stresses'!$C$21,'Fuselage Stresses'!$C$22,'Fuselage Stresses'!$C$13,'Fuselage Stresses'!$C$14)</c:f>
              <c:numCache>
                <c:formatCode>General</c:formatCode>
                <c:ptCount val="5"/>
                <c:pt idx="0">
                  <c:v>800</c:v>
                </c:pt>
                <c:pt idx="1">
                  <c:v>700</c:v>
                </c:pt>
                <c:pt idx="2">
                  <c:v>0</c:v>
                </c:pt>
                <c:pt idx="3">
                  <c:v>-700</c:v>
                </c:pt>
                <c:pt idx="4">
                  <c:v>-800</c:v>
                </c:pt>
              </c:numCache>
            </c:numRef>
          </c:xVal>
          <c:yVal>
            <c:numRef>
              <c:f>('Fuselage Stresses'!$D$20,'Fuselage Stresses'!$D$21,'Fuselage Stresses'!$D$22,'Fuselage Stresses'!$D$13,'Fuselage Stresses'!$D$14)</c:f>
              <c:numCache>
                <c:formatCode>General</c:formatCode>
                <c:ptCount val="5"/>
                <c:pt idx="0">
                  <c:v>600</c:v>
                </c:pt>
                <c:pt idx="1">
                  <c:v>100</c:v>
                </c:pt>
                <c:pt idx="2">
                  <c:v>0</c:v>
                </c:pt>
                <c:pt idx="3">
                  <c:v>100</c:v>
                </c:pt>
                <c:pt idx="4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F2-45E9-97B7-D7BDBDBC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32687"/>
        <c:axId val="1177633647"/>
      </c:scatterChart>
      <c:valAx>
        <c:axId val="117763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33647"/>
        <c:crosses val="autoZero"/>
        <c:crossBetween val="midCat"/>
      </c:valAx>
      <c:valAx>
        <c:axId val="117763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3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Gust load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'Gust Loads'!$A$1:$A$277</c:f>
              <c:numCache>
                <c:formatCode>0.00E+00</c:formatCode>
                <c:ptCount val="277"/>
                <c:pt idx="0" formatCode="General">
                  <c:v>0</c:v>
                </c:pt>
                <c:pt idx="1">
                  <c:v>21820.389803759699</c:v>
                </c:pt>
                <c:pt idx="2">
                  <c:v>21850.889803759699</c:v>
                </c:pt>
                <c:pt idx="3">
                  <c:v>21881.389803759699</c:v>
                </c:pt>
                <c:pt idx="4">
                  <c:v>38208.557156579503</c:v>
                </c:pt>
                <c:pt idx="5">
                  <c:v>38239.057156579503</c:v>
                </c:pt>
                <c:pt idx="6">
                  <c:v>38269.557156579503</c:v>
                </c:pt>
                <c:pt idx="7">
                  <c:v>43671.2796075195</c:v>
                </c:pt>
                <c:pt idx="8">
                  <c:v>43701.7796075195</c:v>
                </c:pt>
                <c:pt idx="9">
                  <c:v>43732.2796075195</c:v>
                </c:pt>
                <c:pt idx="10">
                  <c:v>65522.169411279203</c:v>
                </c:pt>
                <c:pt idx="11">
                  <c:v>65552.669411279203</c:v>
                </c:pt>
                <c:pt idx="12">
                  <c:v>65583.169411279203</c:v>
                </c:pt>
                <c:pt idx="13">
                  <c:v>76447.614313159094</c:v>
                </c:pt>
                <c:pt idx="14">
                  <c:v>76478.114313159094</c:v>
                </c:pt>
                <c:pt idx="15">
                  <c:v>76508.614313159094</c:v>
                </c:pt>
                <c:pt idx="16">
                  <c:v>87373.059215039</c:v>
                </c:pt>
                <c:pt idx="17">
                  <c:v>87403.559215039</c:v>
                </c:pt>
                <c:pt idx="18">
                  <c:v>87434.059215039</c:v>
                </c:pt>
                <c:pt idx="19">
                  <c:v>109223.949018798</c:v>
                </c:pt>
                <c:pt idx="20">
                  <c:v>109254.449018798</c:v>
                </c:pt>
                <c:pt idx="21">
                  <c:v>109284.949018798</c:v>
                </c:pt>
                <c:pt idx="22">
                  <c:v>114686.67146973799</c:v>
                </c:pt>
                <c:pt idx="23">
                  <c:v>114717.17146973799</c:v>
                </c:pt>
                <c:pt idx="24">
                  <c:v>114747.67146973799</c:v>
                </c:pt>
                <c:pt idx="25">
                  <c:v>131074.838822558</c:v>
                </c:pt>
                <c:pt idx="26">
                  <c:v>131105.338822558</c:v>
                </c:pt>
                <c:pt idx="27">
                  <c:v>131135.838822558</c:v>
                </c:pt>
                <c:pt idx="28">
                  <c:v>152925.72862631801</c:v>
                </c:pt>
                <c:pt idx="29">
                  <c:v>152925.72862631801</c:v>
                </c:pt>
                <c:pt idx="30">
                  <c:v>152956.22862631801</c:v>
                </c:pt>
                <c:pt idx="31">
                  <c:v>152956.22862631801</c:v>
                </c:pt>
                <c:pt idx="32">
                  <c:v>152986.72862631801</c:v>
                </c:pt>
                <c:pt idx="33">
                  <c:v>152986.72862631801</c:v>
                </c:pt>
                <c:pt idx="34">
                  <c:v>174776.618430078</c:v>
                </c:pt>
                <c:pt idx="35">
                  <c:v>174807.118430078</c:v>
                </c:pt>
                <c:pt idx="36">
                  <c:v>174837.618430078</c:v>
                </c:pt>
                <c:pt idx="37">
                  <c:v>191164.785782897</c:v>
                </c:pt>
                <c:pt idx="38">
                  <c:v>191195.285782897</c:v>
                </c:pt>
                <c:pt idx="39">
                  <c:v>191225.785782897</c:v>
                </c:pt>
                <c:pt idx="40">
                  <c:v>196627.508233837</c:v>
                </c:pt>
                <c:pt idx="41">
                  <c:v>196658.008233837</c:v>
                </c:pt>
                <c:pt idx="42">
                  <c:v>196688.508233837</c:v>
                </c:pt>
                <c:pt idx="43">
                  <c:v>218478.39803759701</c:v>
                </c:pt>
                <c:pt idx="44">
                  <c:v>218508.89803759701</c:v>
                </c:pt>
                <c:pt idx="45">
                  <c:v>218539.39803759701</c:v>
                </c:pt>
                <c:pt idx="46">
                  <c:v>229403.84293947701</c:v>
                </c:pt>
                <c:pt idx="47">
                  <c:v>229434.34293947701</c:v>
                </c:pt>
                <c:pt idx="48">
                  <c:v>229464.84293947701</c:v>
                </c:pt>
                <c:pt idx="49">
                  <c:v>240329.287841357</c:v>
                </c:pt>
                <c:pt idx="50">
                  <c:v>240359.787841357</c:v>
                </c:pt>
                <c:pt idx="51">
                  <c:v>240390.287841357</c:v>
                </c:pt>
                <c:pt idx="52">
                  <c:v>262180.17764511699</c:v>
                </c:pt>
                <c:pt idx="53">
                  <c:v>262210.67764511699</c:v>
                </c:pt>
                <c:pt idx="54">
                  <c:v>262241.17764511699</c:v>
                </c:pt>
                <c:pt idx="55">
                  <c:v>267642.90009605698</c:v>
                </c:pt>
                <c:pt idx="56">
                  <c:v>267673.40009605698</c:v>
                </c:pt>
                <c:pt idx="57">
                  <c:v>267703.90009605698</c:v>
                </c:pt>
                <c:pt idx="58">
                  <c:v>284031.06744887598</c:v>
                </c:pt>
                <c:pt idx="59">
                  <c:v>284061.56744887598</c:v>
                </c:pt>
                <c:pt idx="60">
                  <c:v>284092.06744887598</c:v>
                </c:pt>
                <c:pt idx="61">
                  <c:v>305881.95725263603</c:v>
                </c:pt>
                <c:pt idx="62">
                  <c:v>305881.95725263603</c:v>
                </c:pt>
                <c:pt idx="63">
                  <c:v>305912.45725263603</c:v>
                </c:pt>
                <c:pt idx="64">
                  <c:v>305912.45725263603</c:v>
                </c:pt>
                <c:pt idx="65">
                  <c:v>305942.95725263603</c:v>
                </c:pt>
                <c:pt idx="66">
                  <c:v>305942.95725263603</c:v>
                </c:pt>
                <c:pt idx="67">
                  <c:v>327732.84705639601</c:v>
                </c:pt>
                <c:pt idx="68">
                  <c:v>327763.34705639601</c:v>
                </c:pt>
                <c:pt idx="69">
                  <c:v>327793.84705639601</c:v>
                </c:pt>
                <c:pt idx="70">
                  <c:v>344121.014409216</c:v>
                </c:pt>
                <c:pt idx="71">
                  <c:v>344151.514409216</c:v>
                </c:pt>
                <c:pt idx="72">
                  <c:v>344182.014409216</c:v>
                </c:pt>
                <c:pt idx="73">
                  <c:v>349583.736860156</c:v>
                </c:pt>
                <c:pt idx="74">
                  <c:v>349614.236860156</c:v>
                </c:pt>
                <c:pt idx="75">
                  <c:v>349644.736860156</c:v>
                </c:pt>
                <c:pt idx="76">
                  <c:v>371434.62666391599</c:v>
                </c:pt>
                <c:pt idx="77">
                  <c:v>371465.12666391599</c:v>
                </c:pt>
                <c:pt idx="78">
                  <c:v>371495.62666391599</c:v>
                </c:pt>
                <c:pt idx="79">
                  <c:v>382360.07156579499</c:v>
                </c:pt>
                <c:pt idx="80">
                  <c:v>382390.57156579499</c:v>
                </c:pt>
                <c:pt idx="81">
                  <c:v>382421.07156579499</c:v>
                </c:pt>
                <c:pt idx="82">
                  <c:v>393285.51646767498</c:v>
                </c:pt>
                <c:pt idx="83">
                  <c:v>393316.01646767498</c:v>
                </c:pt>
                <c:pt idx="84">
                  <c:v>393346.51646767498</c:v>
                </c:pt>
                <c:pt idx="85">
                  <c:v>415136.40627143497</c:v>
                </c:pt>
                <c:pt idx="86">
                  <c:v>415166.90627143497</c:v>
                </c:pt>
                <c:pt idx="87">
                  <c:v>415197.40627143497</c:v>
                </c:pt>
                <c:pt idx="88">
                  <c:v>420599.12872237503</c:v>
                </c:pt>
                <c:pt idx="89">
                  <c:v>420629.62872237503</c:v>
                </c:pt>
                <c:pt idx="90">
                  <c:v>420660.12872237503</c:v>
                </c:pt>
                <c:pt idx="91">
                  <c:v>436987.29607519502</c:v>
                </c:pt>
                <c:pt idx="92">
                  <c:v>437017.79607519502</c:v>
                </c:pt>
                <c:pt idx="93">
                  <c:v>437048.29607519502</c:v>
                </c:pt>
                <c:pt idx="94">
                  <c:v>458838.185878955</c:v>
                </c:pt>
                <c:pt idx="95">
                  <c:v>458838.185878955</c:v>
                </c:pt>
                <c:pt idx="96">
                  <c:v>458868.685878955</c:v>
                </c:pt>
                <c:pt idx="97">
                  <c:v>458868.685878955</c:v>
                </c:pt>
                <c:pt idx="98">
                  <c:v>458899.185878955</c:v>
                </c:pt>
                <c:pt idx="99">
                  <c:v>458899.185878955</c:v>
                </c:pt>
                <c:pt idx="100">
                  <c:v>480689.075682714</c:v>
                </c:pt>
                <c:pt idx="101">
                  <c:v>480719.575682714</c:v>
                </c:pt>
                <c:pt idx="102">
                  <c:v>480750.075682714</c:v>
                </c:pt>
                <c:pt idx="103">
                  <c:v>497077.24303553399</c:v>
                </c:pt>
                <c:pt idx="104">
                  <c:v>497107.74303553399</c:v>
                </c:pt>
                <c:pt idx="105">
                  <c:v>497138.24303553399</c:v>
                </c:pt>
                <c:pt idx="106">
                  <c:v>502539.96548647399</c:v>
                </c:pt>
                <c:pt idx="107">
                  <c:v>502570.46548647399</c:v>
                </c:pt>
                <c:pt idx="108">
                  <c:v>502600.96548647399</c:v>
                </c:pt>
                <c:pt idx="109">
                  <c:v>524390.85529023397</c:v>
                </c:pt>
                <c:pt idx="110">
                  <c:v>524421.35529023397</c:v>
                </c:pt>
                <c:pt idx="111">
                  <c:v>524451.85529023397</c:v>
                </c:pt>
                <c:pt idx="112">
                  <c:v>535316.30019211397</c:v>
                </c:pt>
                <c:pt idx="113">
                  <c:v>535346.80019211397</c:v>
                </c:pt>
                <c:pt idx="114">
                  <c:v>535377.30019211397</c:v>
                </c:pt>
                <c:pt idx="115">
                  <c:v>546241.74509399396</c:v>
                </c:pt>
                <c:pt idx="116">
                  <c:v>546272.24509399396</c:v>
                </c:pt>
                <c:pt idx="117">
                  <c:v>546302.74509399396</c:v>
                </c:pt>
                <c:pt idx="118">
                  <c:v>568092.63489775301</c:v>
                </c:pt>
                <c:pt idx="119">
                  <c:v>568123.13489775301</c:v>
                </c:pt>
                <c:pt idx="120">
                  <c:v>568153.63489775301</c:v>
                </c:pt>
                <c:pt idx="121">
                  <c:v>573555.35734869295</c:v>
                </c:pt>
                <c:pt idx="122">
                  <c:v>573585.85734869295</c:v>
                </c:pt>
                <c:pt idx="123">
                  <c:v>573616.35734869295</c:v>
                </c:pt>
                <c:pt idx="124">
                  <c:v>589943.524701513</c:v>
                </c:pt>
                <c:pt idx="125">
                  <c:v>589974.024701513</c:v>
                </c:pt>
                <c:pt idx="126">
                  <c:v>590004.524701513</c:v>
                </c:pt>
                <c:pt idx="127">
                  <c:v>611794.41450527299</c:v>
                </c:pt>
                <c:pt idx="128">
                  <c:v>611794.41450527299</c:v>
                </c:pt>
                <c:pt idx="129">
                  <c:v>611824.91450527299</c:v>
                </c:pt>
                <c:pt idx="130">
                  <c:v>611824.91450527299</c:v>
                </c:pt>
                <c:pt idx="131">
                  <c:v>611855.41450527299</c:v>
                </c:pt>
                <c:pt idx="132">
                  <c:v>611855.41450527299</c:v>
                </c:pt>
                <c:pt idx="133">
                  <c:v>633645.30430903297</c:v>
                </c:pt>
                <c:pt idx="134">
                  <c:v>633675.80430903297</c:v>
                </c:pt>
                <c:pt idx="135">
                  <c:v>633706.30430903297</c:v>
                </c:pt>
                <c:pt idx="136">
                  <c:v>650033.47166185197</c:v>
                </c:pt>
                <c:pt idx="137">
                  <c:v>650063.97166185197</c:v>
                </c:pt>
                <c:pt idx="138">
                  <c:v>650094.47166185197</c:v>
                </c:pt>
                <c:pt idx="139">
                  <c:v>655496.19411279296</c:v>
                </c:pt>
                <c:pt idx="140">
                  <c:v>655526.69411279296</c:v>
                </c:pt>
                <c:pt idx="141">
                  <c:v>655557.19411279296</c:v>
                </c:pt>
                <c:pt idx="142">
                  <c:v>677347.08391655202</c:v>
                </c:pt>
                <c:pt idx="143">
                  <c:v>677377.58391655202</c:v>
                </c:pt>
                <c:pt idx="144">
                  <c:v>677408.08391655202</c:v>
                </c:pt>
                <c:pt idx="145">
                  <c:v>688272.52881843201</c:v>
                </c:pt>
                <c:pt idx="146">
                  <c:v>688303.02881843201</c:v>
                </c:pt>
                <c:pt idx="147">
                  <c:v>688333.52881843201</c:v>
                </c:pt>
                <c:pt idx="148">
                  <c:v>699197.973720312</c:v>
                </c:pt>
                <c:pt idx="149">
                  <c:v>699228.473720312</c:v>
                </c:pt>
                <c:pt idx="150">
                  <c:v>699258.973720312</c:v>
                </c:pt>
                <c:pt idx="151">
                  <c:v>721048.86352407199</c:v>
                </c:pt>
                <c:pt idx="152">
                  <c:v>721079.36352407199</c:v>
                </c:pt>
                <c:pt idx="153">
                  <c:v>721109.86352407199</c:v>
                </c:pt>
                <c:pt idx="154">
                  <c:v>726511.58597501204</c:v>
                </c:pt>
                <c:pt idx="155">
                  <c:v>726542.08597501204</c:v>
                </c:pt>
                <c:pt idx="156">
                  <c:v>726572.58597501204</c:v>
                </c:pt>
                <c:pt idx="157">
                  <c:v>742899.75332783198</c:v>
                </c:pt>
                <c:pt idx="158">
                  <c:v>742930.25332783198</c:v>
                </c:pt>
                <c:pt idx="159">
                  <c:v>742960.75332783198</c:v>
                </c:pt>
                <c:pt idx="160">
                  <c:v>764750.64313159103</c:v>
                </c:pt>
                <c:pt idx="161">
                  <c:v>764750.64313159103</c:v>
                </c:pt>
                <c:pt idx="162">
                  <c:v>764781.14313159103</c:v>
                </c:pt>
                <c:pt idx="163">
                  <c:v>764781.14313159103</c:v>
                </c:pt>
                <c:pt idx="164">
                  <c:v>764811.64313159103</c:v>
                </c:pt>
                <c:pt idx="165">
                  <c:v>764811.64313159103</c:v>
                </c:pt>
                <c:pt idx="166">
                  <c:v>786601.53293535102</c:v>
                </c:pt>
                <c:pt idx="167">
                  <c:v>786632.03293535102</c:v>
                </c:pt>
                <c:pt idx="168">
                  <c:v>786662.53293535102</c:v>
                </c:pt>
                <c:pt idx="169">
                  <c:v>802989.70028817095</c:v>
                </c:pt>
                <c:pt idx="170">
                  <c:v>803020.20028817095</c:v>
                </c:pt>
                <c:pt idx="171">
                  <c:v>803050.70028817095</c:v>
                </c:pt>
                <c:pt idx="172">
                  <c:v>808452.422739111</c:v>
                </c:pt>
                <c:pt idx="173">
                  <c:v>808482.922739111</c:v>
                </c:pt>
                <c:pt idx="174">
                  <c:v>808513.422739111</c:v>
                </c:pt>
                <c:pt idx="175">
                  <c:v>830303.31254287099</c:v>
                </c:pt>
                <c:pt idx="176">
                  <c:v>830333.81254287099</c:v>
                </c:pt>
                <c:pt idx="177">
                  <c:v>830364.31254287099</c:v>
                </c:pt>
                <c:pt idx="178">
                  <c:v>841228.75744475005</c:v>
                </c:pt>
                <c:pt idx="179">
                  <c:v>841259.25744475005</c:v>
                </c:pt>
                <c:pt idx="180">
                  <c:v>841289.75744475005</c:v>
                </c:pt>
                <c:pt idx="181">
                  <c:v>852154.20234663005</c:v>
                </c:pt>
                <c:pt idx="182">
                  <c:v>852184.70234663005</c:v>
                </c:pt>
                <c:pt idx="183">
                  <c:v>852215.20234663005</c:v>
                </c:pt>
                <c:pt idx="184">
                  <c:v>874005.09215039003</c:v>
                </c:pt>
                <c:pt idx="185">
                  <c:v>874035.59215039003</c:v>
                </c:pt>
                <c:pt idx="186">
                  <c:v>874066.09215039003</c:v>
                </c:pt>
                <c:pt idx="187">
                  <c:v>879467.81460132997</c:v>
                </c:pt>
                <c:pt idx="188">
                  <c:v>879498.31460132997</c:v>
                </c:pt>
                <c:pt idx="189">
                  <c:v>879528.81460132997</c:v>
                </c:pt>
                <c:pt idx="190">
                  <c:v>895855.98195415002</c:v>
                </c:pt>
                <c:pt idx="191">
                  <c:v>895886.48195415002</c:v>
                </c:pt>
                <c:pt idx="192">
                  <c:v>895916.98195415002</c:v>
                </c:pt>
                <c:pt idx="193">
                  <c:v>917706.87175791</c:v>
                </c:pt>
                <c:pt idx="194">
                  <c:v>917706.87175791</c:v>
                </c:pt>
                <c:pt idx="195">
                  <c:v>917737.37175791</c:v>
                </c:pt>
                <c:pt idx="196">
                  <c:v>917737.37175791</c:v>
                </c:pt>
                <c:pt idx="197">
                  <c:v>917767.87175791</c:v>
                </c:pt>
                <c:pt idx="198">
                  <c:v>917767.87175791</c:v>
                </c:pt>
                <c:pt idx="199">
                  <c:v>939557.76156166894</c:v>
                </c:pt>
                <c:pt idx="200">
                  <c:v>939588.26156166894</c:v>
                </c:pt>
                <c:pt idx="201">
                  <c:v>939618.76156166894</c:v>
                </c:pt>
                <c:pt idx="202">
                  <c:v>955945.92891448899</c:v>
                </c:pt>
                <c:pt idx="203">
                  <c:v>955976.42891448899</c:v>
                </c:pt>
                <c:pt idx="204">
                  <c:v>956006.92891448899</c:v>
                </c:pt>
                <c:pt idx="205">
                  <c:v>961408.65136542905</c:v>
                </c:pt>
                <c:pt idx="206">
                  <c:v>961439.15136542905</c:v>
                </c:pt>
                <c:pt idx="207">
                  <c:v>961469.65136542905</c:v>
                </c:pt>
                <c:pt idx="208">
                  <c:v>983259.54116918903</c:v>
                </c:pt>
                <c:pt idx="209">
                  <c:v>983290.04116918903</c:v>
                </c:pt>
                <c:pt idx="210">
                  <c:v>983320.54116918903</c:v>
                </c:pt>
                <c:pt idx="211">
                  <c:v>994184.98607106903</c:v>
                </c:pt>
                <c:pt idx="212">
                  <c:v>994215.48607106903</c:v>
                </c:pt>
                <c:pt idx="213">
                  <c:v>994245.98607106903</c:v>
                </c:pt>
                <c:pt idx="214">
                  <c:v>1005110.4309729401</c:v>
                </c:pt>
                <c:pt idx="215">
                  <c:v>1005140.9309729401</c:v>
                </c:pt>
                <c:pt idx="216">
                  <c:v>1005171.4309729401</c:v>
                </c:pt>
                <c:pt idx="217">
                  <c:v>1032424.04322764</c:v>
                </c:pt>
                <c:pt idx="218">
                  <c:v>1032454.54322764</c:v>
                </c:pt>
                <c:pt idx="219">
                  <c:v>1032485.04322764</c:v>
                </c:pt>
                <c:pt idx="220">
                  <c:v>1070663.10038422</c:v>
                </c:pt>
                <c:pt idx="221">
                  <c:v>1070693.60038422</c:v>
                </c:pt>
                <c:pt idx="222">
                  <c:v>1070724.10038422</c:v>
                </c:pt>
                <c:pt idx="223">
                  <c:v>1108902.1575408</c:v>
                </c:pt>
                <c:pt idx="224">
                  <c:v>1108932.6575408</c:v>
                </c:pt>
                <c:pt idx="225">
                  <c:v>1108963.1575408</c:v>
                </c:pt>
                <c:pt idx="226">
                  <c:v>1147141.2146973801</c:v>
                </c:pt>
                <c:pt idx="227">
                  <c:v>1147171.7146973801</c:v>
                </c:pt>
                <c:pt idx="228">
                  <c:v>1147202.2146973801</c:v>
                </c:pt>
                <c:pt idx="229">
                  <c:v>1185380.2718539599</c:v>
                </c:pt>
                <c:pt idx="230">
                  <c:v>1185410.7718539599</c:v>
                </c:pt>
                <c:pt idx="231">
                  <c:v>1185441.2718539599</c:v>
                </c:pt>
                <c:pt idx="232">
                  <c:v>1223619.3290105399</c:v>
                </c:pt>
                <c:pt idx="233">
                  <c:v>1223649.8290105399</c:v>
                </c:pt>
                <c:pt idx="234">
                  <c:v>1223680.3290105399</c:v>
                </c:pt>
                <c:pt idx="235">
                  <c:v>1261858.38616712</c:v>
                </c:pt>
                <c:pt idx="236">
                  <c:v>1261888.88616712</c:v>
                </c:pt>
                <c:pt idx="237">
                  <c:v>1261919.38616712</c:v>
                </c:pt>
                <c:pt idx="238">
                  <c:v>1300097.4433237</c:v>
                </c:pt>
                <c:pt idx="239">
                  <c:v>1300127.9433237</c:v>
                </c:pt>
                <c:pt idx="240">
                  <c:v>1300158.4433237</c:v>
                </c:pt>
                <c:pt idx="241">
                  <c:v>1338336.50048028</c:v>
                </c:pt>
                <c:pt idx="242">
                  <c:v>1338367.00048028</c:v>
                </c:pt>
                <c:pt idx="243">
                  <c:v>1338397.50048028</c:v>
                </c:pt>
                <c:pt idx="244">
                  <c:v>1376575.5576368601</c:v>
                </c:pt>
                <c:pt idx="245">
                  <c:v>1376606.0576368601</c:v>
                </c:pt>
                <c:pt idx="246">
                  <c:v>1376636.5576368601</c:v>
                </c:pt>
                <c:pt idx="247">
                  <c:v>1414814.6147934401</c:v>
                </c:pt>
                <c:pt idx="248">
                  <c:v>1414845.1147934401</c:v>
                </c:pt>
                <c:pt idx="249">
                  <c:v>1414875.6147934401</c:v>
                </c:pt>
                <c:pt idx="250">
                  <c:v>1453053.6719500199</c:v>
                </c:pt>
                <c:pt idx="251">
                  <c:v>1453084.1719500199</c:v>
                </c:pt>
                <c:pt idx="252">
                  <c:v>1453114.6719500199</c:v>
                </c:pt>
                <c:pt idx="253">
                  <c:v>1491292.7291065999</c:v>
                </c:pt>
                <c:pt idx="254">
                  <c:v>1491323.2291065999</c:v>
                </c:pt>
                <c:pt idx="255">
                  <c:v>1491353.7291065999</c:v>
                </c:pt>
                <c:pt idx="256">
                  <c:v>1529531.78626318</c:v>
                </c:pt>
                <c:pt idx="257">
                  <c:v>1529562.28626318</c:v>
                </c:pt>
                <c:pt idx="258">
                  <c:v>1529592.78626318</c:v>
                </c:pt>
                <c:pt idx="259">
                  <c:v>1567770.84341976</c:v>
                </c:pt>
                <c:pt idx="260">
                  <c:v>1567801.34341976</c:v>
                </c:pt>
                <c:pt idx="261">
                  <c:v>1567831.84341976</c:v>
                </c:pt>
                <c:pt idx="262">
                  <c:v>1606009.90057634</c:v>
                </c:pt>
                <c:pt idx="263">
                  <c:v>1606040.40057634</c:v>
                </c:pt>
                <c:pt idx="264">
                  <c:v>1606070.90057634</c:v>
                </c:pt>
                <c:pt idx="265">
                  <c:v>1644248.9577329201</c:v>
                </c:pt>
                <c:pt idx="266">
                  <c:v>1644279.4577329201</c:v>
                </c:pt>
                <c:pt idx="267">
                  <c:v>1644309.9577329201</c:v>
                </c:pt>
                <c:pt idx="268">
                  <c:v>1682488.0148895001</c:v>
                </c:pt>
                <c:pt idx="269">
                  <c:v>1682518.5148895001</c:v>
                </c:pt>
                <c:pt idx="270">
                  <c:v>1682549.0148895001</c:v>
                </c:pt>
                <c:pt idx="271">
                  <c:v>1720727.0720460799</c:v>
                </c:pt>
                <c:pt idx="272">
                  <c:v>1720757.5720460799</c:v>
                </c:pt>
                <c:pt idx="273">
                  <c:v>1720788.0720460799</c:v>
                </c:pt>
                <c:pt idx="274">
                  <c:v>1758966.1292026599</c:v>
                </c:pt>
                <c:pt idx="275">
                  <c:v>1758996.6292026599</c:v>
                </c:pt>
                <c:pt idx="276">
                  <c:v>1759027.1292026599</c:v>
                </c:pt>
              </c:numCache>
            </c:numRef>
          </c:xVal>
          <c:yVal>
            <c:numRef>
              <c:f>'Gust Loads'!$B$1:$B$277</c:f>
              <c:numCache>
                <c:formatCode>General</c:formatCode>
                <c:ptCount val="277"/>
                <c:pt idx="0">
                  <c:v>1</c:v>
                </c:pt>
                <c:pt idx="1">
                  <c:v>1</c:v>
                </c:pt>
                <c:pt idx="2">
                  <c:v>1.44831916943025</c:v>
                </c:pt>
                <c:pt idx="3">
                  <c:v>1</c:v>
                </c:pt>
                <c:pt idx="4">
                  <c:v>1</c:v>
                </c:pt>
                <c:pt idx="5">
                  <c:v>0.55168083056974104</c:v>
                </c:pt>
                <c:pt idx="6">
                  <c:v>1</c:v>
                </c:pt>
                <c:pt idx="7">
                  <c:v>1</c:v>
                </c:pt>
                <c:pt idx="8">
                  <c:v>1.44831916943025</c:v>
                </c:pt>
                <c:pt idx="9">
                  <c:v>1</c:v>
                </c:pt>
                <c:pt idx="10">
                  <c:v>1</c:v>
                </c:pt>
                <c:pt idx="11">
                  <c:v>1.44831916943025</c:v>
                </c:pt>
                <c:pt idx="12">
                  <c:v>1</c:v>
                </c:pt>
                <c:pt idx="13">
                  <c:v>1</c:v>
                </c:pt>
                <c:pt idx="14">
                  <c:v>0.55168083056974104</c:v>
                </c:pt>
                <c:pt idx="15">
                  <c:v>1</c:v>
                </c:pt>
                <c:pt idx="16">
                  <c:v>1</c:v>
                </c:pt>
                <c:pt idx="17">
                  <c:v>1.44831916943025</c:v>
                </c:pt>
                <c:pt idx="18">
                  <c:v>1</c:v>
                </c:pt>
                <c:pt idx="19">
                  <c:v>1</c:v>
                </c:pt>
                <c:pt idx="20">
                  <c:v>1.44831916943025</c:v>
                </c:pt>
                <c:pt idx="21">
                  <c:v>1</c:v>
                </c:pt>
                <c:pt idx="22">
                  <c:v>1</c:v>
                </c:pt>
                <c:pt idx="23">
                  <c:v>0.55168083056974104</c:v>
                </c:pt>
                <c:pt idx="24">
                  <c:v>1</c:v>
                </c:pt>
                <c:pt idx="25">
                  <c:v>1</c:v>
                </c:pt>
                <c:pt idx="26">
                  <c:v>1.44831916943025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1.44831916943025</c:v>
                </c:pt>
                <c:pt idx="31">
                  <c:v>0.55168083056974104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1.44831916943025</c:v>
                </c:pt>
                <c:pt idx="36">
                  <c:v>1</c:v>
                </c:pt>
                <c:pt idx="37">
                  <c:v>1</c:v>
                </c:pt>
                <c:pt idx="38">
                  <c:v>0.55168083056974104</c:v>
                </c:pt>
                <c:pt idx="39">
                  <c:v>1</c:v>
                </c:pt>
                <c:pt idx="40">
                  <c:v>1</c:v>
                </c:pt>
                <c:pt idx="41">
                  <c:v>1.44831916943025</c:v>
                </c:pt>
                <c:pt idx="42">
                  <c:v>1</c:v>
                </c:pt>
                <c:pt idx="43">
                  <c:v>1</c:v>
                </c:pt>
                <c:pt idx="44">
                  <c:v>1.44831916943025</c:v>
                </c:pt>
                <c:pt idx="45">
                  <c:v>1</c:v>
                </c:pt>
                <c:pt idx="46">
                  <c:v>1</c:v>
                </c:pt>
                <c:pt idx="47">
                  <c:v>0.55168083056974104</c:v>
                </c:pt>
                <c:pt idx="48">
                  <c:v>1</c:v>
                </c:pt>
                <c:pt idx="49">
                  <c:v>1</c:v>
                </c:pt>
                <c:pt idx="50">
                  <c:v>1.44831916943025</c:v>
                </c:pt>
                <c:pt idx="51">
                  <c:v>1</c:v>
                </c:pt>
                <c:pt idx="52">
                  <c:v>1</c:v>
                </c:pt>
                <c:pt idx="53">
                  <c:v>1.44831916943025</c:v>
                </c:pt>
                <c:pt idx="54">
                  <c:v>1</c:v>
                </c:pt>
                <c:pt idx="55">
                  <c:v>1</c:v>
                </c:pt>
                <c:pt idx="56">
                  <c:v>0.55168083056974104</c:v>
                </c:pt>
                <c:pt idx="57">
                  <c:v>1</c:v>
                </c:pt>
                <c:pt idx="58">
                  <c:v>1</c:v>
                </c:pt>
                <c:pt idx="59">
                  <c:v>1.44831916943025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1.44831916943025</c:v>
                </c:pt>
                <c:pt idx="64">
                  <c:v>0.55168083056974104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1.44831916943025</c:v>
                </c:pt>
                <c:pt idx="69">
                  <c:v>1</c:v>
                </c:pt>
                <c:pt idx="70">
                  <c:v>1</c:v>
                </c:pt>
                <c:pt idx="71">
                  <c:v>0.55168083056974104</c:v>
                </c:pt>
                <c:pt idx="72">
                  <c:v>1</c:v>
                </c:pt>
                <c:pt idx="73">
                  <c:v>1</c:v>
                </c:pt>
                <c:pt idx="74">
                  <c:v>1.44831916943025</c:v>
                </c:pt>
                <c:pt idx="75">
                  <c:v>1</c:v>
                </c:pt>
                <c:pt idx="76">
                  <c:v>1</c:v>
                </c:pt>
                <c:pt idx="77">
                  <c:v>1.44831916943025</c:v>
                </c:pt>
                <c:pt idx="78">
                  <c:v>1</c:v>
                </c:pt>
                <c:pt idx="79">
                  <c:v>1</c:v>
                </c:pt>
                <c:pt idx="80">
                  <c:v>0.55168083056974104</c:v>
                </c:pt>
                <c:pt idx="81">
                  <c:v>1</c:v>
                </c:pt>
                <c:pt idx="82">
                  <c:v>1</c:v>
                </c:pt>
                <c:pt idx="83">
                  <c:v>1.44831916943025</c:v>
                </c:pt>
                <c:pt idx="84">
                  <c:v>1</c:v>
                </c:pt>
                <c:pt idx="85">
                  <c:v>1</c:v>
                </c:pt>
                <c:pt idx="86">
                  <c:v>1.44831916943025</c:v>
                </c:pt>
                <c:pt idx="87">
                  <c:v>1</c:v>
                </c:pt>
                <c:pt idx="88">
                  <c:v>1</c:v>
                </c:pt>
                <c:pt idx="89">
                  <c:v>0.55168083056974104</c:v>
                </c:pt>
                <c:pt idx="90">
                  <c:v>1</c:v>
                </c:pt>
                <c:pt idx="91">
                  <c:v>1</c:v>
                </c:pt>
                <c:pt idx="92">
                  <c:v>1.44831916943025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0.55168083056974104</c:v>
                </c:pt>
                <c:pt idx="97">
                  <c:v>1.44831916943025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1.44831916943025</c:v>
                </c:pt>
                <c:pt idx="102">
                  <c:v>1</c:v>
                </c:pt>
                <c:pt idx="103">
                  <c:v>1</c:v>
                </c:pt>
                <c:pt idx="104">
                  <c:v>0.55168083056974104</c:v>
                </c:pt>
                <c:pt idx="105">
                  <c:v>1</c:v>
                </c:pt>
                <c:pt idx="106">
                  <c:v>1</c:v>
                </c:pt>
                <c:pt idx="107">
                  <c:v>1.44831916943025</c:v>
                </c:pt>
                <c:pt idx="108">
                  <c:v>1</c:v>
                </c:pt>
                <c:pt idx="109">
                  <c:v>1</c:v>
                </c:pt>
                <c:pt idx="110">
                  <c:v>1.44831916943025</c:v>
                </c:pt>
                <c:pt idx="111">
                  <c:v>1</c:v>
                </c:pt>
                <c:pt idx="112">
                  <c:v>1</c:v>
                </c:pt>
                <c:pt idx="113">
                  <c:v>0.55168083056974104</c:v>
                </c:pt>
                <c:pt idx="114">
                  <c:v>1</c:v>
                </c:pt>
                <c:pt idx="115">
                  <c:v>1</c:v>
                </c:pt>
                <c:pt idx="116">
                  <c:v>1.44831916943025</c:v>
                </c:pt>
                <c:pt idx="117">
                  <c:v>1</c:v>
                </c:pt>
                <c:pt idx="118">
                  <c:v>1</c:v>
                </c:pt>
                <c:pt idx="119">
                  <c:v>1.44831916943025</c:v>
                </c:pt>
                <c:pt idx="120">
                  <c:v>1</c:v>
                </c:pt>
                <c:pt idx="121">
                  <c:v>1</c:v>
                </c:pt>
                <c:pt idx="122">
                  <c:v>0.55168083056974104</c:v>
                </c:pt>
                <c:pt idx="123">
                  <c:v>1</c:v>
                </c:pt>
                <c:pt idx="124">
                  <c:v>1</c:v>
                </c:pt>
                <c:pt idx="125">
                  <c:v>1.44831916943025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1.44831916943025</c:v>
                </c:pt>
                <c:pt idx="130">
                  <c:v>0.55168083056974104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1.44831916943025</c:v>
                </c:pt>
                <c:pt idx="135">
                  <c:v>1</c:v>
                </c:pt>
                <c:pt idx="136">
                  <c:v>1</c:v>
                </c:pt>
                <c:pt idx="137">
                  <c:v>0.55168083056974104</c:v>
                </c:pt>
                <c:pt idx="138">
                  <c:v>1</c:v>
                </c:pt>
                <c:pt idx="139">
                  <c:v>1</c:v>
                </c:pt>
                <c:pt idx="140">
                  <c:v>1.44831916943025</c:v>
                </c:pt>
                <c:pt idx="141">
                  <c:v>1</c:v>
                </c:pt>
                <c:pt idx="142">
                  <c:v>1</c:v>
                </c:pt>
                <c:pt idx="143">
                  <c:v>1.44831916943025</c:v>
                </c:pt>
                <c:pt idx="144">
                  <c:v>1</c:v>
                </c:pt>
                <c:pt idx="145">
                  <c:v>1</c:v>
                </c:pt>
                <c:pt idx="146">
                  <c:v>0.55168083056974104</c:v>
                </c:pt>
                <c:pt idx="147">
                  <c:v>1</c:v>
                </c:pt>
                <c:pt idx="148">
                  <c:v>1</c:v>
                </c:pt>
                <c:pt idx="149">
                  <c:v>1.44831916943025</c:v>
                </c:pt>
                <c:pt idx="150">
                  <c:v>1</c:v>
                </c:pt>
                <c:pt idx="151">
                  <c:v>1</c:v>
                </c:pt>
                <c:pt idx="152">
                  <c:v>1.44831916943025</c:v>
                </c:pt>
                <c:pt idx="153">
                  <c:v>1</c:v>
                </c:pt>
                <c:pt idx="154">
                  <c:v>1</c:v>
                </c:pt>
                <c:pt idx="155">
                  <c:v>0.55168083056974104</c:v>
                </c:pt>
                <c:pt idx="156">
                  <c:v>1</c:v>
                </c:pt>
                <c:pt idx="157">
                  <c:v>1</c:v>
                </c:pt>
                <c:pt idx="158">
                  <c:v>1.44831916943025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1.44831916943025</c:v>
                </c:pt>
                <c:pt idx="163">
                  <c:v>0.55168083056974104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1.44831916943025</c:v>
                </c:pt>
                <c:pt idx="168">
                  <c:v>1</c:v>
                </c:pt>
                <c:pt idx="169">
                  <c:v>1</c:v>
                </c:pt>
                <c:pt idx="170">
                  <c:v>0.55168083056974104</c:v>
                </c:pt>
                <c:pt idx="171">
                  <c:v>1</c:v>
                </c:pt>
                <c:pt idx="172">
                  <c:v>1</c:v>
                </c:pt>
                <c:pt idx="173">
                  <c:v>1.44831916943025</c:v>
                </c:pt>
                <c:pt idx="174">
                  <c:v>1</c:v>
                </c:pt>
                <c:pt idx="175">
                  <c:v>1</c:v>
                </c:pt>
                <c:pt idx="176">
                  <c:v>1.44831916943025</c:v>
                </c:pt>
                <c:pt idx="177">
                  <c:v>1</c:v>
                </c:pt>
                <c:pt idx="178">
                  <c:v>1</c:v>
                </c:pt>
                <c:pt idx="179">
                  <c:v>0.55168083056974104</c:v>
                </c:pt>
                <c:pt idx="180">
                  <c:v>1</c:v>
                </c:pt>
                <c:pt idx="181">
                  <c:v>1</c:v>
                </c:pt>
                <c:pt idx="182">
                  <c:v>1.44831916943025</c:v>
                </c:pt>
                <c:pt idx="183">
                  <c:v>1</c:v>
                </c:pt>
                <c:pt idx="184">
                  <c:v>1</c:v>
                </c:pt>
                <c:pt idx="185">
                  <c:v>1.44831916943025</c:v>
                </c:pt>
                <c:pt idx="186">
                  <c:v>1</c:v>
                </c:pt>
                <c:pt idx="187">
                  <c:v>1</c:v>
                </c:pt>
                <c:pt idx="188">
                  <c:v>0.55168083056974104</c:v>
                </c:pt>
                <c:pt idx="189">
                  <c:v>1</c:v>
                </c:pt>
                <c:pt idx="190">
                  <c:v>1</c:v>
                </c:pt>
                <c:pt idx="191">
                  <c:v>1.44831916943025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0.55168083056974104</c:v>
                </c:pt>
                <c:pt idx="196">
                  <c:v>1.44831916943025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1.44831916943025</c:v>
                </c:pt>
                <c:pt idx="201">
                  <c:v>1</c:v>
                </c:pt>
                <c:pt idx="202">
                  <c:v>1</c:v>
                </c:pt>
                <c:pt idx="203">
                  <c:v>0.55168083056974104</c:v>
                </c:pt>
                <c:pt idx="204">
                  <c:v>1</c:v>
                </c:pt>
                <c:pt idx="205">
                  <c:v>1</c:v>
                </c:pt>
                <c:pt idx="206">
                  <c:v>1.44831916943025</c:v>
                </c:pt>
                <c:pt idx="207">
                  <c:v>1</c:v>
                </c:pt>
                <c:pt idx="208">
                  <c:v>1</c:v>
                </c:pt>
                <c:pt idx="209">
                  <c:v>1.44831916943025</c:v>
                </c:pt>
                <c:pt idx="210">
                  <c:v>1</c:v>
                </c:pt>
                <c:pt idx="211">
                  <c:v>1</c:v>
                </c:pt>
                <c:pt idx="212">
                  <c:v>0.55168083056974104</c:v>
                </c:pt>
                <c:pt idx="213">
                  <c:v>1</c:v>
                </c:pt>
                <c:pt idx="214">
                  <c:v>1</c:v>
                </c:pt>
                <c:pt idx="215">
                  <c:v>1.44831916943025</c:v>
                </c:pt>
                <c:pt idx="216">
                  <c:v>1</c:v>
                </c:pt>
                <c:pt idx="217">
                  <c:v>1</c:v>
                </c:pt>
                <c:pt idx="218">
                  <c:v>0.55168083056974104</c:v>
                </c:pt>
                <c:pt idx="219">
                  <c:v>1</c:v>
                </c:pt>
                <c:pt idx="220">
                  <c:v>1</c:v>
                </c:pt>
                <c:pt idx="221">
                  <c:v>0.55168083056974104</c:v>
                </c:pt>
                <c:pt idx="222">
                  <c:v>1</c:v>
                </c:pt>
                <c:pt idx="223">
                  <c:v>1</c:v>
                </c:pt>
                <c:pt idx="224">
                  <c:v>0.55168083056974104</c:v>
                </c:pt>
                <c:pt idx="225">
                  <c:v>1</c:v>
                </c:pt>
                <c:pt idx="226">
                  <c:v>1</c:v>
                </c:pt>
                <c:pt idx="227">
                  <c:v>0.55168083056974104</c:v>
                </c:pt>
                <c:pt idx="228">
                  <c:v>1</c:v>
                </c:pt>
                <c:pt idx="229">
                  <c:v>1</c:v>
                </c:pt>
                <c:pt idx="230">
                  <c:v>0.55168083056974104</c:v>
                </c:pt>
                <c:pt idx="231">
                  <c:v>1</c:v>
                </c:pt>
                <c:pt idx="232">
                  <c:v>1</c:v>
                </c:pt>
                <c:pt idx="233">
                  <c:v>0.55168083056974104</c:v>
                </c:pt>
                <c:pt idx="234">
                  <c:v>1</c:v>
                </c:pt>
                <c:pt idx="235">
                  <c:v>1</c:v>
                </c:pt>
                <c:pt idx="236">
                  <c:v>0.55168083056974104</c:v>
                </c:pt>
                <c:pt idx="237">
                  <c:v>1</c:v>
                </c:pt>
                <c:pt idx="238">
                  <c:v>1</c:v>
                </c:pt>
                <c:pt idx="239">
                  <c:v>0.55168083056974104</c:v>
                </c:pt>
                <c:pt idx="240">
                  <c:v>1</c:v>
                </c:pt>
                <c:pt idx="241">
                  <c:v>1</c:v>
                </c:pt>
                <c:pt idx="242">
                  <c:v>0.55168083056974104</c:v>
                </c:pt>
                <c:pt idx="243">
                  <c:v>1</c:v>
                </c:pt>
                <c:pt idx="244">
                  <c:v>1</c:v>
                </c:pt>
                <c:pt idx="245">
                  <c:v>0.55168083056974104</c:v>
                </c:pt>
                <c:pt idx="246">
                  <c:v>1</c:v>
                </c:pt>
                <c:pt idx="247">
                  <c:v>1</c:v>
                </c:pt>
                <c:pt idx="248">
                  <c:v>0.55168083056974104</c:v>
                </c:pt>
                <c:pt idx="249">
                  <c:v>1</c:v>
                </c:pt>
                <c:pt idx="250">
                  <c:v>1</c:v>
                </c:pt>
                <c:pt idx="251">
                  <c:v>0.55168083056974104</c:v>
                </c:pt>
                <c:pt idx="252">
                  <c:v>1</c:v>
                </c:pt>
                <c:pt idx="253">
                  <c:v>1</c:v>
                </c:pt>
                <c:pt idx="254">
                  <c:v>0.55168083056974104</c:v>
                </c:pt>
                <c:pt idx="255">
                  <c:v>1</c:v>
                </c:pt>
                <c:pt idx="256">
                  <c:v>1</c:v>
                </c:pt>
                <c:pt idx="257">
                  <c:v>0.55168083056974104</c:v>
                </c:pt>
                <c:pt idx="258">
                  <c:v>1</c:v>
                </c:pt>
                <c:pt idx="259">
                  <c:v>1</c:v>
                </c:pt>
                <c:pt idx="260">
                  <c:v>0.55168083056974104</c:v>
                </c:pt>
                <c:pt idx="261">
                  <c:v>1</c:v>
                </c:pt>
                <c:pt idx="262">
                  <c:v>1</c:v>
                </c:pt>
                <c:pt idx="263">
                  <c:v>0.55168083056974104</c:v>
                </c:pt>
                <c:pt idx="264">
                  <c:v>1</c:v>
                </c:pt>
                <c:pt idx="265">
                  <c:v>1</c:v>
                </c:pt>
                <c:pt idx="266">
                  <c:v>0.55168083056974104</c:v>
                </c:pt>
                <c:pt idx="267">
                  <c:v>1</c:v>
                </c:pt>
                <c:pt idx="268">
                  <c:v>1</c:v>
                </c:pt>
                <c:pt idx="269">
                  <c:v>0.55168083056974104</c:v>
                </c:pt>
                <c:pt idx="270">
                  <c:v>1</c:v>
                </c:pt>
                <c:pt idx="271">
                  <c:v>1</c:v>
                </c:pt>
                <c:pt idx="272">
                  <c:v>0.55168083056974104</c:v>
                </c:pt>
                <c:pt idx="273">
                  <c:v>1</c:v>
                </c:pt>
                <c:pt idx="274">
                  <c:v>1</c:v>
                </c:pt>
                <c:pt idx="275">
                  <c:v>0.55168083056974104</c:v>
                </c:pt>
                <c:pt idx="27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4-448B-B6A1-BB79C80D9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088656"/>
        <c:axId val="1005098736"/>
      </c:scatterChart>
      <c:valAx>
        <c:axId val="1005088656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</a:t>
                </a:r>
                <a:r>
                  <a:rPr lang="en-GB" baseline="0"/>
                  <a:t> (m)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98736"/>
        <c:crosses val="autoZero"/>
        <c:crossBetween val="midCat"/>
      </c:valAx>
      <c:valAx>
        <c:axId val="10050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Gust</a:t>
                </a:r>
                <a:r>
                  <a:rPr lang="en-GB" baseline="0"/>
                  <a:t> load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8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S-N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528067399362438E-2"/>
          <c:y val="0.13204057630677957"/>
          <c:w val="0.85879510661178515"/>
          <c:h val="0.7098832794333366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Fatigue!$A$28:$A$51</c:f>
              <c:numCache>
                <c:formatCode>General</c:formatCode>
                <c:ptCount val="2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  <c:pt idx="7">
                  <c:v>1000000000</c:v>
                </c:pt>
                <c:pt idx="8">
                  <c:v>10000000000</c:v>
                </c:pt>
                <c:pt idx="9">
                  <c:v>100000000000</c:v>
                </c:pt>
                <c:pt idx="10">
                  <c:v>1000000000000</c:v>
                </c:pt>
                <c:pt idx="11">
                  <c:v>10000000000000</c:v>
                </c:pt>
                <c:pt idx="12">
                  <c:v>100000000000000</c:v>
                </c:pt>
                <c:pt idx="13">
                  <c:v>1000000000000000</c:v>
                </c:pt>
                <c:pt idx="14">
                  <c:v>1E+16</c:v>
                </c:pt>
                <c:pt idx="15">
                  <c:v>1E+17</c:v>
                </c:pt>
                <c:pt idx="16">
                  <c:v>1E+18</c:v>
                </c:pt>
                <c:pt idx="17">
                  <c:v>1E+19</c:v>
                </c:pt>
                <c:pt idx="18">
                  <c:v>1E+20</c:v>
                </c:pt>
                <c:pt idx="19">
                  <c:v>1E+21</c:v>
                </c:pt>
                <c:pt idx="20">
                  <c:v>1E+22</c:v>
                </c:pt>
                <c:pt idx="21">
                  <c:v>9.9999999999999992E+22</c:v>
                </c:pt>
                <c:pt idx="22">
                  <c:v>9.9999999999999998E+23</c:v>
                </c:pt>
                <c:pt idx="23">
                  <c:v>9.9999999999999988E+24</c:v>
                </c:pt>
              </c:numCache>
            </c:numRef>
          </c:xVal>
          <c:yVal>
            <c:numRef>
              <c:f>Fatigue!$B$28:$B$51</c:f>
              <c:numCache>
                <c:formatCode>General</c:formatCode>
                <c:ptCount val="24"/>
                <c:pt idx="0">
                  <c:v>509.40516564812197</c:v>
                </c:pt>
                <c:pt idx="1">
                  <c:v>392.70220935747778</c:v>
                </c:pt>
                <c:pt idx="2">
                  <c:v>302.7354955029457</c:v>
                </c:pt>
                <c:pt idx="3">
                  <c:v>233.37984369215999</c:v>
                </c:pt>
                <c:pt idx="4">
                  <c:v>179.91333111200061</c:v>
                </c:pt>
                <c:pt idx="5">
                  <c:v>138.69581108517875</c:v>
                </c:pt>
                <c:pt idx="6">
                  <c:v>106.92108191026908</c:v>
                </c:pt>
                <c:pt idx="7">
                  <c:v>82.42583296074848</c:v>
                </c:pt>
                <c:pt idx="8">
                  <c:v>63.54236056996627</c:v>
                </c:pt>
                <c:pt idx="9">
                  <c:v>48.985026195929869</c:v>
                </c:pt>
                <c:pt idx="10">
                  <c:v>37.762726626654306</c:v>
                </c:pt>
                <c:pt idx="11">
                  <c:v>29.111416957819536</c:v>
                </c:pt>
                <c:pt idx="12">
                  <c:v>22.442092322164147</c:v>
                </c:pt>
                <c:pt idx="13">
                  <c:v>17.300686824220552</c:v>
                </c:pt>
                <c:pt idx="14">
                  <c:v>13.337159489988901</c:v>
                </c:pt>
                <c:pt idx="15">
                  <c:v>10.281662518298026</c:v>
                </c:pt>
                <c:pt idx="16">
                  <c:v>7.926169303105671</c:v>
                </c:pt>
                <c:pt idx="17">
                  <c:v>6.1103114121561619</c:v>
                </c:pt>
                <c:pt idx="18">
                  <c:v>4.7104602646951568</c:v>
                </c:pt>
                <c:pt idx="19">
                  <c:v>3.6313101589436525</c:v>
                </c:pt>
                <c:pt idx="20">
                  <c:v>2.7993895987785682</c:v>
                </c:pt>
                <c:pt idx="21">
                  <c:v>2.1580591529612807</c:v>
                </c:pt>
                <c:pt idx="22">
                  <c:v>1.6636552874640982</c:v>
                </c:pt>
                <c:pt idx="23">
                  <c:v>1.2825176324334544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42-49CA-8A61-9A7CDE29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402688"/>
        <c:axId val="1920406048"/>
      </c:scatterChart>
      <c:scatterChart>
        <c:scatterStyle val="lineMarker"/>
        <c:varyColors val="0"/>
        <c:ser>
          <c:idx val="1"/>
          <c:order val="1"/>
          <c:tx>
            <c:v>Notched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Fatigue!$BK$21</c:f>
              <c:numCache>
                <c:formatCode>0.000000E+00</c:formatCode>
                <c:ptCount val="1"/>
                <c:pt idx="0">
                  <c:v>2.0446486713607916E+16</c:v>
                </c:pt>
              </c:numCache>
            </c:numRef>
          </c:xVal>
          <c:yVal>
            <c:numRef>
              <c:f>Fatigue!$BK$20</c:f>
              <c:numCache>
                <c:formatCode>0.000000000</c:formatCode>
                <c:ptCount val="1"/>
                <c:pt idx="0">
                  <c:v>12.33108588613797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342-49CA-8A61-9A7CDE29815B}"/>
            </c:ext>
          </c:extLst>
        </c:ser>
        <c:ser>
          <c:idx val="2"/>
          <c:order val="2"/>
          <c:tx>
            <c:v>Flat plate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Fatigue!$BS$21</c:f>
              <c:numCache>
                <c:formatCode>0.000000E+00</c:formatCode>
                <c:ptCount val="1"/>
                <c:pt idx="0">
                  <c:v>1.1135557810351346E+20</c:v>
                </c:pt>
              </c:numCache>
            </c:numRef>
          </c:xVal>
          <c:yVal>
            <c:numRef>
              <c:f>Fatigue!$BS$20</c:f>
              <c:numCache>
                <c:formatCode>0.000000000</c:formatCode>
                <c:ptCount val="1"/>
                <c:pt idx="0">
                  <c:v>4.655149288504667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342-49CA-8A61-9A7CDE29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402688"/>
        <c:axId val="1920406048"/>
      </c:scatterChart>
      <c:valAx>
        <c:axId val="192040268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Nuber of cycles, N_f (Cycles)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406048"/>
        <c:crosses val="autoZero"/>
        <c:crossBetween val="midCat"/>
      </c:valAx>
      <c:valAx>
        <c:axId val="1920406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Stress</a:t>
                </a:r>
                <a:r>
                  <a:rPr lang="en-GB" baseline="0"/>
                  <a:t> Amplitude,</a:t>
                </a:r>
                <a:r>
                  <a:rPr lang="el-GR" baseline="0"/>
                  <a:t>σ_</a:t>
                </a:r>
                <a:r>
                  <a:rPr lang="en-GB" baseline="0"/>
                  <a:t>ar (MPa)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40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9859250922003877"/>
          <c:y val="0.1317516920283959"/>
          <c:w val="0.12534741090290302"/>
          <c:h val="0.122729973406541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Cyclic stress</a:t>
            </a:r>
            <a:r>
              <a:rPr lang="en-US" baseline="0"/>
              <a:t> strain curve</a:t>
            </a:r>
            <a:endParaRPr lang="en-US"/>
          </a:p>
        </c:rich>
      </c:tx>
      <c:layout>
        <c:manualLayout>
          <c:xMode val="edge"/>
          <c:yMode val="edge"/>
          <c:x val="0.38879559206730469"/>
          <c:y val="1.1371871541428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'Stress-Strain'!$B$15:$B$28</c:f>
              <c:numCache>
                <c:formatCode>General</c:formatCode>
                <c:ptCount val="14"/>
                <c:pt idx="0">
                  <c:v>0</c:v>
                </c:pt>
                <c:pt idx="1">
                  <c:v>2.7359781121751026E-4</c:v>
                </c:pt>
                <c:pt idx="2">
                  <c:v>5.4719562243502442E-4</c:v>
                </c:pt>
                <c:pt idx="3">
                  <c:v>8.2079343365380189E-4</c:v>
                </c:pt>
                <c:pt idx="4">
                  <c:v>1.0943912449474923E-3</c:v>
                </c:pt>
                <c:pt idx="5">
                  <c:v>1.3679890579645212E-3</c:v>
                </c:pt>
                <c:pt idx="6">
                  <c:v>1.6415868926924456E-3</c:v>
                </c:pt>
                <c:pt idx="7">
                  <c:v>1.9151849081377858E-3</c:v>
                </c:pt>
                <c:pt idx="8">
                  <c:v>2.1887840366215834E-3</c:v>
                </c:pt>
                <c:pt idx="9">
                  <c:v>2.4623886225677515E-3</c:v>
                </c:pt>
                <c:pt idx="10">
                  <c:v>2.736015599616789E-3</c:v>
                </c:pt>
                <c:pt idx="11">
                  <c:v>3.0097222117882222E-3</c:v>
                </c:pt>
                <c:pt idx="12">
                  <c:v>3.2836807795594029E-3</c:v>
                </c:pt>
                <c:pt idx="13">
                  <c:v>3.558362464499636E-3</c:v>
                </c:pt>
              </c:numCache>
            </c:numRef>
          </c:xVal>
          <c:yVal>
            <c:numRef>
              <c:f>'Stress-Strain'!$A$15:$A$28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2-48D0-8249-B5567D2E55C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'Stress-Strain'!$E$16:$E$22</c:f>
              <c:numCache>
                <c:formatCode>General</c:formatCode>
                <c:ptCount val="7"/>
                <c:pt idx="0">
                  <c:v>1.7135140179070697E-3</c:v>
                </c:pt>
                <c:pt idx="1">
                  <c:v>8.5675700895353484E-4</c:v>
                </c:pt>
                <c:pt idx="2">
                  <c:v>6.8403753209863064E-4</c:v>
                </c:pt>
                <c:pt idx="3">
                  <c:v>5.7117133930235659E-4</c:v>
                </c:pt>
                <c:pt idx="4">
                  <c:v>4.2837850447676742E-4</c:v>
                </c:pt>
                <c:pt idx="5">
                  <c:v>3.4270280358141393E-4</c:v>
                </c:pt>
                <c:pt idx="6">
                  <c:v>2.855856696511783E-4</c:v>
                </c:pt>
              </c:numCache>
            </c:numRef>
          </c:xVal>
          <c:yVal>
            <c:numRef>
              <c:f>'Stress-Strain'!$D$16:$D$22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50.1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E2-48D0-8249-B5567D2E55C1}"/>
            </c:ext>
          </c:extLst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'Stress-Strain'!$I$24:$I$28</c:f>
              <c:numCache>
                <c:formatCode>General</c:formatCode>
                <c:ptCount val="5"/>
                <c:pt idx="0">
                  <c:v>-2.2851162578381055E-4</c:v>
                </c:pt>
                <c:pt idx="1">
                  <c:v>-4.1128645436056465E-4</c:v>
                </c:pt>
                <c:pt idx="2">
                  <c:v>-6.8271254709730131E-4</c:v>
                </c:pt>
                <c:pt idx="3">
                  <c:v>-1.1423857686675811E-3</c:v>
                </c:pt>
                <c:pt idx="4">
                  <c:v>-2.0562599115513513E-3</c:v>
                </c:pt>
              </c:numCache>
            </c:numRef>
          </c:xVal>
          <c:yVal>
            <c:numRef>
              <c:f>'Stress-Strain'!$H$24:$H$28</c:f>
              <c:numCache>
                <c:formatCode>General</c:formatCode>
                <c:ptCount val="5"/>
                <c:pt idx="0">
                  <c:v>-99.9</c:v>
                </c:pt>
                <c:pt idx="1">
                  <c:v>-74.900000000000006</c:v>
                </c:pt>
                <c:pt idx="2">
                  <c:v>-50.1</c:v>
                </c:pt>
                <c:pt idx="3">
                  <c:v>-24.9</c:v>
                </c:pt>
                <c:pt idx="4">
                  <c:v>0.10000000000000142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E2-48D0-8249-B5567D2E55C1}"/>
            </c:ext>
          </c:extLst>
        </c:ser>
        <c:ser>
          <c:idx val="2"/>
          <c:order val="3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'Stress-Strain'!$B$36:$B$48</c:f>
              <c:numCache>
                <c:formatCode>General</c:formatCode>
                <c:ptCount val="13"/>
                <c:pt idx="0">
                  <c:v>6.8536251709995998E-4</c:v>
                </c:pt>
                <c:pt idx="1">
                  <c:v>1.3816689466493947E-4</c:v>
                </c:pt>
                <c:pt idx="2">
                  <c:v>-4.0902872777008885E-4</c:v>
                </c:pt>
                <c:pt idx="3">
                  <c:v>-9.5622435020764379E-4</c:v>
                </c:pt>
                <c:pt idx="4">
                  <c:v>-1.5034199727950246E-3</c:v>
                </c:pt>
                <c:pt idx="5">
                  <c:v>-2.0506155988290822E-3</c:v>
                </c:pt>
                <c:pt idx="6">
                  <c:v>-2.5978112682849309E-3</c:v>
                </c:pt>
                <c:pt idx="7">
                  <c:v>-3.1450072991756114E-3</c:v>
                </c:pt>
                <c:pt idx="8">
                  <c:v>-3.6922055561432066E-3</c:v>
                </c:pt>
                <c:pt idx="9">
                  <c:v>-4.2394147280355428E-3</c:v>
                </c:pt>
                <c:pt idx="10">
                  <c:v>-4.7866686821336178E-3</c:v>
                </c:pt>
                <c:pt idx="11">
                  <c:v>-5.3340819064764842E-3</c:v>
                </c:pt>
                <c:pt idx="12">
                  <c:v>-5.8819990420188456E-3</c:v>
                </c:pt>
              </c:numCache>
            </c:numRef>
          </c:xVal>
          <c:yVal>
            <c:numRef>
              <c:f>'Stress-Strain'!$A$36:$A$48</c:f>
              <c:numCache>
                <c:formatCode>General</c:formatCode>
                <c:ptCount val="13"/>
                <c:pt idx="0">
                  <c:v>50.1</c:v>
                </c:pt>
                <c:pt idx="1">
                  <c:v>10.100000000000001</c:v>
                </c:pt>
                <c:pt idx="2">
                  <c:v>-29.9</c:v>
                </c:pt>
                <c:pt idx="3">
                  <c:v>-69.900000000000006</c:v>
                </c:pt>
                <c:pt idx="4">
                  <c:v>-109.9</c:v>
                </c:pt>
                <c:pt idx="5">
                  <c:v>-149.9</c:v>
                </c:pt>
                <c:pt idx="6">
                  <c:v>-189.9</c:v>
                </c:pt>
                <c:pt idx="7">
                  <c:v>-229.9</c:v>
                </c:pt>
                <c:pt idx="8">
                  <c:v>-269.89999999999998</c:v>
                </c:pt>
                <c:pt idx="9">
                  <c:v>-309.89999999999998</c:v>
                </c:pt>
                <c:pt idx="10">
                  <c:v>-349.9</c:v>
                </c:pt>
                <c:pt idx="11">
                  <c:v>-389.9</c:v>
                </c:pt>
                <c:pt idx="12">
                  <c:v>-429.9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E2-48D0-8249-B5567D2E5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31456"/>
        <c:axId val="187736832"/>
      </c:scatterChart>
      <c:valAx>
        <c:axId val="179331456"/>
        <c:scaling>
          <c:orientation val="minMax"/>
          <c:max val="5.000000000000001E-3"/>
          <c:min val="-5.000000000000001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Strain</a:t>
                </a:r>
                <a:r>
                  <a:rPr lang="en-GB" baseline="0"/>
                  <a:t>, </a:t>
                </a:r>
                <a:r>
                  <a:rPr lang="el-GR" baseline="0"/>
                  <a:t>ε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64753031762369062"/>
              <c:y val="0.5327036105239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36832"/>
        <c:crosses val="autoZero"/>
        <c:crossBetween val="midCat"/>
      </c:valAx>
      <c:valAx>
        <c:axId val="187736832"/>
        <c:scaling>
          <c:orientation val="minMax"/>
          <c:max val="2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Stress</a:t>
                </a:r>
                <a:r>
                  <a:rPr lang="en-GB" baseline="0"/>
                  <a:t>, </a:t>
                </a:r>
                <a:r>
                  <a:rPr lang="el-GR" baseline="0"/>
                  <a:t>σ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2742678671739898"/>
              <c:y val="0.30621799905583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Strain</a:t>
            </a:r>
            <a:r>
              <a:rPr lang="en-GB" baseline="0"/>
              <a:t> Life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'Stress-Strain'!$A$54:$A$73</c:f>
              <c:numCache>
                <c:formatCode>General</c:formatCode>
                <c:ptCount val="20"/>
                <c:pt idx="0">
                  <c:v>100</c:v>
                </c:pt>
                <c:pt idx="1">
                  <c:v>300</c:v>
                </c:pt>
                <c:pt idx="2">
                  <c:v>1000</c:v>
                </c:pt>
                <c:pt idx="3">
                  <c:v>3000</c:v>
                </c:pt>
                <c:pt idx="4">
                  <c:v>10000</c:v>
                </c:pt>
                <c:pt idx="5">
                  <c:v>30000</c:v>
                </c:pt>
                <c:pt idx="6">
                  <c:v>100000</c:v>
                </c:pt>
                <c:pt idx="7">
                  <c:v>300000</c:v>
                </c:pt>
                <c:pt idx="8">
                  <c:v>1000000</c:v>
                </c:pt>
                <c:pt idx="9">
                  <c:v>3000000</c:v>
                </c:pt>
                <c:pt idx="10">
                  <c:v>10000000</c:v>
                </c:pt>
                <c:pt idx="11">
                  <c:v>125000000</c:v>
                </c:pt>
                <c:pt idx="12">
                  <c:v>2000000000</c:v>
                </c:pt>
                <c:pt idx="13">
                  <c:v>3000000000</c:v>
                </c:pt>
                <c:pt idx="14">
                  <c:v>4000000000</c:v>
                </c:pt>
                <c:pt idx="15">
                  <c:v>9000000000</c:v>
                </c:pt>
                <c:pt idx="16">
                  <c:v>10000000000</c:v>
                </c:pt>
                <c:pt idx="17">
                  <c:v>83000000000</c:v>
                </c:pt>
                <c:pt idx="18">
                  <c:v>100000000000</c:v>
                </c:pt>
                <c:pt idx="19">
                  <c:v>1E+19</c:v>
                </c:pt>
              </c:numCache>
            </c:numRef>
          </c:xVal>
          <c:yVal>
            <c:numRef>
              <c:f>'Stress-Strain'!$B$54:$B$73</c:f>
              <c:numCache>
                <c:formatCode>General</c:formatCode>
                <c:ptCount val="20"/>
                <c:pt idx="0">
                  <c:v>1.6324579082891526E-2</c:v>
                </c:pt>
                <c:pt idx="1">
                  <c:v>1.0429704383290803E-2</c:v>
                </c:pt>
                <c:pt idx="2">
                  <c:v>7.1838342465940126E-3</c:v>
                </c:pt>
                <c:pt idx="3">
                  <c:v>5.5727002482666276E-3</c:v>
                </c:pt>
                <c:pt idx="4">
                  <c:v>4.4922121445617599E-3</c:v>
                </c:pt>
                <c:pt idx="5">
                  <c:v>3.8181834296745682E-3</c:v>
                </c:pt>
                <c:pt idx="6">
                  <c:v>3.2605449920939636E-3</c:v>
                </c:pt>
                <c:pt idx="7">
                  <c:v>2.8509226993331397E-3</c:v>
                </c:pt>
                <c:pt idx="8">
                  <c:v>2.4743496215541114E-3</c:v>
                </c:pt>
                <c:pt idx="9">
                  <c:v>2.179868844344175E-3</c:v>
                </c:pt>
                <c:pt idx="10">
                  <c:v>1.8998908686624939E-3</c:v>
                </c:pt>
                <c:pt idx="11">
                  <c:v>1.4266690072412855E-3</c:v>
                </c:pt>
                <c:pt idx="12">
                  <c:v>1.0426867378532476E-3</c:v>
                </c:pt>
                <c:pt idx="13">
                  <c:v>9.9597926292882815E-4</c:v>
                </c:pt>
                <c:pt idx="14">
                  <c:v>9.6411580416651493E-4</c:v>
                </c:pt>
                <c:pt idx="15">
                  <c:v>8.7968342329799846E-4</c:v>
                </c:pt>
                <c:pt idx="16">
                  <c:v>8.6927103504975522E-4</c:v>
                </c:pt>
                <c:pt idx="17">
                  <c:v>6.8437279788123616E-4</c:v>
                </c:pt>
                <c:pt idx="18">
                  <c:v>6.7011337917958363E-4</c:v>
                </c:pt>
                <c:pt idx="19">
                  <c:v>8.3588391418245919E-5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21-4BBE-8D04-0C256A6A490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'Stress-Strain'!$A$54:$A$72</c:f>
              <c:numCache>
                <c:formatCode>General</c:formatCode>
                <c:ptCount val="19"/>
                <c:pt idx="0">
                  <c:v>100</c:v>
                </c:pt>
                <c:pt idx="1">
                  <c:v>300</c:v>
                </c:pt>
                <c:pt idx="2">
                  <c:v>1000</c:v>
                </c:pt>
                <c:pt idx="3">
                  <c:v>3000</c:v>
                </c:pt>
                <c:pt idx="4">
                  <c:v>10000</c:v>
                </c:pt>
                <c:pt idx="5">
                  <c:v>30000</c:v>
                </c:pt>
                <c:pt idx="6">
                  <c:v>100000</c:v>
                </c:pt>
                <c:pt idx="7">
                  <c:v>300000</c:v>
                </c:pt>
                <c:pt idx="8">
                  <c:v>1000000</c:v>
                </c:pt>
                <c:pt idx="9">
                  <c:v>3000000</c:v>
                </c:pt>
                <c:pt idx="10">
                  <c:v>10000000</c:v>
                </c:pt>
                <c:pt idx="11">
                  <c:v>125000000</c:v>
                </c:pt>
                <c:pt idx="12">
                  <c:v>2000000000</c:v>
                </c:pt>
                <c:pt idx="13">
                  <c:v>3000000000</c:v>
                </c:pt>
                <c:pt idx="14">
                  <c:v>4000000000</c:v>
                </c:pt>
                <c:pt idx="15">
                  <c:v>9000000000</c:v>
                </c:pt>
                <c:pt idx="16">
                  <c:v>10000000000</c:v>
                </c:pt>
                <c:pt idx="17">
                  <c:v>83000000000</c:v>
                </c:pt>
                <c:pt idx="18">
                  <c:v>100000000000</c:v>
                </c:pt>
              </c:numCache>
            </c:numRef>
          </c:xVal>
          <c:yVal>
            <c:numRef>
              <c:f>'Stress-Strain'!$D$54:$D$72</c:f>
              <c:numCache>
                <c:formatCode>General</c:formatCode>
                <c:ptCount val="19"/>
                <c:pt idx="0">
                  <c:v>6.8403753209863064E-4</c:v>
                </c:pt>
                <c:pt idx="1">
                  <c:v>6.8403753209863064E-4</c:v>
                </c:pt>
                <c:pt idx="2">
                  <c:v>6.8403753209863064E-4</c:v>
                </c:pt>
                <c:pt idx="3">
                  <c:v>6.8403753209863064E-4</c:v>
                </c:pt>
                <c:pt idx="4">
                  <c:v>6.8403753209863064E-4</c:v>
                </c:pt>
                <c:pt idx="5">
                  <c:v>6.8403753209863064E-4</c:v>
                </c:pt>
                <c:pt idx="6">
                  <c:v>6.8403753209863064E-4</c:v>
                </c:pt>
                <c:pt idx="7">
                  <c:v>6.8403753209863064E-4</c:v>
                </c:pt>
                <c:pt idx="8">
                  <c:v>6.8403753209863064E-4</c:v>
                </c:pt>
                <c:pt idx="9">
                  <c:v>6.8403753209863064E-4</c:v>
                </c:pt>
                <c:pt idx="10">
                  <c:v>6.8403753209863064E-4</c:v>
                </c:pt>
                <c:pt idx="11">
                  <c:v>6.8403753209863064E-4</c:v>
                </c:pt>
                <c:pt idx="12">
                  <c:v>6.8403753209863064E-4</c:v>
                </c:pt>
                <c:pt idx="13">
                  <c:v>6.8403753209863064E-4</c:v>
                </c:pt>
                <c:pt idx="14">
                  <c:v>6.8403753209863064E-4</c:v>
                </c:pt>
                <c:pt idx="15">
                  <c:v>6.8403753209863064E-4</c:v>
                </c:pt>
                <c:pt idx="16">
                  <c:v>6.8403753209863064E-4</c:v>
                </c:pt>
                <c:pt idx="17">
                  <c:v>6.8403753209863064E-4</c:v>
                </c:pt>
                <c:pt idx="18">
                  <c:v>6.8403753209863064E-4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21-4BBE-8D04-0C256A6A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472192"/>
        <c:axId val="1096481792"/>
      </c:scatterChart>
      <c:valAx>
        <c:axId val="10964721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81792"/>
        <c:crossesAt val="1.0000000000000003E-4"/>
        <c:crossBetween val="midCat"/>
      </c:valAx>
      <c:valAx>
        <c:axId val="1096481792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7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paris law'!$J$2:$J$65</c:f>
              <c:numCache>
                <c:formatCode>General</c:formatCode>
                <c:ptCount val="64"/>
                <c:pt idx="0">
                  <c:v>11026564.353132799</c:v>
                </c:pt>
                <c:pt idx="1">
                  <c:v>14204106.898621606</c:v>
                </c:pt>
                <c:pt idx="2">
                  <c:v>15738750.610463984</c:v>
                </c:pt>
                <c:pt idx="3">
                  <c:v>16654428.087603349</c:v>
                </c:pt>
                <c:pt idx="4">
                  <c:v>17267892.054567192</c:v>
                </c:pt>
                <c:pt idx="5">
                  <c:v>17710132.768027551</c:v>
                </c:pt>
                <c:pt idx="6">
                  <c:v>18045475.759818986</c:v>
                </c:pt>
                <c:pt idx="7">
                  <c:v>18309347.991311431</c:v>
                </c:pt>
                <c:pt idx="8">
                  <c:v>18522935.038633946</c:v>
                </c:pt>
                <c:pt idx="9">
                  <c:v>18699717.923377018</c:v>
                </c:pt>
                <c:pt idx="10">
                  <c:v>18848702.169109605</c:v>
                </c:pt>
                <c:pt idx="11">
                  <c:v>18976143.377210692</c:v>
                </c:pt>
                <c:pt idx="12">
                  <c:v>19086528.844140217</c:v>
                </c:pt>
                <c:pt idx="13">
                  <c:v>19183165.166173384</c:v>
                </c:pt>
                <c:pt idx="14">
                  <c:v>19268545.21649481</c:v>
                </c:pt>
                <c:pt idx="15">
                  <c:v>19344585.696129981</c:v>
                </c:pt>
                <c:pt idx="16">
                  <c:v>19412785.700512495</c:v>
                </c:pt>
                <c:pt idx="17">
                  <c:v>19474335.418837931</c:v>
                </c:pt>
                <c:pt idx="18">
                  <c:v>19530192.405471589</c:v>
                </c:pt>
                <c:pt idx="19">
                  <c:v>19581136.209869355</c:v>
                </c:pt>
                <c:pt idx="20">
                  <c:v>19627808.228204507</c:v>
                </c:pt>
                <c:pt idx="21">
                  <c:v>19670741.254690528</c:v>
                </c:pt>
                <c:pt idx="22">
                  <c:v>19710381.720647015</c:v>
                </c:pt>
                <c:pt idx="23">
                  <c:v>19747106.655796435</c:v>
                </c:pt>
                <c:pt idx="24">
                  <c:v>19781236.782525901</c:v>
                </c:pt>
                <c:pt idx="25">
                  <c:v>19813046.737679571</c:v>
                </c:pt>
                <c:pt idx="26">
                  <c:v>19842773.133736141</c:v>
                </c:pt>
                <c:pt idx="27">
                  <c:v>19870620.975989264</c:v>
                </c:pt>
                <c:pt idx="28">
                  <c:v>19896768.815470159</c:v>
                </c:pt>
                <c:pt idx="29">
                  <c:v>19921372.920043785</c:v>
                </c:pt>
                <c:pt idx="30">
                  <c:v>19944570.67603875</c:v>
                </c:pt>
                <c:pt idx="31">
                  <c:v>19966483.381708626</c:v>
                </c:pt>
                <c:pt idx="32">
                  <c:v>19987218.556197688</c:v>
                </c:pt>
                <c:pt idx="33">
                  <c:v>20006871.859673522</c:v>
                </c:pt>
                <c:pt idx="34">
                  <c:v>20025528.699233837</c:v>
                </c:pt>
                <c:pt idx="35">
                  <c:v>20043265.579224598</c:v>
                </c:pt>
                <c:pt idx="36">
                  <c:v>20060151.242390189</c:v>
                </c:pt>
                <c:pt idx="37">
                  <c:v>20076247.638856675</c:v>
                </c:pt>
                <c:pt idx="38">
                  <c:v>20091610.752631463</c:v>
                </c:pt>
                <c:pt idx="39">
                  <c:v>20106291.309577286</c:v>
                </c:pt>
                <c:pt idx="40">
                  <c:v>20120335.38630899</c:v>
                </c:pt>
                <c:pt idx="41">
                  <c:v>20133784.935887109</c:v>
                </c:pt>
                <c:pt idx="42">
                  <c:v>20146678.243331984</c:v>
                </c:pt>
                <c:pt idx="43">
                  <c:v>20159050.321696281</c:v>
                </c:pt>
                <c:pt idx="44">
                  <c:v>20170933.257590573</c:v>
                </c:pt>
                <c:pt idx="45">
                  <c:v>20182356.513562769</c:v>
                </c:pt>
                <c:pt idx="46">
                  <c:v>20193347.193515375</c:v>
                </c:pt>
                <c:pt idx="47">
                  <c:v>20203930.276348829</c:v>
                </c:pt>
                <c:pt idx="48">
                  <c:v>20214128.822200663</c:v>
                </c:pt>
                <c:pt idx="49">
                  <c:v>20223964.154974554</c:v>
                </c:pt>
                <c:pt idx="50">
                  <c:v>20233456.024293169</c:v>
                </c:pt>
                <c:pt idx="51">
                  <c:v>20242622.74954265</c:v>
                </c:pt>
                <c:pt idx="52">
                  <c:v>20251481.348287176</c:v>
                </c:pt>
                <c:pt idx="53">
                  <c:v>20260047.651005663</c:v>
                </c:pt>
                <c:pt idx="54">
                  <c:v>20268336.403827958</c:v>
                </c:pt>
                <c:pt idx="55">
                  <c:v>20276361.360716205</c:v>
                </c:pt>
                <c:pt idx="56">
                  <c:v>20284135.366340674</c:v>
                </c:pt>
                <c:pt idx="57">
                  <c:v>20291670.430732653</c:v>
                </c:pt>
                <c:pt idx="58">
                  <c:v>20298977.796654966</c:v>
                </c:pt>
                <c:pt idx="59">
                  <c:v>20306068.000509273</c:v>
                </c:pt>
                <c:pt idx="60">
                  <c:v>20312950.927495364</c:v>
                </c:pt>
                <c:pt idx="61">
                  <c:v>20319635.861648306</c:v>
                </c:pt>
                <c:pt idx="62">
                  <c:v>20326131.531302352</c:v>
                </c:pt>
                <c:pt idx="63">
                  <c:v>20332446.150464125</c:v>
                </c:pt>
              </c:numCache>
            </c:numRef>
          </c:xVal>
          <c:yVal>
            <c:numRef>
              <c:f>'New paris law'!$H$2:$H$65</c:f>
              <c:numCache>
                <c:formatCode>General</c:formatCode>
                <c:ptCount val="64"/>
                <c:pt idx="0">
                  <c:v>9.069007969974675E-12</c:v>
                </c:pt>
                <c:pt idx="1">
                  <c:v>3.1470861072173882E-11</c:v>
                </c:pt>
                <c:pt idx="2">
                  <c:v>6.5161704458390201E-11</c:v>
                </c:pt>
                <c:pt idx="3">
                  <c:v>1.0920875799239539E-10</c:v>
                </c:pt>
                <c:pt idx="4">
                  <c:v>1.6300875908803603E-10</c:v>
                </c:pt>
                <c:pt idx="5">
                  <c:v>2.2612119815369158E-10</c:v>
                </c:pt>
                <c:pt idx="6">
                  <c:v>2.9820214660157501E-10</c:v>
                </c:pt>
                <c:pt idx="7">
                  <c:v>3.7897129013692242E-10</c:v>
                </c:pt>
                <c:pt idx="8">
                  <c:v>4.6819318518411731E-10</c:v>
                </c:pt>
                <c:pt idx="9">
                  <c:v>5.6566561941408998E-10</c:v>
                </c:pt>
                <c:pt idx="10">
                  <c:v>6.7121190907319927E-10</c:v>
                </c:pt>
                <c:pt idx="11">
                  <c:v>7.846755495340245E-10</c:v>
                </c:pt>
                <c:pt idx="12">
                  <c:v>9.0591635639720174E-10</c:v>
                </c:pt>
                <c:pt idx="13">
                  <c:v>1.0348075950746365E-9</c:v>
                </c:pt>
                <c:pt idx="14">
                  <c:v>1.1712337908391094E-9</c:v>
                </c:pt>
                <c:pt idx="15">
                  <c:v>1.3150890220548445E-9</c:v>
                </c:pt>
                <c:pt idx="16">
                  <c:v>1.4662755656016141E-9</c:v>
                </c:pt>
                <c:pt idx="17">
                  <c:v>1.6247028048326955E-9</c:v>
                </c:pt>
                <c:pt idx="18">
                  <c:v>1.7902863370674922E-9</c:v>
                </c:pt>
                <c:pt idx="19">
                  <c:v>1.962947235334245E-9</c:v>
                </c:pt>
                <c:pt idx="20">
                  <c:v>2.1426114311556423E-9</c:v>
                </c:pt>
                <c:pt idx="21">
                  <c:v>2.3292091935927829E-9</c:v>
                </c:pt>
                <c:pt idx="22">
                  <c:v>2.5226746857559802E-9</c:v>
                </c:pt>
                <c:pt idx="23">
                  <c:v>2.7229455843322991E-9</c:v>
                </c:pt>
                <c:pt idx="24">
                  <c:v>2.9299627508757805E-9</c:v>
                </c:pt>
                <c:pt idx="25">
                  <c:v>3.1436699459936547E-9</c:v>
                </c:pt>
                <c:pt idx="26">
                  <c:v>3.3640135793689221E-9</c:v>
                </c:pt>
                <c:pt idx="27">
                  <c:v>3.5909424899441477E-9</c:v>
                </c:pt>
                <c:pt idx="28">
                  <c:v>3.8244077516636845E-9</c:v>
                </c:pt>
                <c:pt idx="29">
                  <c:v>4.0643625010107971E-9</c:v>
                </c:pt>
                <c:pt idx="30">
                  <c:v>4.3107617832391344E-9</c:v>
                </c:pt>
                <c:pt idx="31">
                  <c:v>4.563562414726221E-9</c:v>
                </c:pt>
                <c:pt idx="32">
                  <c:v>4.8227228593009757E-9</c:v>
                </c:pt>
                <c:pt idx="33">
                  <c:v>5.0882031167407187E-9</c:v>
                </c:pt>
                <c:pt idx="34">
                  <c:v>5.3599646219129963E-9</c:v>
                </c:pt>
                <c:pt idx="35">
                  <c:v>5.6379701532673487E-9</c:v>
                </c:pt>
                <c:pt idx="36">
                  <c:v>5.9221837495713673E-9</c:v>
                </c:pt>
                <c:pt idx="37">
                  <c:v>6.2125706339432534E-9</c:v>
                </c:pt>
                <c:pt idx="38">
                  <c:v>6.5090971443639471E-9</c:v>
                </c:pt>
                <c:pt idx="39">
                  <c:v>6.8117306699625997E-9</c:v>
                </c:pt>
                <c:pt idx="40">
                  <c:v>7.120439592461672E-9</c:v>
                </c:pt>
                <c:pt idx="41">
                  <c:v>7.4351932322471081E-9</c:v>
                </c:pt>
                <c:pt idx="42">
                  <c:v>7.7559617985955312E-9</c:v>
                </c:pt>
                <c:pt idx="43">
                  <c:v>8.0827163436480355E-9</c:v>
                </c:pt>
                <c:pt idx="44">
                  <c:v>8.4154287197689042E-9</c:v>
                </c:pt>
                <c:pt idx="45">
                  <c:v>8.754071539969989E-9</c:v>
                </c:pt>
                <c:pt idx="46">
                  <c:v>9.0986181411178959E-9</c:v>
                </c:pt>
                <c:pt idx="47">
                  <c:v>9.4490425496726568E-9</c:v>
                </c:pt>
                <c:pt idx="48">
                  <c:v>9.8053194497341996E-9</c:v>
                </c:pt>
                <c:pt idx="49">
                  <c:v>1.016742415319694E-8</c:v>
                </c:pt>
                <c:pt idx="50">
                  <c:v>1.0535332571833443E-8</c:v>
                </c:pt>
                <c:pt idx="51">
                  <c:v>1.0909021191146986E-8</c:v>
                </c:pt>
                <c:pt idx="52">
                  <c:v>1.1288467045848772E-8</c:v>
                </c:pt>
                <c:pt idx="53">
                  <c:v>1.167364769682978E-8</c:v>
                </c:pt>
                <c:pt idx="54">
                  <c:v>1.2064541209509973E-8</c:v>
                </c:pt>
                <c:pt idx="55">
                  <c:v>1.2461126133458912E-8</c:v>
                </c:pt>
                <c:pt idx="56">
                  <c:v>1.2863381483191222E-8</c:v>
                </c:pt>
                <c:pt idx="57">
                  <c:v>1.327128672005005E-8</c:v>
                </c:pt>
                <c:pt idx="58">
                  <c:v>1.3684821735098644E-8</c:v>
                </c:pt>
                <c:pt idx="59">
                  <c:v>1.4103966832948018E-8</c:v>
                </c:pt>
                <c:pt idx="60">
                  <c:v>1.4528702716454457E-8</c:v>
                </c:pt>
                <c:pt idx="61">
                  <c:v>1.4959010472226366E-8</c:v>
                </c:pt>
                <c:pt idx="62">
                  <c:v>1.5394871556885651E-8</c:v>
                </c:pt>
                <c:pt idx="63">
                  <c:v>1.5836267784032449E-8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D6-4B71-9ABE-12C58FED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85472"/>
        <c:axId val="1890285952"/>
      </c:scatterChart>
      <c:valAx>
        <c:axId val="1890285472"/>
        <c:scaling>
          <c:logBase val="10"/>
          <c:orientation val="minMax"/>
          <c:max val="30000000"/>
          <c:min val="9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</a:t>
                </a:r>
                <a:r>
                  <a:rPr lang="en-GB" baseline="0"/>
                  <a:t>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85952"/>
        <c:crosses val="autoZero"/>
        <c:crossBetween val="midCat"/>
      </c:valAx>
      <c:valAx>
        <c:axId val="18902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da/dN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8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2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6.png"/><Relationship Id="rId3" Type="http://schemas.openxmlformats.org/officeDocument/2006/relationships/image" Target="../media/image5.png"/><Relationship Id="rId7" Type="http://schemas.openxmlformats.org/officeDocument/2006/relationships/image" Target="../media/image11.png"/><Relationship Id="rId12" Type="http://schemas.openxmlformats.org/officeDocument/2006/relationships/image" Target="../media/image1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3.png"/><Relationship Id="rId4" Type="http://schemas.openxmlformats.org/officeDocument/2006/relationships/image" Target="../media/image8.png"/><Relationship Id="rId9" Type="http://schemas.openxmlformats.org/officeDocument/2006/relationships/image" Target="../media/image2.png"/><Relationship Id="rId1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chart" Target="../charts/chart4.xm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tiff"/><Relationship Id="rId2" Type="http://schemas.openxmlformats.org/officeDocument/2006/relationships/image" Target="../media/image25.tiff"/><Relationship Id="rId1" Type="http://schemas.openxmlformats.org/officeDocument/2006/relationships/chart" Target="../charts/chart5.xml"/><Relationship Id="rId5" Type="http://schemas.openxmlformats.org/officeDocument/2006/relationships/chart" Target="../charts/chart6.xml"/><Relationship Id="rId4" Type="http://schemas.openxmlformats.org/officeDocument/2006/relationships/image" Target="../media/image27.tif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28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609600</xdr:colOff>
      <xdr:row>15</xdr:row>
      <xdr:rowOff>85725</xdr:rowOff>
    </xdr:from>
    <xdr:to>
      <xdr:col>18</xdr:col>
      <xdr:colOff>282642</xdr:colOff>
      <xdr:row>33</xdr:row>
      <xdr:rowOff>147660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C82E8-8676-498F-ADC4-457F286FC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4150" y="3514725"/>
          <a:ext cx="4423462" cy="4466667"/>
        </a:xfrm>
        <a:prstGeom prst="rect">
          <a:avLst/>
        </a:prstGeom>
      </xdr:spPr>
    </xdr:pic>
    <xdr:clientData/>
  </xdr:twoCellAnchor>
  <xdr:twoCellAnchor>
    <xdr:from>
      <xdr:col>4</xdr:col>
      <xdr:colOff>332911</xdr:colOff>
      <xdr:row>16</xdr:row>
      <xdr:rowOff>628418</xdr:rowOff>
    </xdr:from>
    <xdr:to>
      <xdr:col>9</xdr:col>
      <xdr:colOff>954823</xdr:colOff>
      <xdr:row>42</xdr:row>
      <xdr:rowOff>22159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629C5D7-C461-486C-98CA-52F0609B468D}"/>
            </a:ext>
          </a:extLst>
        </xdr:cNvPr>
        <xdr:cNvGrpSpPr/>
      </xdr:nvGrpSpPr>
      <xdr:grpSpPr>
        <a:xfrm>
          <a:off x="4536006" y="3722783"/>
          <a:ext cx="5208023" cy="4665249"/>
          <a:chOff x="12148006" y="323173"/>
          <a:chExt cx="4384682" cy="427871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9DC7CF7-6E56-92CF-99D3-6B5443B8A2AE}"/>
              </a:ext>
            </a:extLst>
          </xdr:cNvPr>
          <xdr:cNvGraphicFramePr/>
        </xdr:nvGraphicFramePr>
        <xdr:xfrm>
          <a:off x="12148006" y="323173"/>
          <a:ext cx="4384682" cy="4278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99F4B4B-809F-A32B-1BB9-550A90520615}"/>
              </a:ext>
            </a:extLst>
          </xdr:cNvPr>
          <xdr:cNvSpPr txBox="1"/>
        </xdr:nvSpPr>
        <xdr:spPr>
          <a:xfrm>
            <a:off x="12904058" y="4097340"/>
            <a:ext cx="229375" cy="222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61810A-60B5-A73C-EFCE-7BAE2560B03B}"/>
              </a:ext>
            </a:extLst>
          </xdr:cNvPr>
          <xdr:cNvSpPr txBox="1"/>
        </xdr:nvSpPr>
        <xdr:spPr>
          <a:xfrm>
            <a:off x="15408310" y="1326666"/>
            <a:ext cx="229374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6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865C363-84A6-E14E-2A1C-76E055E0B09B}"/>
              </a:ext>
            </a:extLst>
          </xdr:cNvPr>
          <xdr:cNvSpPr txBox="1"/>
        </xdr:nvSpPr>
        <xdr:spPr>
          <a:xfrm>
            <a:off x="14250314" y="1134035"/>
            <a:ext cx="229374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5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1C128945-56BF-5A6C-2F8B-F4F08D2716EA}"/>
              </a:ext>
            </a:extLst>
          </xdr:cNvPr>
          <xdr:cNvSpPr txBox="1"/>
        </xdr:nvSpPr>
        <xdr:spPr>
          <a:xfrm>
            <a:off x="13131192" y="1328907"/>
            <a:ext cx="235322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4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DE60347-442C-8D3B-E241-1CFD69FFD159}"/>
              </a:ext>
            </a:extLst>
          </xdr:cNvPr>
          <xdr:cNvSpPr txBox="1"/>
        </xdr:nvSpPr>
        <xdr:spPr>
          <a:xfrm>
            <a:off x="12516335" y="2318842"/>
            <a:ext cx="235323" cy="2217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3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BFD3C2F-0152-9FBD-FDBD-B2891C3254FF}"/>
              </a:ext>
            </a:extLst>
          </xdr:cNvPr>
          <xdr:cNvSpPr txBox="1"/>
        </xdr:nvSpPr>
        <xdr:spPr>
          <a:xfrm>
            <a:off x="12484184" y="3111776"/>
            <a:ext cx="229374" cy="2217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8664FB4-0240-D1AD-C4F4-F1A33CE3D1DD}"/>
              </a:ext>
            </a:extLst>
          </xdr:cNvPr>
          <xdr:cNvSpPr txBox="1"/>
        </xdr:nvSpPr>
        <xdr:spPr>
          <a:xfrm>
            <a:off x="15951449" y="2267406"/>
            <a:ext cx="229374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7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44F6686-02DF-E669-FFC5-2736FCA48DE8}"/>
              </a:ext>
            </a:extLst>
          </xdr:cNvPr>
          <xdr:cNvSpPr txBox="1"/>
        </xdr:nvSpPr>
        <xdr:spPr>
          <a:xfrm>
            <a:off x="15946967" y="3147635"/>
            <a:ext cx="229374" cy="2217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8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1773452-5B7E-4EEC-7B72-9530F092667D}"/>
              </a:ext>
            </a:extLst>
          </xdr:cNvPr>
          <xdr:cNvSpPr txBox="1"/>
        </xdr:nvSpPr>
        <xdr:spPr>
          <a:xfrm>
            <a:off x="15595103" y="4083893"/>
            <a:ext cx="235323" cy="222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9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930891A-B75E-4FCF-99FA-8A8DF5875839}"/>
              </a:ext>
            </a:extLst>
          </xdr:cNvPr>
          <xdr:cNvSpPr txBox="1"/>
        </xdr:nvSpPr>
        <xdr:spPr>
          <a:xfrm>
            <a:off x="14162907" y="4090616"/>
            <a:ext cx="370569" cy="2178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727501</xdr:colOff>
      <xdr:row>30</xdr:row>
      <xdr:rowOff>64176</xdr:rowOff>
    </xdr:from>
    <xdr:to>
      <xdr:col>7</xdr:col>
      <xdr:colOff>613442</xdr:colOff>
      <xdr:row>53</xdr:row>
      <xdr:rowOff>166574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E98ECB5-D6B2-DAC0-E7AA-D7BBC1B67D33}"/>
            </a:ext>
          </a:extLst>
        </xdr:cNvPr>
        <xdr:cNvGrpSpPr/>
      </xdr:nvGrpSpPr>
      <xdr:grpSpPr>
        <a:xfrm>
          <a:off x="727501" y="6210976"/>
          <a:ext cx="4610341" cy="4483898"/>
          <a:chOff x="12148006" y="323173"/>
          <a:chExt cx="4384682" cy="4427919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86AB50D-855E-11AA-A908-A4F4888A02BA}"/>
              </a:ext>
            </a:extLst>
          </xdr:cNvPr>
          <xdr:cNvGraphicFramePr/>
        </xdr:nvGraphicFramePr>
        <xdr:xfrm>
          <a:off x="12148006" y="323173"/>
          <a:ext cx="4384682" cy="4278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7A11AA92-3C42-A8D9-6BEC-AFC8F743B8E1}"/>
              </a:ext>
            </a:extLst>
          </xdr:cNvPr>
          <xdr:cNvSpPr txBox="1"/>
        </xdr:nvSpPr>
        <xdr:spPr>
          <a:xfrm>
            <a:off x="12611612" y="4086274"/>
            <a:ext cx="229375" cy="222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98CF386-7A57-4F76-ABA3-BBE2D4CE5C6E}"/>
              </a:ext>
            </a:extLst>
          </xdr:cNvPr>
          <xdr:cNvSpPr txBox="1"/>
        </xdr:nvSpPr>
        <xdr:spPr>
          <a:xfrm>
            <a:off x="15408310" y="1326666"/>
            <a:ext cx="229374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6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E186030-56C0-42E5-ACD2-9AD2CE9E0393}"/>
              </a:ext>
            </a:extLst>
          </xdr:cNvPr>
          <xdr:cNvSpPr txBox="1"/>
        </xdr:nvSpPr>
        <xdr:spPr>
          <a:xfrm>
            <a:off x="14250314" y="1134035"/>
            <a:ext cx="229374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5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C5DF5E8-8BF7-4400-A6BA-56C7A52E43DC}"/>
              </a:ext>
            </a:extLst>
          </xdr:cNvPr>
          <xdr:cNvSpPr txBox="1"/>
        </xdr:nvSpPr>
        <xdr:spPr>
          <a:xfrm>
            <a:off x="13131192" y="1328907"/>
            <a:ext cx="235322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4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4DC4A53-D079-45C3-AFFC-F1CAFAA3572C}"/>
              </a:ext>
            </a:extLst>
          </xdr:cNvPr>
          <xdr:cNvSpPr txBox="1"/>
        </xdr:nvSpPr>
        <xdr:spPr>
          <a:xfrm>
            <a:off x="12516335" y="2318842"/>
            <a:ext cx="235323" cy="2217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3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5FC85522-2CC8-4818-820D-40E37F3A0284}"/>
              </a:ext>
            </a:extLst>
          </xdr:cNvPr>
          <xdr:cNvSpPr txBox="1"/>
        </xdr:nvSpPr>
        <xdr:spPr>
          <a:xfrm>
            <a:off x="12406544" y="3111776"/>
            <a:ext cx="229374" cy="2217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73BF923F-66C8-4CB4-8387-103BCD42B498}"/>
              </a:ext>
            </a:extLst>
          </xdr:cNvPr>
          <xdr:cNvSpPr txBox="1"/>
        </xdr:nvSpPr>
        <xdr:spPr>
          <a:xfrm>
            <a:off x="15951449" y="2267406"/>
            <a:ext cx="229374" cy="2194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7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C2726F49-EE84-4ECC-A4CB-217B1E8C34A2}"/>
              </a:ext>
            </a:extLst>
          </xdr:cNvPr>
          <xdr:cNvSpPr txBox="1"/>
        </xdr:nvSpPr>
        <xdr:spPr>
          <a:xfrm>
            <a:off x="15946967" y="3147635"/>
            <a:ext cx="229374" cy="2217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8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1C40A314-76D7-43EC-8F04-31704C3D5697}"/>
              </a:ext>
            </a:extLst>
          </xdr:cNvPr>
          <xdr:cNvSpPr txBox="1"/>
        </xdr:nvSpPr>
        <xdr:spPr>
          <a:xfrm>
            <a:off x="15842557" y="4072827"/>
            <a:ext cx="235323" cy="222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9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F889FFD-BFF5-421F-889B-6B3EE4453FFA}"/>
              </a:ext>
            </a:extLst>
          </xdr:cNvPr>
          <xdr:cNvSpPr txBox="1"/>
        </xdr:nvSpPr>
        <xdr:spPr>
          <a:xfrm>
            <a:off x="14140412" y="4533255"/>
            <a:ext cx="370569" cy="2178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10</a:t>
            </a:r>
          </a:p>
        </xdr:txBody>
      </xdr:sp>
    </xdr:grpSp>
    <xdr:clientData/>
  </xdr:twoCellAnchor>
  <xdr:twoCellAnchor editAs="oneCell">
    <xdr:from>
      <xdr:col>16</xdr:col>
      <xdr:colOff>549088</xdr:colOff>
      <xdr:row>32</xdr:row>
      <xdr:rowOff>22413</xdr:rowOff>
    </xdr:from>
    <xdr:to>
      <xdr:col>22</xdr:col>
      <xdr:colOff>212913</xdr:colOff>
      <xdr:row>34</xdr:row>
      <xdr:rowOff>89032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B63CCE6-ED9C-6DAD-3DD8-427DEB4D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40353" y="6622678"/>
          <a:ext cx="4101354" cy="44761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22</xdr:col>
      <xdr:colOff>559712</xdr:colOff>
      <xdr:row>32</xdr:row>
      <xdr:rowOff>52049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2C070F2-3543-CB76-9682-1B346B73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24029" y="5311588"/>
          <a:ext cx="4180952" cy="1219048"/>
        </a:xfrm>
        <a:prstGeom prst="rect">
          <a:avLst/>
        </a:prstGeom>
      </xdr:spPr>
    </xdr:pic>
    <xdr:clientData/>
  </xdr:twoCellAnchor>
  <xdr:twoCellAnchor>
    <xdr:from>
      <xdr:col>15</xdr:col>
      <xdr:colOff>257735</xdr:colOff>
      <xdr:row>37</xdr:row>
      <xdr:rowOff>0</xdr:rowOff>
    </xdr:from>
    <xdr:to>
      <xdr:col>26</xdr:col>
      <xdr:colOff>100853</xdr:colOff>
      <xdr:row>43</xdr:row>
      <xdr:rowOff>44752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3F3CB8E4-926C-FCFE-CFC8-4A5D6C7361AB}"/>
            </a:ext>
          </a:extLst>
        </xdr:cNvPr>
        <xdr:cNvGrpSpPr/>
      </xdr:nvGrpSpPr>
      <xdr:grpSpPr>
        <a:xfrm>
          <a:off x="10824135" y="7480300"/>
          <a:ext cx="8174318" cy="1187752"/>
          <a:chOff x="2958353" y="6275294"/>
          <a:chExt cx="6600265" cy="118775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77A9B37-EE0A-6B84-482A-2A091FFBA8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980765" y="6891617"/>
            <a:ext cx="6552381" cy="571429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152DC0AA-20A1-6C16-453D-6190201494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958353" y="6275294"/>
            <a:ext cx="6600265" cy="638095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123265</xdr:colOff>
      <xdr:row>28</xdr:row>
      <xdr:rowOff>151390</xdr:rowOff>
    </xdr:from>
    <xdr:to>
      <xdr:col>16</xdr:col>
      <xdr:colOff>466026</xdr:colOff>
      <xdr:row>33</xdr:row>
      <xdr:rowOff>90049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0A59E2B-0AC5-F6BE-A039-401D5E3A0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58118" y="5664684"/>
          <a:ext cx="5390029" cy="904046"/>
        </a:xfrm>
        <a:prstGeom prst="rect">
          <a:avLst/>
        </a:prstGeom>
      </xdr:spPr>
    </xdr:pic>
    <xdr:clientData/>
  </xdr:twoCellAnchor>
  <xdr:twoCellAnchor editAs="oneCell">
    <xdr:from>
      <xdr:col>26</xdr:col>
      <xdr:colOff>304980</xdr:colOff>
      <xdr:row>21</xdr:row>
      <xdr:rowOff>94789</xdr:rowOff>
    </xdr:from>
    <xdr:to>
      <xdr:col>35</xdr:col>
      <xdr:colOff>132991</xdr:colOff>
      <xdr:row>37</xdr:row>
      <xdr:rowOff>109392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6E6C9E8-7F11-4DF5-9BA7-101A6D4C2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881616" y="3985607"/>
          <a:ext cx="5335192" cy="3467408"/>
        </a:xfrm>
        <a:prstGeom prst="rect">
          <a:avLst/>
        </a:prstGeom>
      </xdr:spPr>
    </xdr:pic>
    <xdr:clientData/>
  </xdr:twoCellAnchor>
  <xdr:twoCellAnchor>
    <xdr:from>
      <xdr:col>16</xdr:col>
      <xdr:colOff>497262</xdr:colOff>
      <xdr:row>72</xdr:row>
      <xdr:rowOff>116261</xdr:rowOff>
    </xdr:from>
    <xdr:to>
      <xdr:col>36</xdr:col>
      <xdr:colOff>527890</xdr:colOff>
      <xdr:row>96</xdr:row>
      <xdr:rowOff>68070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D1C9F1F-8BBD-2950-B757-BC249F128F76}"/>
            </a:ext>
          </a:extLst>
        </xdr:cNvPr>
        <xdr:cNvGrpSpPr/>
      </xdr:nvGrpSpPr>
      <xdr:grpSpPr>
        <a:xfrm>
          <a:off x="11914562" y="14264061"/>
          <a:ext cx="13733928" cy="4523809"/>
          <a:chOff x="8117263" y="14427573"/>
          <a:chExt cx="11960690" cy="4523809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741BE1B2-391C-63F5-E460-E6572B85BD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8117263" y="14427573"/>
            <a:ext cx="6138380" cy="4523809"/>
          </a:xfrm>
          <a:prstGeom prst="rect">
            <a:avLst/>
          </a:prstGeom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AA04EA34-1E77-2CEA-1511-2D0D7BF1AD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4389155" y="14710923"/>
            <a:ext cx="5688798" cy="2142857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521072</xdr:colOff>
      <xdr:row>43</xdr:row>
      <xdr:rowOff>109257</xdr:rowOff>
    </xdr:from>
    <xdr:to>
      <xdr:col>46</xdr:col>
      <xdr:colOff>190522</xdr:colOff>
      <xdr:row>72</xdr:row>
      <xdr:rowOff>160192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5000CC1A-3E45-DBC6-5EFC-AB3521E454DF}"/>
            </a:ext>
          </a:extLst>
        </xdr:cNvPr>
        <xdr:cNvGrpSpPr/>
      </xdr:nvGrpSpPr>
      <xdr:grpSpPr>
        <a:xfrm>
          <a:off x="6578972" y="8732557"/>
          <a:ext cx="24955150" cy="5575435"/>
          <a:chOff x="3997698" y="8824632"/>
          <a:chExt cx="22505637" cy="5575435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9E176925-8489-6761-931A-D8E678214BD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b="1041"/>
          <a:stretch>
            <a:fillRect/>
          </a:stretch>
        </xdr:blipFill>
        <xdr:spPr>
          <a:xfrm>
            <a:off x="11089623" y="8919105"/>
            <a:ext cx="7279621" cy="5325099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9A771CE6-8CE9-FDA9-1321-F03466F9FD4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/>
          <a:srcRect b="1610"/>
          <a:stretch>
            <a:fillRect/>
          </a:stretch>
        </xdr:blipFill>
        <xdr:spPr>
          <a:xfrm>
            <a:off x="3997698" y="8824632"/>
            <a:ext cx="7024079" cy="5479677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A6270AFC-783D-9BFF-AD1F-52EC1856F7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8508807" y="8910204"/>
            <a:ext cx="7994528" cy="548986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415017</xdr:colOff>
      <xdr:row>96</xdr:row>
      <xdr:rowOff>3402</xdr:rowOff>
    </xdr:from>
    <xdr:to>
      <xdr:col>51</xdr:col>
      <xdr:colOff>231271</xdr:colOff>
      <xdr:row>138</xdr:row>
      <xdr:rowOff>47301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BDAEA844-E00E-49F7-7FDC-9D10BD2EAD11}"/>
            </a:ext>
          </a:extLst>
        </xdr:cNvPr>
        <xdr:cNvGrpSpPr/>
      </xdr:nvGrpSpPr>
      <xdr:grpSpPr>
        <a:xfrm>
          <a:off x="7768317" y="18723202"/>
          <a:ext cx="26918054" cy="8044899"/>
          <a:chOff x="7344455" y="18600964"/>
          <a:chExt cx="24390754" cy="8044899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205EE5F5-6343-7021-6CBF-71DDC8CE14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9478626" y="18607768"/>
            <a:ext cx="6216339" cy="8038095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87C98529-C22D-3C04-E1E7-D8B3F17A35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7344455" y="19032991"/>
            <a:ext cx="6014288" cy="3952381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E08DC11-C41F-CF15-C064-8176D6008B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7385277" y="22951848"/>
            <a:ext cx="5995241" cy="3390476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99266514-7FD2-6B47-889A-A56C657302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3362213" y="18839089"/>
            <a:ext cx="6035387" cy="7590476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52E9E397-3A5B-7B88-F258-842A4C039E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25785536" y="18600964"/>
            <a:ext cx="5949673" cy="7685714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660255</xdr:colOff>
      <xdr:row>11</xdr:row>
      <xdr:rowOff>32472</xdr:rowOff>
    </xdr:from>
    <xdr:to>
      <xdr:col>29</xdr:col>
      <xdr:colOff>215229</xdr:colOff>
      <xdr:row>15</xdr:row>
      <xdr:rowOff>57777</xdr:rowOff>
    </xdr:to>
    <xdr:pic>
      <xdr:nvPicPr>
        <xdr:cNvPr id="27" name="Picture 25">
          <a:extLst>
            <a:ext uri="{FF2B5EF4-FFF2-40B4-BE49-F238E27FC236}">
              <a16:creationId xmlns:a16="http://schemas.microsoft.com/office/drawing/2014/main" id="{F53E429E-CFB2-9C87-9F1E-83563BC82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997670" y="2175597"/>
          <a:ext cx="4209524" cy="7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42283</xdr:colOff>
      <xdr:row>0</xdr:row>
      <xdr:rowOff>0</xdr:rowOff>
    </xdr:from>
    <xdr:to>
      <xdr:col>15</xdr:col>
      <xdr:colOff>50391</xdr:colOff>
      <xdr:row>6</xdr:row>
      <xdr:rowOff>97095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12F36-3D45-4610-A77A-0C82295FF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9083" y="0"/>
          <a:ext cx="4275308" cy="1201995"/>
        </a:xfrm>
        <a:prstGeom prst="rect">
          <a:avLst/>
        </a:prstGeom>
      </xdr:spPr>
    </xdr:pic>
    <xdr:clientData/>
  </xdr:twoCellAnchor>
  <xdr:twoCellAnchor>
    <xdr:from>
      <xdr:col>6</xdr:col>
      <xdr:colOff>136649</xdr:colOff>
      <xdr:row>9</xdr:row>
      <xdr:rowOff>129886</xdr:rowOff>
    </xdr:from>
    <xdr:to>
      <xdr:col>19</xdr:col>
      <xdr:colOff>595312</xdr:colOff>
      <xdr:row>17</xdr:row>
      <xdr:rowOff>179355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DD5D620-D75E-4C16-A9C1-2FA1C34A0F23}"/>
            </a:ext>
          </a:extLst>
        </xdr:cNvPr>
        <xdr:cNvGrpSpPr/>
      </xdr:nvGrpSpPr>
      <xdr:grpSpPr>
        <a:xfrm>
          <a:off x="3794249" y="1844386"/>
          <a:ext cx="8383463" cy="1573469"/>
          <a:chOff x="2958353" y="6275294"/>
          <a:chExt cx="6600265" cy="118775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8F9203E-AF78-9451-4ECE-A959D88A30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80765" y="6891617"/>
            <a:ext cx="6552381" cy="571429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2BC1B52-692E-A8B6-CCAB-3EA4271FBF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958353" y="6275294"/>
            <a:ext cx="6600265" cy="63809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606220</xdr:colOff>
      <xdr:row>51</xdr:row>
      <xdr:rowOff>166785</xdr:rowOff>
    </xdr:from>
    <xdr:to>
      <xdr:col>27</xdr:col>
      <xdr:colOff>592674</xdr:colOff>
      <xdr:row>76</xdr:row>
      <xdr:rowOff>153105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47581DA-95BA-435B-831D-902289B10941}"/>
            </a:ext>
          </a:extLst>
        </xdr:cNvPr>
        <xdr:cNvGrpSpPr/>
      </xdr:nvGrpSpPr>
      <xdr:grpSpPr>
        <a:xfrm>
          <a:off x="4873420" y="9882285"/>
          <a:ext cx="12178454" cy="4748820"/>
          <a:chOff x="8117263" y="14427573"/>
          <a:chExt cx="11960690" cy="4523809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770A87C-79B7-C509-3B43-5A50BD4299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117263" y="14427573"/>
            <a:ext cx="6138380" cy="4523809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4FF948ED-4EAB-EE6B-30A9-0014564AEA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4389155" y="14710923"/>
            <a:ext cx="5688798" cy="214285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20</xdr:row>
      <xdr:rowOff>24130</xdr:rowOff>
    </xdr:from>
    <xdr:to>
      <xdr:col>37</xdr:col>
      <xdr:colOff>235428</xdr:colOff>
      <xdr:row>51</xdr:row>
      <xdr:rowOff>136632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F1ADE25C-13E3-41E8-A446-1125530A37ED}"/>
            </a:ext>
          </a:extLst>
        </xdr:cNvPr>
        <xdr:cNvGrpSpPr/>
      </xdr:nvGrpSpPr>
      <xdr:grpSpPr>
        <a:xfrm>
          <a:off x="0" y="3834130"/>
          <a:ext cx="22790628" cy="6018002"/>
          <a:chOff x="3997698" y="8824632"/>
          <a:chExt cx="22505637" cy="5575435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5CBDB92C-B272-BAE1-0348-83537D7C98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b="1041"/>
          <a:stretch>
            <a:fillRect/>
          </a:stretch>
        </xdr:blipFill>
        <xdr:spPr>
          <a:xfrm>
            <a:off x="11089623" y="8919105"/>
            <a:ext cx="7279621" cy="5325099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FB38ADDA-20C5-A46C-88B1-B197C94ECC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b="1610"/>
          <a:stretch>
            <a:fillRect/>
          </a:stretch>
        </xdr:blipFill>
        <xdr:spPr>
          <a:xfrm>
            <a:off x="3997698" y="8824632"/>
            <a:ext cx="7024079" cy="5479677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6F08EA08-A87D-DF89-325D-5B7645A983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8508807" y="8910204"/>
            <a:ext cx="7994528" cy="548986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1379</xdr:colOff>
      <xdr:row>6</xdr:row>
      <xdr:rowOff>102290</xdr:rowOff>
    </xdr:from>
    <xdr:to>
      <xdr:col>14</xdr:col>
      <xdr:colOff>338344</xdr:colOff>
      <xdr:row>9</xdr:row>
      <xdr:rowOff>2981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212121C-8752-43C7-AE54-17D90F932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78179" y="1207190"/>
          <a:ext cx="3994565" cy="453141"/>
        </a:xfrm>
        <a:prstGeom prst="rect">
          <a:avLst/>
        </a:prstGeom>
      </xdr:spPr>
    </xdr:pic>
    <xdr:clientData/>
  </xdr:twoCellAnchor>
  <xdr:twoCellAnchor>
    <xdr:from>
      <xdr:col>1</xdr:col>
      <xdr:colOff>499127</xdr:colOff>
      <xdr:row>76</xdr:row>
      <xdr:rowOff>49616</xdr:rowOff>
    </xdr:from>
    <xdr:to>
      <xdr:col>52</xdr:col>
      <xdr:colOff>521114</xdr:colOff>
      <xdr:row>120</xdr:row>
      <xdr:rowOff>146692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519B1D5-76BD-4811-BC9E-12DD847BDB38}"/>
            </a:ext>
          </a:extLst>
        </xdr:cNvPr>
        <xdr:cNvGrpSpPr/>
      </xdr:nvGrpSpPr>
      <xdr:grpSpPr>
        <a:xfrm>
          <a:off x="1108727" y="14527616"/>
          <a:ext cx="31111587" cy="8479076"/>
          <a:chOff x="5335441" y="13389428"/>
          <a:chExt cx="31363023" cy="8080959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6A0306D0-62F9-DD58-0EAA-4D3476F61862}"/>
              </a:ext>
            </a:extLst>
          </xdr:cNvPr>
          <xdr:cNvGrpSpPr/>
        </xdr:nvGrpSpPr>
        <xdr:grpSpPr>
          <a:xfrm>
            <a:off x="5335441" y="13425488"/>
            <a:ext cx="24959533" cy="8044899"/>
            <a:chOff x="7344455" y="18600964"/>
            <a:chExt cx="24390754" cy="8044899"/>
          </a:xfrm>
        </xdr:grpSpPr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07CF5D00-A5FD-B5B6-831E-6CBA8791B93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9478626" y="18607768"/>
              <a:ext cx="6216339" cy="8038095"/>
            </a:xfrm>
            <a:prstGeom prst="rect">
              <a:avLst/>
            </a:prstGeom>
          </xdr:spPr>
        </xdr:pic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FA1B6C22-5564-5D7E-C6C6-E51C06107D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344455" y="19032991"/>
              <a:ext cx="6014288" cy="3952381"/>
            </a:xfrm>
            <a:prstGeom prst="rect">
              <a:avLst/>
            </a:prstGeom>
          </xdr:spPr>
        </xdr:pic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64FE8C87-1AEA-3792-431C-F80D883CB1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385277" y="22951848"/>
              <a:ext cx="5995241" cy="3390476"/>
            </a:xfrm>
            <a:prstGeom prst="rect">
              <a:avLst/>
            </a:prstGeom>
          </xdr:spPr>
        </xdr:pic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94ABFC8D-41DA-4B82-5E7E-AE501B95B6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362213" y="18839089"/>
              <a:ext cx="6035387" cy="7590476"/>
            </a:xfrm>
            <a:prstGeom prst="rect">
              <a:avLst/>
            </a:prstGeom>
          </xdr:spPr>
        </xdr:pic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E1A4E480-9128-B405-A4CB-67AABAA37F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5785536" y="18600964"/>
              <a:ext cx="5949673" cy="7685714"/>
            </a:xfrm>
            <a:prstGeom prst="rect">
              <a:avLst/>
            </a:prstGeom>
          </xdr:spPr>
        </xdr:pic>
      </xdr:grp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706DF464-FFF6-E3C7-C05E-2A76207CDA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30411964" y="13389428"/>
            <a:ext cx="6286500" cy="7919357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6</xdr:row>
      <xdr:rowOff>0</xdr:rowOff>
    </xdr:from>
    <xdr:to>
      <xdr:col>11</xdr:col>
      <xdr:colOff>561975</xdr:colOff>
      <xdr:row>25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12F43-4077-D538-DDAA-93179DD0C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235481</xdr:colOff>
      <xdr:row>14</xdr:row>
      <xdr:rowOff>73637</xdr:rowOff>
    </xdr:from>
    <xdr:to>
      <xdr:col>12</xdr:col>
      <xdr:colOff>227957</xdr:colOff>
      <xdr:row>21</xdr:row>
      <xdr:rowOff>95674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9EBBD54-8397-FAF8-39E2-E55060765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0143" y="4226880"/>
          <a:ext cx="3699503" cy="1472240"/>
        </a:xfrm>
        <a:prstGeom prst="rect">
          <a:avLst/>
        </a:prstGeom>
      </xdr:spPr>
    </xdr:pic>
    <xdr:clientData/>
  </xdr:twoCellAnchor>
  <xdr:twoCellAnchor editAs="oneCell">
    <xdr:from>
      <xdr:col>12</xdr:col>
      <xdr:colOff>349428</xdr:colOff>
      <xdr:row>14</xdr:row>
      <xdr:rowOff>94392</xdr:rowOff>
    </xdr:from>
    <xdr:to>
      <xdr:col>15</xdr:col>
      <xdr:colOff>525067</xdr:colOff>
      <xdr:row>18</xdr:row>
      <xdr:rowOff>78627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0F8BCDD-D8E7-FAC4-2A4C-6E6E9EF4C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1117" y="4247635"/>
          <a:ext cx="2003409" cy="893830"/>
        </a:xfrm>
        <a:prstGeom prst="rect">
          <a:avLst/>
        </a:prstGeom>
      </xdr:spPr>
    </xdr:pic>
    <xdr:clientData/>
  </xdr:twoCellAnchor>
  <xdr:twoCellAnchor editAs="oneCell">
    <xdr:from>
      <xdr:col>7</xdr:col>
      <xdr:colOff>223640</xdr:colOff>
      <xdr:row>21</xdr:row>
      <xdr:rowOff>74402</xdr:rowOff>
    </xdr:from>
    <xdr:to>
      <xdr:col>13</xdr:col>
      <xdr:colOff>286134</xdr:colOff>
      <xdr:row>25</xdr:row>
      <xdr:rowOff>249880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3E6E067-2BFD-C3BA-1678-716DF96D2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302" y="5677848"/>
          <a:ext cx="4378778" cy="1145140"/>
        </a:xfrm>
        <a:prstGeom prst="rect">
          <a:avLst/>
        </a:prstGeom>
      </xdr:spPr>
    </xdr:pic>
    <xdr:clientData/>
  </xdr:twoCellAnchor>
  <xdr:twoCellAnchor editAs="oneCell">
    <xdr:from>
      <xdr:col>42</xdr:col>
      <xdr:colOff>361293</xdr:colOff>
      <xdr:row>15</xdr:row>
      <xdr:rowOff>87587</xdr:rowOff>
    </xdr:from>
    <xdr:to>
      <xdr:col>46</xdr:col>
      <xdr:colOff>463062</xdr:colOff>
      <xdr:row>23</xdr:row>
      <xdr:rowOff>21441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33C3A-B002-6501-2185-042853073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2822" y="4738028"/>
          <a:ext cx="3344560" cy="2073604"/>
        </a:xfrm>
        <a:prstGeom prst="rect">
          <a:avLst/>
        </a:prstGeom>
      </xdr:spPr>
    </xdr:pic>
    <xdr:clientData/>
  </xdr:twoCellAnchor>
  <xdr:twoCellAnchor editAs="oneCell">
    <xdr:from>
      <xdr:col>43</xdr:col>
      <xdr:colOff>549088</xdr:colOff>
      <xdr:row>6</xdr:row>
      <xdr:rowOff>33618</xdr:rowOff>
    </xdr:from>
    <xdr:to>
      <xdr:col>47</xdr:col>
      <xdr:colOff>481988</xdr:colOff>
      <xdr:row>7</xdr:row>
      <xdr:rowOff>337804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F7401-439D-4859-B832-6A5A4736A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75735" y="1187824"/>
          <a:ext cx="3175693" cy="907676"/>
        </a:xfrm>
        <a:prstGeom prst="rect">
          <a:avLst/>
        </a:prstGeom>
      </xdr:spPr>
    </xdr:pic>
    <xdr:clientData/>
  </xdr:twoCellAnchor>
  <xdr:twoCellAnchor editAs="oneCell">
    <xdr:from>
      <xdr:col>68</xdr:col>
      <xdr:colOff>724236</xdr:colOff>
      <xdr:row>34</xdr:row>
      <xdr:rowOff>33618</xdr:rowOff>
    </xdr:from>
    <xdr:to>
      <xdr:col>72</xdr:col>
      <xdr:colOff>219633</xdr:colOff>
      <xdr:row>40</xdr:row>
      <xdr:rowOff>10707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6AA81F-4D42-4E20-83BA-7BEC2D357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47530" y="9300883"/>
          <a:ext cx="2385685" cy="1146640"/>
        </a:xfrm>
        <a:prstGeom prst="rect">
          <a:avLst/>
        </a:prstGeom>
      </xdr:spPr>
    </xdr:pic>
    <xdr:clientData/>
  </xdr:twoCellAnchor>
  <xdr:twoCellAnchor editAs="oneCell">
    <xdr:from>
      <xdr:col>68</xdr:col>
      <xdr:colOff>448236</xdr:colOff>
      <xdr:row>27</xdr:row>
      <xdr:rowOff>22412</xdr:rowOff>
    </xdr:from>
    <xdr:to>
      <xdr:col>75</xdr:col>
      <xdr:colOff>39806</xdr:colOff>
      <xdr:row>32</xdr:row>
      <xdr:rowOff>63096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8B8048-67D5-4D3D-A724-A4A2CD295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871530" y="7765677"/>
          <a:ext cx="4295551" cy="1210235"/>
        </a:xfrm>
        <a:prstGeom prst="rect">
          <a:avLst/>
        </a:prstGeom>
      </xdr:spPr>
    </xdr:pic>
    <xdr:clientData/>
  </xdr:twoCellAnchor>
  <xdr:twoCellAnchor>
    <xdr:from>
      <xdr:col>57</xdr:col>
      <xdr:colOff>246529</xdr:colOff>
      <xdr:row>27</xdr:row>
      <xdr:rowOff>1</xdr:rowOff>
    </xdr:from>
    <xdr:to>
      <xdr:col>66</xdr:col>
      <xdr:colOff>129121</xdr:colOff>
      <xdr:row>45</xdr:row>
      <xdr:rowOff>79907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74431FB-CD35-4209-8D60-B30712A49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588992</xdr:colOff>
      <xdr:row>27</xdr:row>
      <xdr:rowOff>180539</xdr:rowOff>
    </xdr:from>
    <xdr:to>
      <xdr:col>17</xdr:col>
      <xdr:colOff>376642</xdr:colOff>
      <xdr:row>53</xdr:row>
      <xdr:rowOff>97427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DAA7C-B9B3-46A8-8666-61A828229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8</xdr:row>
      <xdr:rowOff>139700</xdr:rowOff>
    </xdr:from>
    <xdr:ext cx="1669676" cy="592418"/>
    <xdr:pic>
      <xdr:nvPicPr>
        <xdr:cNvPr id="3" name="Picture 2">
          <a:extLst>
            <a:ext uri="{FF2B5EF4-FFF2-40B4-BE49-F238E27FC236}">
              <a16:creationId xmlns:a16="http://schemas.microsoft.com/office/drawing/2014/main" id="{B1AF0F81-AC7E-4DC1-A4C7-BCBD44DC1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129" t="7843"/>
        <a:stretch/>
      </xdr:blipFill>
      <xdr:spPr>
        <a:xfrm>
          <a:off x="0" y="1739900"/>
          <a:ext cx="1669676" cy="592418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8</xdr:row>
      <xdr:rowOff>127000</xdr:rowOff>
    </xdr:from>
    <xdr:ext cx="1440896" cy="679849"/>
    <xdr:pic>
      <xdr:nvPicPr>
        <xdr:cNvPr id="4" name="Picture 3">
          <a:extLst>
            <a:ext uri="{FF2B5EF4-FFF2-40B4-BE49-F238E27FC236}">
              <a16:creationId xmlns:a16="http://schemas.microsoft.com/office/drawing/2014/main" id="{A4942D32-1A79-400A-AA17-7C3DBD0DC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9400" y="1727200"/>
          <a:ext cx="1440896" cy="679849"/>
        </a:xfrm>
        <a:prstGeom prst="rect">
          <a:avLst/>
        </a:prstGeom>
      </xdr:spPr>
    </xdr:pic>
    <xdr:clientData/>
  </xdr:oneCellAnchor>
  <xdr:oneCellAnchor>
    <xdr:from>
      <xdr:col>5</xdr:col>
      <xdr:colOff>87656</xdr:colOff>
      <xdr:row>35</xdr:row>
      <xdr:rowOff>26038</xdr:rowOff>
    </xdr:from>
    <xdr:ext cx="2577829" cy="457974"/>
    <xdr:pic>
      <xdr:nvPicPr>
        <xdr:cNvPr id="5" name="Picture 4">
          <a:extLst>
            <a:ext uri="{FF2B5EF4-FFF2-40B4-BE49-F238E27FC236}">
              <a16:creationId xmlns:a16="http://schemas.microsoft.com/office/drawing/2014/main" id="{25379A7E-0622-4AF9-828A-3DD837AA1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397" t="2222" b="1"/>
        <a:stretch/>
      </xdr:blipFill>
      <xdr:spPr>
        <a:xfrm>
          <a:off x="4278656" y="7026913"/>
          <a:ext cx="2577829" cy="457974"/>
        </a:xfrm>
        <a:prstGeom prst="rect">
          <a:avLst/>
        </a:prstGeom>
      </xdr:spPr>
    </xdr:pic>
    <xdr:clientData/>
  </xdr:oneCellAnchor>
  <xdr:twoCellAnchor>
    <xdr:from>
      <xdr:col>5</xdr:col>
      <xdr:colOff>159058</xdr:colOff>
      <xdr:row>55</xdr:row>
      <xdr:rowOff>153457</xdr:rowOff>
    </xdr:from>
    <xdr:to>
      <xdr:col>14</xdr:col>
      <xdr:colOff>666749</xdr:colOff>
      <xdr:row>79</xdr:row>
      <xdr:rowOff>116417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DD8863-0079-4FD8-A418-A2BEFB5B4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558800</xdr:colOff>
      <xdr:row>1</xdr:row>
      <xdr:rowOff>69850</xdr:rowOff>
    </xdr:from>
    <xdr:to>
      <xdr:col>18</xdr:col>
      <xdr:colOff>66627</xdr:colOff>
      <xdr:row>4</xdr:row>
      <xdr:rowOff>92634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DE89B-CD17-4A33-82F9-DEC8C818C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2350" y="254000"/>
          <a:ext cx="2555827" cy="575234"/>
        </a:xfrm>
        <a:prstGeom prst="rect">
          <a:avLst/>
        </a:prstGeom>
      </xdr:spPr>
    </xdr:pic>
    <xdr:clientData/>
  </xdr:twoCellAnchor>
  <xdr:twoCellAnchor editAs="oneCell">
    <xdr:from>
      <xdr:col>14</xdr:col>
      <xdr:colOff>6350</xdr:colOff>
      <xdr:row>4</xdr:row>
      <xdr:rowOff>152400</xdr:rowOff>
    </xdr:from>
    <xdr:to>
      <xdr:col>17</xdr:col>
      <xdr:colOff>254107</xdr:colOff>
      <xdr:row>7</xdr:row>
      <xdr:rowOff>76224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B41E94-A75E-B669-F1D0-C9121669B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889000"/>
          <a:ext cx="2076557" cy="476274"/>
        </a:xfrm>
        <a:prstGeom prst="rect">
          <a:avLst/>
        </a:prstGeom>
      </xdr:spPr>
    </xdr:pic>
    <xdr:clientData/>
  </xdr:twoCellAnchor>
  <xdr:twoCellAnchor>
    <xdr:from>
      <xdr:col>10</xdr:col>
      <xdr:colOff>371475</xdr:colOff>
      <xdr:row>11</xdr:row>
      <xdr:rowOff>120650</xdr:rowOff>
    </xdr:from>
    <xdr:to>
      <xdr:col>18</xdr:col>
      <xdr:colOff>66675</xdr:colOff>
      <xdr:row>26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70D63E-F814-3665-6D87-CA40AFFB8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A040-D32E-483E-AFD7-E3AD887431AE}">
  <dimension ref="A1:U17"/>
  <sheetViews>
    <sheetView zoomScale="63" zoomScaleNormal="100" workbookViewId="0">
      <selection sqref="A1:P17"/>
    </sheetView>
  </sheetViews>
  <sheetFormatPr defaultRowHeight="14.5" x14ac:dyDescent="0.35"/>
  <cols>
    <col min="1" max="1" width="11.26953125" customWidth="1"/>
    <col min="2" max="2" width="12.81640625" bestFit="1" customWidth="1"/>
    <col min="3" max="3" width="11.81640625" customWidth="1"/>
    <col min="4" max="4" width="24.26953125" customWidth="1"/>
    <col min="5" max="5" width="10.08984375" bestFit="1" customWidth="1"/>
    <col min="6" max="6" width="13.26953125" customWidth="1"/>
    <col min="7" max="7" width="11.7265625" customWidth="1"/>
    <col min="8" max="8" width="13" customWidth="1"/>
    <col min="9" max="9" width="17.54296875" customWidth="1"/>
    <col min="10" max="10" width="16.26953125" customWidth="1"/>
    <col min="11" max="11" width="20.7265625" customWidth="1"/>
    <col min="12" max="12" width="14" customWidth="1"/>
    <col min="13" max="13" width="19" customWidth="1"/>
    <col min="14" max="14" width="13.81640625" customWidth="1"/>
    <col min="16" max="16" width="10.7265625" customWidth="1"/>
    <col min="17" max="17" width="9.1796875" customWidth="1"/>
    <col min="21" max="21" width="38.1796875" customWidth="1"/>
  </cols>
  <sheetData>
    <row r="1" spans="1:16" ht="29" x14ac:dyDescent="0.35">
      <c r="A1" s="62" t="s">
        <v>59</v>
      </c>
      <c r="B1" s="62" t="s">
        <v>60</v>
      </c>
      <c r="C1" s="62" t="s">
        <v>61</v>
      </c>
      <c r="D1" s="62" t="s">
        <v>72</v>
      </c>
      <c r="E1" s="62" t="s">
        <v>82</v>
      </c>
      <c r="F1" s="62" t="s">
        <v>80</v>
      </c>
      <c r="G1" s="62" t="s">
        <v>83</v>
      </c>
      <c r="H1" s="62"/>
      <c r="I1" s="62" t="s">
        <v>86</v>
      </c>
      <c r="J1" s="62" t="s">
        <v>87</v>
      </c>
      <c r="K1" s="62" t="s">
        <v>89</v>
      </c>
      <c r="L1" s="62"/>
      <c r="M1" s="54"/>
      <c r="N1" s="54"/>
      <c r="O1" s="54"/>
    </row>
    <row r="2" spans="1:16" x14ac:dyDescent="0.35">
      <c r="A2" s="55" t="s">
        <v>46</v>
      </c>
      <c r="B2" s="54" t="s">
        <v>76</v>
      </c>
      <c r="C2" s="54"/>
      <c r="D2" s="54"/>
      <c r="E2" s="54"/>
      <c r="F2" s="54">
        <v>0</v>
      </c>
      <c r="G2" s="54">
        <f>('Fuselage Stresses'!C22*'Fuselage Stresses'!D13)-('Fuselage Stresses'!C13*'Fuselage Stresses'!D22)</f>
        <v>0</v>
      </c>
      <c r="H2" s="54">
        <f>F2*G2</f>
        <v>0</v>
      </c>
      <c r="I2" s="54">
        <f>F2</f>
        <v>0</v>
      </c>
      <c r="J2" s="54">
        <f>'Fuselage Stresses'!$C$25</f>
        <v>0.2</v>
      </c>
      <c r="K2" s="54">
        <f>I2/J2</f>
        <v>0</v>
      </c>
      <c r="L2" s="54"/>
      <c r="M2" s="54"/>
      <c r="N2" s="54" t="s">
        <v>75</v>
      </c>
      <c r="O2" s="54">
        <f>'Fuselage Stresses'!$Q$26</f>
        <v>5690</v>
      </c>
      <c r="P2" t="s">
        <v>63</v>
      </c>
    </row>
    <row r="3" spans="1:16" x14ac:dyDescent="0.35">
      <c r="A3" s="55" t="s">
        <v>15</v>
      </c>
      <c r="B3" s="54">
        <v>1</v>
      </c>
      <c r="C3" s="54">
        <f>'Fuselage Stresses'!P13</f>
        <v>179.94461464867146</v>
      </c>
      <c r="D3" s="54">
        <f>'Fuselage Stresses'!$D$13-'Fuselage Stresses'!$I$28</f>
        <v>-600.00782225368812</v>
      </c>
      <c r="E3" s="54">
        <f>C3*D3</f>
        <v>-107968.17636162847</v>
      </c>
      <c r="F3" s="54">
        <f>$B$17*E3</f>
        <v>0.46119969294836205</v>
      </c>
      <c r="G3" s="54">
        <f>('Fuselage Stresses'!C13*'Fuselage Stresses'!D14)-('Fuselage Stresses'!C14*'Fuselage Stresses'!D13)</f>
        <v>-340000</v>
      </c>
      <c r="H3" s="54">
        <f t="shared" ref="H3:H11" si="0">F3*G3</f>
        <v>-156807.89560244311</v>
      </c>
      <c r="I3" s="54">
        <f>F3</f>
        <v>0.46119969294836205</v>
      </c>
      <c r="J3" s="54">
        <f>'Fuselage Stresses'!$C$25</f>
        <v>0.2</v>
      </c>
      <c r="K3" s="54">
        <f>I3/J3</f>
        <v>2.3059984647418101</v>
      </c>
      <c r="L3" s="54"/>
      <c r="M3" s="54"/>
      <c r="N3" s="54"/>
      <c r="O3" s="54"/>
    </row>
    <row r="4" spans="1:16" x14ac:dyDescent="0.35">
      <c r="A4" s="55" t="s">
        <v>16</v>
      </c>
      <c r="B4" s="54">
        <v>2</v>
      </c>
      <c r="C4" s="54">
        <f>'Fuselage Stresses'!P14</f>
        <v>2524.6712292910847</v>
      </c>
      <c r="D4" s="54">
        <f>'Fuselage Stresses'!$D$14-'Fuselage Stresses'!$I$28</f>
        <v>-100.00782225368812</v>
      </c>
      <c r="E4" s="54">
        <f t="shared" ref="E4:E11" si="1">C4*D4</f>
        <v>-252486.87154794307</v>
      </c>
      <c r="F4" s="54">
        <f>F3+($B$17*E4)</f>
        <v>1.5397292333693922</v>
      </c>
      <c r="G4" s="54">
        <f>('Fuselage Stresses'!C14*'Fuselage Stresses'!D15)-('Fuselage Stresses'!C15*'Fuselage Stresses'!D14)</f>
        <v>-560000</v>
      </c>
      <c r="H4" s="54">
        <f t="shared" si="0"/>
        <v>-862248.37068685959</v>
      </c>
      <c r="I4" s="54">
        <f t="shared" ref="I4:I11" si="2">F4</f>
        <v>1.5397292333693922</v>
      </c>
      <c r="J4" s="54">
        <f>'Fuselage Stresses'!$C$25</f>
        <v>0.2</v>
      </c>
      <c r="K4" s="54">
        <f t="shared" ref="K4:K11" si="3">I4/J4</f>
        <v>7.6986461668469603</v>
      </c>
      <c r="L4" s="54"/>
      <c r="M4" s="54"/>
      <c r="N4" s="54"/>
      <c r="O4" s="54"/>
    </row>
    <row r="5" spans="1:16" x14ac:dyDescent="0.35">
      <c r="A5" s="55" t="s">
        <v>17</v>
      </c>
      <c r="B5" s="54">
        <v>3</v>
      </c>
      <c r="C5" s="54">
        <f>'Fuselage Stresses'!P15</f>
        <v>190.77776184334957</v>
      </c>
      <c r="D5" s="54">
        <f>'Fuselage Stresses'!$D$15-'Fuselage Stresses'!$I$28</f>
        <v>599.99217774631188</v>
      </c>
      <c r="E5" s="54">
        <f t="shared" si="1"/>
        <v>114465.16479395855</v>
      </c>
      <c r="F5" s="54">
        <f>F4+($B$17*E5)</f>
        <v>1.0507768342898871</v>
      </c>
      <c r="G5" s="54">
        <f>('Fuselage Stresses'!C15*'Fuselage Stresses'!D16)-('Fuselage Stresses'!C16*'Fuselage Stresses'!D15)</f>
        <v>-845000</v>
      </c>
      <c r="H5" s="54">
        <f t="shared" si="0"/>
        <v>-887906.42497495457</v>
      </c>
      <c r="I5" s="54">
        <f t="shared" si="2"/>
        <v>1.0507768342898871</v>
      </c>
      <c r="J5" s="54">
        <f>'Fuselage Stresses'!$C$25</f>
        <v>0.2</v>
      </c>
      <c r="K5" s="54">
        <f t="shared" si="3"/>
        <v>5.2538841714494353</v>
      </c>
      <c r="L5" s="54"/>
      <c r="M5" s="54"/>
      <c r="N5" s="54"/>
      <c r="O5" s="54"/>
    </row>
    <row r="6" spans="1:16" x14ac:dyDescent="0.35">
      <c r="A6" s="55" t="s">
        <v>18</v>
      </c>
      <c r="B6" s="54">
        <v>4</v>
      </c>
      <c r="C6" s="54">
        <f>'Fuselage Stresses'!P16</f>
        <v>165.32425533346213</v>
      </c>
      <c r="D6" s="54">
        <f>'Fuselage Stresses'!$D$16-'Fuselage Stresses'!$I$28</f>
        <v>1249.9921777463119</v>
      </c>
      <c r="E6" s="54">
        <f>C6*D6</f>
        <v>206654.02595856166</v>
      </c>
      <c r="F6" s="54">
        <f>F5+($B$17*E6)</f>
        <v>0.16802807877322079</v>
      </c>
      <c r="G6" s="54">
        <f>('Fuselage Stresses'!C16*'Fuselage Stresses'!D17)-('Fuselage Stresses'!C17*'Fuselage Stresses'!D16)</f>
        <v>-1155000</v>
      </c>
      <c r="H6" s="54">
        <f t="shared" si="0"/>
        <v>-194072.43098307002</v>
      </c>
      <c r="I6" s="54">
        <f>F6</f>
        <v>0.16802807877322079</v>
      </c>
      <c r="J6" s="54">
        <f>'Fuselage Stresses'!$C$25</f>
        <v>0.2</v>
      </c>
      <c r="K6" s="54">
        <f>I6/J6</f>
        <v>0.84014039386610395</v>
      </c>
      <c r="L6" s="54"/>
      <c r="M6" s="54"/>
      <c r="N6" s="54"/>
      <c r="O6" s="54"/>
    </row>
    <row r="7" spans="1:16" x14ac:dyDescent="0.35">
      <c r="A7" s="55" t="s">
        <v>67</v>
      </c>
      <c r="B7" s="54">
        <v>10</v>
      </c>
      <c r="C7" s="54">
        <f>'Fuselage Stresses'!$P$22</f>
        <v>242.38103752017719</v>
      </c>
      <c r="D7" s="54">
        <f>'Fuselage Stresses'!D22-'Fuselage Stresses'!I28</f>
        <v>-700.00782225368812</v>
      </c>
      <c r="E7" s="54">
        <f t="shared" si="1"/>
        <v>-169668.62223008872</v>
      </c>
      <c r="F7" s="54">
        <v>0</v>
      </c>
      <c r="G7" s="54">
        <f>('Fuselage Stresses'!C22*'Fuselage Stresses'!D21)-('Fuselage Stresses'!C21*'Fuselage Stresses'!D22)</f>
        <v>0</v>
      </c>
      <c r="H7" s="54">
        <f t="shared" si="0"/>
        <v>0</v>
      </c>
      <c r="I7" s="54">
        <f t="shared" si="2"/>
        <v>0</v>
      </c>
      <c r="J7" s="54">
        <f>'Fuselage Stresses'!$C$25</f>
        <v>0.2</v>
      </c>
      <c r="K7" s="54">
        <f t="shared" si="3"/>
        <v>0</v>
      </c>
      <c r="L7" s="54"/>
      <c r="M7" s="54"/>
      <c r="N7" s="54"/>
      <c r="O7" s="54"/>
    </row>
    <row r="8" spans="1:16" x14ac:dyDescent="0.35">
      <c r="A8" s="55" t="s">
        <v>68</v>
      </c>
      <c r="B8" s="54">
        <v>9</v>
      </c>
      <c r="C8" s="54">
        <f>'Fuselage Stresses'!$P$21</f>
        <v>179.94461464867146</v>
      </c>
      <c r="D8" s="54">
        <f>'Fuselage Stresses'!D21-'Fuselage Stresses'!I28</f>
        <v>-600.00782225368812</v>
      </c>
      <c r="E8" s="54">
        <f t="shared" si="1"/>
        <v>-107968.17636162847</v>
      </c>
      <c r="F8" s="54">
        <f>B17*E8</f>
        <v>0.46119969294836205</v>
      </c>
      <c r="G8" s="54">
        <f>('Fuselage Stresses'!C21*'Fuselage Stresses'!D20)-('Fuselage Stresses'!C20*'Fuselage Stresses'!D21)</f>
        <v>340000</v>
      </c>
      <c r="H8" s="54">
        <f t="shared" si="0"/>
        <v>156807.89560244311</v>
      </c>
      <c r="I8" s="54">
        <f t="shared" si="2"/>
        <v>0.46119969294836205</v>
      </c>
      <c r="J8" s="54">
        <f>'Fuselage Stresses'!$C$25</f>
        <v>0.2</v>
      </c>
      <c r="K8" s="54">
        <f t="shared" si="3"/>
        <v>2.3059984647418101</v>
      </c>
      <c r="L8" s="54"/>
      <c r="M8" s="54"/>
      <c r="N8" s="54" t="s">
        <v>88</v>
      </c>
      <c r="O8" s="54"/>
    </row>
    <row r="9" spans="1:16" x14ac:dyDescent="0.35">
      <c r="A9" s="55" t="s">
        <v>69</v>
      </c>
      <c r="B9" s="54">
        <v>8</v>
      </c>
      <c r="C9" s="54">
        <f>'Fuselage Stresses'!$P$20</f>
        <v>2524.6712292910847</v>
      </c>
      <c r="D9" s="54">
        <f>'Fuselage Stresses'!D20-'Fuselage Stresses'!I28</f>
        <v>-100.00782225368812</v>
      </c>
      <c r="E9" s="54">
        <f t="shared" si="1"/>
        <v>-252486.87154794307</v>
      </c>
      <c r="F9" s="54">
        <f>F8+(E9*$B$17)</f>
        <v>1.5397292333693922</v>
      </c>
      <c r="G9" s="54">
        <f>('Fuselage Stresses'!C20*'Fuselage Stresses'!D19)-('Fuselage Stresses'!C19*'Fuselage Stresses'!D20)</f>
        <v>560000</v>
      </c>
      <c r="H9" s="54">
        <f t="shared" si="0"/>
        <v>862248.37068685959</v>
      </c>
      <c r="I9" s="54">
        <f t="shared" si="2"/>
        <v>1.5397292333693922</v>
      </c>
      <c r="J9" s="54">
        <f>'Fuselage Stresses'!$C$25</f>
        <v>0.2</v>
      </c>
      <c r="K9" s="54">
        <f t="shared" si="3"/>
        <v>7.6986461668469603</v>
      </c>
      <c r="L9" s="54"/>
      <c r="M9" s="54"/>
      <c r="N9" s="54"/>
      <c r="O9" s="54"/>
    </row>
    <row r="10" spans="1:16" x14ac:dyDescent="0.35">
      <c r="A10" s="55" t="s">
        <v>70</v>
      </c>
      <c r="B10" s="54">
        <v>7</v>
      </c>
      <c r="C10" s="54">
        <f>'Fuselage Stresses'!$P$19</f>
        <v>190.77776184334957</v>
      </c>
      <c r="D10" s="54">
        <f>'Fuselage Stresses'!D19-'Fuselage Stresses'!I28</f>
        <v>599.99217774631188</v>
      </c>
      <c r="E10" s="54">
        <f t="shared" si="1"/>
        <v>114465.16479395855</v>
      </c>
      <c r="F10" s="54">
        <f>F9+(E10*$B$17)</f>
        <v>1.0507768342898871</v>
      </c>
      <c r="G10" s="54">
        <f>('Fuselage Stresses'!C19*'Fuselage Stresses'!D18)-('Fuselage Stresses'!C18*'Fuselage Stresses'!D19)</f>
        <v>845000</v>
      </c>
      <c r="H10" s="54">
        <f t="shared" si="0"/>
        <v>887906.42497495457</v>
      </c>
      <c r="I10" s="54">
        <f t="shared" si="2"/>
        <v>1.0507768342898871</v>
      </c>
      <c r="J10" s="54">
        <f>'Fuselage Stresses'!$C$25</f>
        <v>0.2</v>
      </c>
      <c r="K10" s="54">
        <f t="shared" si="3"/>
        <v>5.2538841714494353</v>
      </c>
      <c r="L10" s="54"/>
      <c r="M10" s="54"/>
      <c r="N10" s="54"/>
      <c r="O10" s="54"/>
    </row>
    <row r="11" spans="1:16" x14ac:dyDescent="0.35">
      <c r="A11" s="55" t="s">
        <v>71</v>
      </c>
      <c r="B11" s="54">
        <v>6</v>
      </c>
      <c r="C11" s="54">
        <f>'Fuselage Stresses'!$P$18</f>
        <v>165.32425533346213</v>
      </c>
      <c r="D11" s="54">
        <f>'Fuselage Stresses'!D18-'Fuselage Stresses'!I28</f>
        <v>1249.9921777463119</v>
      </c>
      <c r="E11" s="54">
        <f t="shared" si="1"/>
        <v>206654.02595856166</v>
      </c>
      <c r="F11" s="54">
        <f>F10+(E11*$B$17)</f>
        <v>0.16802807877322079</v>
      </c>
      <c r="G11" s="54">
        <f>('Fuselage Stresses'!C18*'Fuselage Stresses'!D17)-('Fuselage Stresses'!C17*'Fuselage Stresses'!D18)</f>
        <v>1155000</v>
      </c>
      <c r="H11" s="54">
        <f t="shared" si="0"/>
        <v>194072.43098307002</v>
      </c>
      <c r="I11" s="54">
        <f t="shared" si="2"/>
        <v>0.16802807877322079</v>
      </c>
      <c r="J11" s="54">
        <f>'Fuselage Stresses'!$C$25</f>
        <v>0.2</v>
      </c>
      <c r="K11" s="54">
        <f t="shared" si="3"/>
        <v>0.84014039386610395</v>
      </c>
      <c r="L11" s="54"/>
      <c r="M11" s="54"/>
      <c r="N11" s="54"/>
      <c r="O11" s="54"/>
    </row>
    <row r="12" spans="1:16" x14ac:dyDescent="0.35">
      <c r="A12" s="56" t="s">
        <v>64</v>
      </c>
      <c r="B12" s="54"/>
      <c r="C12" s="54"/>
      <c r="D12" s="54"/>
      <c r="E12" s="54"/>
      <c r="F12" s="54"/>
      <c r="G12" s="54"/>
      <c r="H12" s="60">
        <f>SUM(H2:H11)</f>
        <v>0</v>
      </c>
      <c r="I12" s="61" t="s">
        <v>85</v>
      </c>
      <c r="J12" s="54"/>
      <c r="K12" s="54"/>
      <c r="L12" s="54"/>
      <c r="M12" s="54"/>
      <c r="N12" s="54"/>
      <c r="O12" s="54"/>
    </row>
    <row r="13" spans="1:16" x14ac:dyDescent="0.35">
      <c r="A13" s="56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</row>
    <row r="14" spans="1:16" x14ac:dyDescent="0.35">
      <c r="A14" s="56" t="s">
        <v>77</v>
      </c>
      <c r="B14" s="54">
        <f>2.96*10^6</f>
        <v>2960000</v>
      </c>
      <c r="C14" s="54" t="s">
        <v>78</v>
      </c>
      <c r="D14" s="54"/>
      <c r="E14" s="54"/>
      <c r="F14" s="54"/>
      <c r="G14" s="54"/>
      <c r="H14" s="54"/>
      <c r="I14" s="54"/>
      <c r="J14" s="54"/>
      <c r="K14" s="54"/>
      <c r="L14" s="54"/>
      <c r="M14" s="58"/>
      <c r="N14" s="54"/>
      <c r="O14" s="54"/>
    </row>
    <row r="15" spans="1:16" x14ac:dyDescent="0.35">
      <c r="A15" s="57"/>
      <c r="B15" s="54">
        <f>B14/10^6</f>
        <v>2.96</v>
      </c>
      <c r="C15" s="54" t="s">
        <v>79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6" spans="1:16" x14ac:dyDescent="0.35">
      <c r="A16" s="56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</row>
    <row r="17" spans="1:21" ht="58" x14ac:dyDescent="0.35">
      <c r="A17" s="54" t="s">
        <v>81</v>
      </c>
      <c r="B17" s="54">
        <f>-O2/'Fuselage Stresses'!N23</f>
        <v>-4.2716262188556413E-6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U17" s="59" t="s">
        <v>84</v>
      </c>
    </row>
  </sheetData>
  <pageMargins left="0.7" right="0.7" top="0.75" bottom="0.75" header="0.3" footer="0.3"/>
  <ignoredErrors>
    <ignoredError sqref="G3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"/>
  <sheetViews>
    <sheetView zoomScale="50" zoomScaleNormal="80" workbookViewId="0">
      <selection activeCell="Z30" sqref="Z30"/>
    </sheetView>
  </sheetViews>
  <sheetFormatPr defaultColWidth="8.81640625" defaultRowHeight="14.5" x14ac:dyDescent="0.35"/>
  <cols>
    <col min="1" max="1" width="10.81640625" customWidth="1"/>
    <col min="2" max="2" width="8.81640625" customWidth="1"/>
    <col min="4" max="4" width="11.453125" customWidth="1"/>
    <col min="6" max="7" width="9.1796875" customWidth="1"/>
    <col min="8" max="8" width="9.7265625" customWidth="1"/>
    <col min="9" max="12" width="9.1796875" customWidth="1"/>
    <col min="13" max="13" width="11.54296875" customWidth="1"/>
    <col min="14" max="14" width="15.81640625" customWidth="1"/>
    <col min="15" max="15" width="9.1796875" customWidth="1"/>
    <col min="16" max="16" width="12.1796875" customWidth="1"/>
    <col min="17" max="17" width="10.453125" customWidth="1"/>
    <col min="18" max="18" width="14.54296875" customWidth="1"/>
    <col min="21" max="21" width="10.7265625" customWidth="1"/>
    <col min="22" max="22" width="12.81640625" customWidth="1"/>
    <col min="23" max="23" width="13.7265625" bestFit="1" customWidth="1"/>
  </cols>
  <sheetData>
    <row r="1" spans="1:2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33</v>
      </c>
      <c r="M1" s="3" t="s">
        <v>12</v>
      </c>
      <c r="N1" s="3" t="s">
        <v>13</v>
      </c>
      <c r="O1" s="43"/>
      <c r="P1" s="3" t="s">
        <v>11</v>
      </c>
      <c r="Q1" s="23" t="s">
        <v>14</v>
      </c>
    </row>
    <row r="2" spans="1:26" x14ac:dyDescent="0.35">
      <c r="A2" s="6" t="s">
        <v>15</v>
      </c>
      <c r="B2" s="10"/>
      <c r="C2" s="38">
        <v>-795</v>
      </c>
      <c r="D2" s="39">
        <v>350</v>
      </c>
      <c r="E2" s="39">
        <v>630</v>
      </c>
      <c r="F2" s="39">
        <f>$C$25</f>
        <v>0.2</v>
      </c>
      <c r="G2" s="39">
        <f>F2*E2</f>
        <v>126</v>
      </c>
      <c r="H2" s="39">
        <f>C2*G2</f>
        <v>-100170</v>
      </c>
      <c r="I2" s="39">
        <f>D2*G2</f>
        <v>44100</v>
      </c>
      <c r="J2" s="40">
        <f t="shared" ref="J2:J22" si="0">C2-$I$27</f>
        <v>-795</v>
      </c>
      <c r="K2" s="39">
        <f t="shared" ref="K2:K22" si="1">D2-$I$28</f>
        <v>-350.00782225368812</v>
      </c>
      <c r="L2" s="41">
        <f>ABS(K13/K14)</f>
        <v>5.9996089179070271</v>
      </c>
      <c r="M2" s="41"/>
      <c r="N2" s="42"/>
      <c r="O2" s="35"/>
      <c r="P2" s="31"/>
      <c r="Q2" s="24"/>
    </row>
    <row r="3" spans="1:26" x14ac:dyDescent="0.35">
      <c r="A3" s="7" t="s">
        <v>16</v>
      </c>
      <c r="B3" s="11"/>
      <c r="C3" s="8">
        <v>-800</v>
      </c>
      <c r="D3" s="9">
        <v>950</v>
      </c>
      <c r="E3" s="9">
        <v>700</v>
      </c>
      <c r="F3" s="39">
        <f>$C$25</f>
        <v>0.2</v>
      </c>
      <c r="G3" s="9">
        <f t="shared" ref="G3:G12" si="2">F3*E3</f>
        <v>140</v>
      </c>
      <c r="H3" s="9">
        <f t="shared" ref="H3:H22" si="3">C3*G3</f>
        <v>-112000</v>
      </c>
      <c r="I3" s="9">
        <f t="shared" ref="I3:I22" si="4">D3*G3</f>
        <v>133000</v>
      </c>
      <c r="J3" s="40">
        <f t="shared" si="0"/>
        <v>-800</v>
      </c>
      <c r="K3" s="9">
        <f t="shared" si="1"/>
        <v>249.99217774631188</v>
      </c>
      <c r="L3" s="41">
        <f t="shared" ref="L3:L9" si="5">ABS(K14/K15)</f>
        <v>0.16668187680268948</v>
      </c>
      <c r="M3" s="20"/>
      <c r="N3" s="30"/>
      <c r="O3" s="36"/>
      <c r="P3" s="32"/>
      <c r="Q3" s="25"/>
    </row>
    <row r="4" spans="1:26" x14ac:dyDescent="0.35">
      <c r="A4" s="7" t="s">
        <v>17</v>
      </c>
      <c r="B4" s="11"/>
      <c r="C4" s="8">
        <v>-690</v>
      </c>
      <c r="D4" s="9">
        <v>1625</v>
      </c>
      <c r="E4" s="9">
        <v>720</v>
      </c>
      <c r="F4" s="39">
        <f>$C$25</f>
        <v>0.2</v>
      </c>
      <c r="G4" s="9">
        <f t="shared" si="2"/>
        <v>144</v>
      </c>
      <c r="H4" s="9">
        <f t="shared" si="3"/>
        <v>-99360</v>
      </c>
      <c r="I4" s="9">
        <f t="shared" si="4"/>
        <v>234000</v>
      </c>
      <c r="J4" s="40">
        <f t="shared" si="0"/>
        <v>-690</v>
      </c>
      <c r="K4" s="9">
        <f t="shared" si="1"/>
        <v>924.99217774631188</v>
      </c>
      <c r="L4" s="41">
        <f t="shared" si="5"/>
        <v>0.47999674592210234</v>
      </c>
      <c r="M4" s="20"/>
      <c r="N4" s="30"/>
      <c r="O4" s="36"/>
      <c r="P4" s="32"/>
      <c r="Q4" s="25"/>
    </row>
    <row r="5" spans="1:26" x14ac:dyDescent="0.35">
      <c r="A5" s="7" t="s">
        <v>18</v>
      </c>
      <c r="B5" s="11"/>
      <c r="C5" s="8">
        <v>-275</v>
      </c>
      <c r="D5" s="9">
        <v>2065</v>
      </c>
      <c r="E5" s="9">
        <v>536.58000000000004</v>
      </c>
      <c r="F5" s="39">
        <f>$C$25</f>
        <v>0.2</v>
      </c>
      <c r="G5" s="9">
        <f t="shared" si="2"/>
        <v>107.31600000000002</v>
      </c>
      <c r="H5" s="9">
        <f t="shared" si="3"/>
        <v>-29511.900000000005</v>
      </c>
      <c r="I5" s="9">
        <f t="shared" si="4"/>
        <v>221607.54000000004</v>
      </c>
      <c r="J5" s="40">
        <f t="shared" si="0"/>
        <v>-275</v>
      </c>
      <c r="K5" s="9">
        <f t="shared" si="1"/>
        <v>1364.9921777463119</v>
      </c>
      <c r="L5" s="41">
        <f t="shared" si="5"/>
        <v>0.89285654421193417</v>
      </c>
      <c r="M5" s="20"/>
      <c r="N5" s="30"/>
      <c r="O5" s="36"/>
      <c r="P5" s="32"/>
      <c r="Q5" s="25"/>
    </row>
    <row r="6" spans="1:26" x14ac:dyDescent="0.35">
      <c r="A6" s="7" t="s">
        <v>19</v>
      </c>
      <c r="B6" s="11"/>
      <c r="C6" s="8">
        <v>275</v>
      </c>
      <c r="D6" s="9">
        <v>2065</v>
      </c>
      <c r="E6" s="9">
        <v>536.58000000000004</v>
      </c>
      <c r="F6" s="39">
        <f>$C$25</f>
        <v>0.2</v>
      </c>
      <c r="G6" s="39">
        <f t="shared" si="2"/>
        <v>107.31600000000002</v>
      </c>
      <c r="H6" s="9">
        <f t="shared" si="3"/>
        <v>29511.900000000005</v>
      </c>
      <c r="I6" s="9">
        <f t="shared" si="4"/>
        <v>221607.54000000004</v>
      </c>
      <c r="J6" s="40">
        <f t="shared" si="0"/>
        <v>275</v>
      </c>
      <c r="K6" s="9">
        <f t="shared" si="1"/>
        <v>1364.9921777463119</v>
      </c>
      <c r="L6" s="41">
        <f t="shared" si="5"/>
        <v>1.1200007509410532</v>
      </c>
      <c r="M6" s="20"/>
      <c r="N6" s="30"/>
      <c r="O6" s="36"/>
      <c r="P6" s="32"/>
      <c r="Q6" s="25"/>
      <c r="T6" s="50"/>
      <c r="U6" s="50"/>
      <c r="V6" s="50"/>
      <c r="X6" s="50"/>
      <c r="Y6" s="50"/>
      <c r="Z6" s="50"/>
    </row>
    <row r="7" spans="1:26" x14ac:dyDescent="0.35">
      <c r="A7" s="7" t="s">
        <v>34</v>
      </c>
      <c r="B7" s="11"/>
      <c r="C7" s="8">
        <v>690</v>
      </c>
      <c r="D7" s="9">
        <v>1625</v>
      </c>
      <c r="E7" s="9">
        <v>720</v>
      </c>
      <c r="F7" s="39">
        <f t="shared" ref="F7:F11" si="6">$C$25</f>
        <v>0.2</v>
      </c>
      <c r="G7" s="39">
        <f t="shared" si="2"/>
        <v>144</v>
      </c>
      <c r="H7" s="9">
        <f t="shared" si="3"/>
        <v>99360</v>
      </c>
      <c r="I7" s="9">
        <f t="shared" si="4"/>
        <v>234000</v>
      </c>
      <c r="J7" s="40">
        <f t="shared" si="0"/>
        <v>690</v>
      </c>
      <c r="K7" s="9">
        <f t="shared" si="1"/>
        <v>924.99217774631188</v>
      </c>
      <c r="L7" s="41">
        <f t="shared" si="5"/>
        <v>2.0833474570310688</v>
      </c>
      <c r="M7" s="20"/>
      <c r="N7" s="30"/>
      <c r="O7" s="36"/>
      <c r="P7" s="32"/>
      <c r="Q7" s="25"/>
      <c r="T7" s="50"/>
      <c r="U7" s="50"/>
      <c r="V7" s="50"/>
      <c r="W7" s="50"/>
      <c r="X7" s="50"/>
      <c r="Y7" s="50"/>
      <c r="Z7" s="50"/>
    </row>
    <row r="8" spans="1:26" x14ac:dyDescent="0.35">
      <c r="A8" s="7" t="s">
        <v>35</v>
      </c>
      <c r="B8" s="11"/>
      <c r="C8" s="8">
        <v>800</v>
      </c>
      <c r="D8" s="9">
        <v>950</v>
      </c>
      <c r="E8" s="9">
        <v>700</v>
      </c>
      <c r="F8" s="39">
        <f t="shared" si="6"/>
        <v>0.2</v>
      </c>
      <c r="G8" s="39">
        <f t="shared" si="2"/>
        <v>140</v>
      </c>
      <c r="H8" s="9">
        <f t="shared" si="3"/>
        <v>112000</v>
      </c>
      <c r="I8" s="9">
        <f t="shared" si="4"/>
        <v>133000</v>
      </c>
      <c r="J8" s="40">
        <f t="shared" si="0"/>
        <v>800</v>
      </c>
      <c r="K8" s="9">
        <f t="shared" si="1"/>
        <v>249.99217774631188</v>
      </c>
      <c r="L8" s="41">
        <f t="shared" si="5"/>
        <v>5.9994524850698383</v>
      </c>
      <c r="M8" s="20"/>
      <c r="N8" s="30"/>
      <c r="O8" s="36"/>
      <c r="P8" s="32"/>
      <c r="Q8" s="25"/>
      <c r="T8" s="50"/>
      <c r="U8" s="50"/>
      <c r="V8" s="50"/>
      <c r="W8" s="50"/>
      <c r="X8" s="50"/>
      <c r="Y8" s="50"/>
      <c r="Z8" s="50"/>
    </row>
    <row r="9" spans="1:26" x14ac:dyDescent="0.35">
      <c r="A9" s="7" t="s">
        <v>36</v>
      </c>
      <c r="B9" s="11"/>
      <c r="C9" s="8">
        <v>795</v>
      </c>
      <c r="D9" s="9">
        <v>230</v>
      </c>
      <c r="E9" s="9">
        <v>630</v>
      </c>
      <c r="F9" s="39">
        <f t="shared" si="6"/>
        <v>0.2</v>
      </c>
      <c r="G9" s="39">
        <f t="shared" si="2"/>
        <v>126</v>
      </c>
      <c r="H9" s="9">
        <f t="shared" si="3"/>
        <v>100170</v>
      </c>
      <c r="I9" s="9">
        <f t="shared" si="4"/>
        <v>28980</v>
      </c>
      <c r="J9" s="40">
        <f t="shared" si="0"/>
        <v>795</v>
      </c>
      <c r="K9" s="9">
        <f t="shared" si="1"/>
        <v>-470.00782225368812</v>
      </c>
      <c r="L9" s="41">
        <f t="shared" si="5"/>
        <v>0.16667753076626393</v>
      </c>
      <c r="M9" s="20"/>
      <c r="N9" s="30"/>
      <c r="O9" s="36"/>
      <c r="P9" s="32"/>
      <c r="Q9" s="25"/>
      <c r="T9" s="50"/>
      <c r="U9" s="50"/>
      <c r="V9" s="50"/>
      <c r="W9" s="50"/>
      <c r="X9" s="50"/>
      <c r="Y9" s="50"/>
      <c r="Z9" s="50"/>
    </row>
    <row r="10" spans="1:26" x14ac:dyDescent="0.35">
      <c r="A10" s="7" t="s">
        <v>37</v>
      </c>
      <c r="B10" s="11"/>
      <c r="C10" s="8">
        <v>400</v>
      </c>
      <c r="D10" s="9">
        <v>0</v>
      </c>
      <c r="E10" s="9">
        <v>800</v>
      </c>
      <c r="F10" s="39">
        <f t="shared" si="6"/>
        <v>0.2</v>
      </c>
      <c r="G10" s="39">
        <f t="shared" si="2"/>
        <v>160</v>
      </c>
      <c r="H10" s="9">
        <f t="shared" si="3"/>
        <v>64000</v>
      </c>
      <c r="I10" s="9">
        <f t="shared" si="4"/>
        <v>0</v>
      </c>
      <c r="J10" s="40">
        <f t="shared" si="0"/>
        <v>400</v>
      </c>
      <c r="K10" s="9">
        <f t="shared" si="1"/>
        <v>-700.00782225368812</v>
      </c>
      <c r="L10" s="41">
        <f>ABS(K21/K22)</f>
        <v>0.85714445350332202</v>
      </c>
      <c r="M10" s="20"/>
      <c r="N10" s="30"/>
      <c r="O10" s="36"/>
      <c r="P10" s="32"/>
      <c r="Q10" s="25"/>
      <c r="T10" s="50"/>
      <c r="U10" s="50"/>
      <c r="V10" s="50"/>
      <c r="W10" s="50"/>
      <c r="X10" s="50"/>
      <c r="Y10" s="50"/>
      <c r="Z10" s="50"/>
    </row>
    <row r="11" spans="1:26" x14ac:dyDescent="0.35">
      <c r="A11" s="7" t="s">
        <v>46</v>
      </c>
      <c r="B11" s="11"/>
      <c r="C11" s="8">
        <v>-400</v>
      </c>
      <c r="D11" s="9">
        <v>0</v>
      </c>
      <c r="E11" s="9">
        <v>800</v>
      </c>
      <c r="F11" s="39">
        <f t="shared" si="6"/>
        <v>0.2</v>
      </c>
      <c r="G11" s="39">
        <f t="shared" si="2"/>
        <v>160</v>
      </c>
      <c r="H11" s="9">
        <f t="shared" si="3"/>
        <v>-64000</v>
      </c>
      <c r="I11" s="9">
        <f t="shared" si="4"/>
        <v>0</v>
      </c>
      <c r="J11" s="40">
        <f t="shared" si="0"/>
        <v>-400</v>
      </c>
      <c r="K11" s="9">
        <f t="shared" si="1"/>
        <v>-700.00782225368812</v>
      </c>
      <c r="L11" s="41">
        <f>ABS(K22/K13)</f>
        <v>1.1666644938467472</v>
      </c>
      <c r="M11" s="20"/>
      <c r="N11" s="30"/>
      <c r="O11" s="36"/>
      <c r="P11" s="32"/>
      <c r="Q11" s="25"/>
      <c r="T11" s="50"/>
      <c r="U11" s="50"/>
      <c r="V11" s="50"/>
      <c r="W11" s="50"/>
      <c r="X11" s="50"/>
      <c r="Y11" s="50"/>
      <c r="Z11" s="50"/>
    </row>
    <row r="12" spans="1:26" x14ac:dyDescent="0.35">
      <c r="A12" s="7" t="s">
        <v>47</v>
      </c>
      <c r="B12" s="11"/>
      <c r="C12" s="8">
        <v>0</v>
      </c>
      <c r="D12" s="9">
        <v>600</v>
      </c>
      <c r="E12" s="9">
        <v>1600</v>
      </c>
      <c r="F12" s="39">
        <f>3</f>
        <v>3</v>
      </c>
      <c r="G12" s="39">
        <f t="shared" si="2"/>
        <v>4800</v>
      </c>
      <c r="H12" s="9">
        <f t="shared" si="3"/>
        <v>0</v>
      </c>
      <c r="I12" s="9">
        <f t="shared" si="4"/>
        <v>2880000</v>
      </c>
      <c r="J12" s="40">
        <f t="shared" si="0"/>
        <v>0</v>
      </c>
      <c r="K12" s="9">
        <f t="shared" si="1"/>
        <v>-100.00782225368812</v>
      </c>
      <c r="L12" s="41">
        <f>ABS(K14/K20)</f>
        <v>1</v>
      </c>
      <c r="M12" s="20"/>
      <c r="N12" s="30"/>
      <c r="O12" s="36"/>
      <c r="P12" s="32"/>
      <c r="Q12" s="25"/>
      <c r="R12" t="s">
        <v>148</v>
      </c>
      <c r="S12" t="s">
        <v>106</v>
      </c>
      <c r="T12" s="50" t="s">
        <v>107</v>
      </c>
      <c r="U12" s="50" t="s">
        <v>108</v>
      </c>
      <c r="V12" s="50" t="s">
        <v>109</v>
      </c>
      <c r="X12" s="50"/>
      <c r="Y12" s="50"/>
      <c r="Z12" s="50"/>
    </row>
    <row r="13" spans="1:26" x14ac:dyDescent="0.35">
      <c r="A13" s="15"/>
      <c r="B13" s="12" t="s">
        <v>20</v>
      </c>
      <c r="C13" s="13">
        <v>-700</v>
      </c>
      <c r="D13" s="14">
        <v>100</v>
      </c>
      <c r="E13" s="44"/>
      <c r="F13" s="44"/>
      <c r="G13" s="14">
        <f>$C$27</f>
        <v>50</v>
      </c>
      <c r="H13" s="14">
        <f t="shared" si="3"/>
        <v>-35000</v>
      </c>
      <c r="I13" s="14">
        <f t="shared" si="4"/>
        <v>5000</v>
      </c>
      <c r="J13" s="19">
        <f t="shared" si="0"/>
        <v>-700</v>
      </c>
      <c r="K13" s="14">
        <f t="shared" si="1"/>
        <v>-600.00782225368812</v>
      </c>
      <c r="L13" s="21"/>
      <c r="M13" s="21"/>
      <c r="N13" s="21">
        <f>(K13^2)*P13</f>
        <v>64781750.371442825</v>
      </c>
      <c r="O13" s="36"/>
      <c r="P13" s="33">
        <f>G13+((E11*F11/6*(2+(K22/K13)))+(E2*F2/6*(2+(K14/K13))))</f>
        <v>179.94461464867146</v>
      </c>
      <c r="Q13" s="26">
        <f t="shared" ref="Q13:Q22" si="7">$N$26*K13/$N$23*1000</f>
        <v>-3.4832600560155234</v>
      </c>
      <c r="R13">
        <f>'Shear flow'!K3</f>
        <v>2.3059984647418101</v>
      </c>
      <c r="S13">
        <f t="shared" ref="S13:S22" si="8">(Q13/2)+SQRT(((-Q13/2)^2)+(((R13^2))))</f>
        <v>1.1481630569465748</v>
      </c>
      <c r="T13" s="50">
        <f t="shared" ref="T13:T22" si="9">(0+Q13/2)-SQRT(((0-Q13/2)^2)+((R13^2)))</f>
        <v>-4.6314231129620982</v>
      </c>
      <c r="U13" s="50">
        <f t="shared" ref="U13:U22" si="10">SQRT((S13^2 +T13^2 )-(S13*T13))</f>
        <v>5.2996214370469916</v>
      </c>
      <c r="V13" s="50">
        <f t="shared" ref="V13:V22" si="11">U13*1.5</f>
        <v>7.9494321555704879</v>
      </c>
      <c r="W13" s="50"/>
      <c r="X13" s="50"/>
      <c r="Y13" s="50"/>
      <c r="Z13" s="50"/>
    </row>
    <row r="14" spans="1:26" x14ac:dyDescent="0.35">
      <c r="A14" s="15"/>
      <c r="B14" s="12" t="s">
        <v>21</v>
      </c>
      <c r="C14" s="13">
        <v>-800</v>
      </c>
      <c r="D14" s="14">
        <v>600</v>
      </c>
      <c r="E14" s="44"/>
      <c r="F14" s="44"/>
      <c r="G14" s="14">
        <f>$C$27</f>
        <v>50</v>
      </c>
      <c r="H14" s="14">
        <f t="shared" si="3"/>
        <v>-40000</v>
      </c>
      <c r="I14" s="14">
        <f t="shared" si="4"/>
        <v>30000</v>
      </c>
      <c r="J14" s="19">
        <f t="shared" si="0"/>
        <v>-800</v>
      </c>
      <c r="K14" s="14">
        <f t="shared" si="1"/>
        <v>-100.00782225368812</v>
      </c>
      <c r="L14" s="21"/>
      <c r="M14" s="21"/>
      <c r="N14" s="21">
        <f t="shared" ref="N14:N22" si="12">(K14^2)*P14</f>
        <v>25250662.171156477</v>
      </c>
      <c r="O14" s="36"/>
      <c r="P14" s="33">
        <f>G14+((E2*F2/6*(2+(K13/K14)))+(E3*F3/6*(2+K15/K14))+(E12*F12/6*(2+L12)))</f>
        <v>2524.6712292910847</v>
      </c>
      <c r="Q14" s="26">
        <f t="shared" si="7"/>
        <v>-0.58058118515342561</v>
      </c>
      <c r="R14">
        <f>'Shear flow'!K4</f>
        <v>7.6986461668469603</v>
      </c>
      <c r="S14">
        <f t="shared" si="8"/>
        <v>7.4138265814053872</v>
      </c>
      <c r="T14" s="50">
        <f t="shared" si="9"/>
        <v>-7.9944077665588127</v>
      </c>
      <c r="U14" s="50">
        <f t="shared" si="10"/>
        <v>13.347079565188647</v>
      </c>
      <c r="V14" s="50">
        <f t="shared" si="11"/>
        <v>20.020619347782969</v>
      </c>
      <c r="W14" s="50"/>
      <c r="X14" s="50"/>
      <c r="Y14" s="50"/>
      <c r="Z14" s="50"/>
    </row>
    <row r="15" spans="1:26" x14ac:dyDescent="0.35">
      <c r="A15" s="15"/>
      <c r="B15" s="12" t="s">
        <v>22</v>
      </c>
      <c r="C15" s="13">
        <v>-800</v>
      </c>
      <c r="D15" s="14">
        <v>1300</v>
      </c>
      <c r="E15" s="44"/>
      <c r="F15" s="44"/>
      <c r="G15" s="14">
        <f>$C$27</f>
        <v>50</v>
      </c>
      <c r="H15" s="14">
        <f t="shared" si="3"/>
        <v>-40000</v>
      </c>
      <c r="I15" s="14">
        <f t="shared" si="4"/>
        <v>65000</v>
      </c>
      <c r="J15" s="19">
        <f t="shared" si="0"/>
        <v>-800</v>
      </c>
      <c r="K15" s="14">
        <f t="shared" si="1"/>
        <v>599.99217774631188</v>
      </c>
      <c r="L15" s="21"/>
      <c r="M15" s="21"/>
      <c r="N15" s="21">
        <f t="shared" si="12"/>
        <v>68678203.500817657</v>
      </c>
      <c r="O15" s="36"/>
      <c r="P15" s="33">
        <f>G15+((E3*F3/6*(2+(K14/K15)))+(E4*F4/6*(2+(K16/K15))))</f>
        <v>190.77776184334957</v>
      </c>
      <c r="Q15" s="26">
        <f t="shared" si="7"/>
        <v>3.4831692340535119</v>
      </c>
      <c r="R15">
        <f>'Shear flow'!K5</f>
        <v>5.2538841714494353</v>
      </c>
      <c r="S15">
        <f t="shared" si="8"/>
        <v>7.2766018586684797</v>
      </c>
      <c r="T15" s="50">
        <f t="shared" si="9"/>
        <v>-3.7934326246149674</v>
      </c>
      <c r="U15" s="50">
        <f t="shared" si="10"/>
        <v>9.7438372612681547</v>
      </c>
      <c r="V15" s="50">
        <f t="shared" si="11"/>
        <v>14.615755891902232</v>
      </c>
      <c r="W15" s="50"/>
      <c r="X15" s="50"/>
      <c r="Y15" s="50"/>
      <c r="Z15" s="50"/>
    </row>
    <row r="16" spans="1:26" x14ac:dyDescent="0.35">
      <c r="A16" s="15"/>
      <c r="B16" s="12" t="s">
        <v>23</v>
      </c>
      <c r="C16" s="13">
        <v>-550</v>
      </c>
      <c r="D16" s="14">
        <v>1950</v>
      </c>
      <c r="E16" s="44"/>
      <c r="F16" s="44"/>
      <c r="G16" s="14">
        <f>$C$27</f>
        <v>50</v>
      </c>
      <c r="H16" s="14">
        <f t="shared" si="3"/>
        <v>-27500</v>
      </c>
      <c r="I16" s="14">
        <f t="shared" si="4"/>
        <v>97500</v>
      </c>
      <c r="J16" s="19">
        <f t="shared" si="0"/>
        <v>-550</v>
      </c>
      <c r="K16" s="14">
        <f t="shared" si="1"/>
        <v>1249.9921777463119</v>
      </c>
      <c r="L16" s="21"/>
      <c r="M16" s="21"/>
      <c r="N16" s="21">
        <f t="shared" si="12"/>
        <v>258315915.94798532</v>
      </c>
      <c r="O16" s="36"/>
      <c r="P16" s="33">
        <f>G16+((E4*F4/6*(2+(K15/K16)))+(E5*F5/6*(2+(K17/K16))))</f>
        <v>165.32425533346213</v>
      </c>
      <c r="Q16" s="26">
        <f t="shared" si="7"/>
        <v>7.2566517661742385</v>
      </c>
      <c r="R16">
        <f>'Shear flow'!K6</f>
        <v>0.84014039386610395</v>
      </c>
      <c r="S16">
        <f t="shared" si="8"/>
        <v>7.3526492572432112</v>
      </c>
      <c r="T16" s="50">
        <f t="shared" si="9"/>
        <v>-9.5997491068972707E-2</v>
      </c>
      <c r="U16" s="50">
        <f t="shared" si="10"/>
        <v>7.4011149497718369</v>
      </c>
      <c r="V16" s="50">
        <f t="shared" si="11"/>
        <v>11.101672424657755</v>
      </c>
      <c r="W16" s="50"/>
      <c r="X16" s="50"/>
      <c r="Y16" s="50"/>
      <c r="Z16" s="50"/>
    </row>
    <row r="17" spans="1:26" x14ac:dyDescent="0.35">
      <c r="A17" s="15"/>
      <c r="B17" s="12" t="s">
        <v>24</v>
      </c>
      <c r="C17" s="13">
        <v>0</v>
      </c>
      <c r="D17" s="14">
        <v>2100</v>
      </c>
      <c r="E17" s="44"/>
      <c r="F17" s="44"/>
      <c r="G17" s="14">
        <f>$C$28</f>
        <v>90</v>
      </c>
      <c r="H17" s="14">
        <f t="shared" si="3"/>
        <v>0</v>
      </c>
      <c r="I17" s="14">
        <f t="shared" si="4"/>
        <v>189000</v>
      </c>
      <c r="J17" s="19">
        <f t="shared" si="0"/>
        <v>0</v>
      </c>
      <c r="K17" s="14">
        <f t="shared" si="1"/>
        <v>1399.9921777463119</v>
      </c>
      <c r="L17" s="21"/>
      <c r="M17" s="21"/>
      <c r="N17" s="21">
        <f t="shared" si="12"/>
        <v>379222960.30845773</v>
      </c>
      <c r="O17" s="36"/>
      <c r="P17" s="33">
        <f>G17+((E5*F5/6*(2+(K16/K17)))+(E6*F6/6*(2+(K18/K17))))</f>
        <v>193.48326429954932</v>
      </c>
      <c r="Q17" s="26">
        <f>$N$26*K17/$N$23*1000</f>
        <v>8.1274554274328672</v>
      </c>
      <c r="R17">
        <f>'Shear flow'!K7</f>
        <v>0</v>
      </c>
      <c r="S17">
        <f t="shared" si="8"/>
        <v>8.1274554274328672</v>
      </c>
      <c r="T17" s="50">
        <f t="shared" si="9"/>
        <v>0</v>
      </c>
      <c r="U17" s="50">
        <f t="shared" si="10"/>
        <v>8.1274554274328672</v>
      </c>
      <c r="V17" s="50">
        <f t="shared" si="11"/>
        <v>12.191183141149301</v>
      </c>
      <c r="W17" s="50"/>
      <c r="X17" s="50"/>
      <c r="Y17" s="50"/>
      <c r="Z17" s="50"/>
    </row>
    <row r="18" spans="1:26" x14ac:dyDescent="0.35">
      <c r="A18" s="15"/>
      <c r="B18" s="12" t="s">
        <v>25</v>
      </c>
      <c r="C18" s="13">
        <v>550</v>
      </c>
      <c r="D18" s="14">
        <v>1950</v>
      </c>
      <c r="E18" s="44"/>
      <c r="F18" s="44"/>
      <c r="G18" s="14">
        <f>$C$27</f>
        <v>50</v>
      </c>
      <c r="H18" s="14">
        <f t="shared" si="3"/>
        <v>27500</v>
      </c>
      <c r="I18" s="14">
        <f t="shared" si="4"/>
        <v>97500</v>
      </c>
      <c r="J18" s="19">
        <f t="shared" si="0"/>
        <v>550</v>
      </c>
      <c r="K18" s="14">
        <f t="shared" si="1"/>
        <v>1249.9921777463119</v>
      </c>
      <c r="L18" s="21"/>
      <c r="M18" s="21"/>
      <c r="N18" s="21">
        <f t="shared" si="12"/>
        <v>258315915.94798532</v>
      </c>
      <c r="O18" s="36"/>
      <c r="P18" s="33">
        <f>G18+((E6*F6/6*(2+(K17/K18)))+(E7*F7/6*(2+(K19/K18))))</f>
        <v>165.32425533346213</v>
      </c>
      <c r="Q18" s="26">
        <f>$N$26*K18/$N$23*1000</f>
        <v>7.2566517661742385</v>
      </c>
      <c r="R18">
        <f>'Shear flow'!K11</f>
        <v>0.84014039386610395</v>
      </c>
      <c r="S18">
        <f t="shared" si="8"/>
        <v>7.3526492572432112</v>
      </c>
      <c r="T18" s="50">
        <f t="shared" si="9"/>
        <v>-9.5997491068972707E-2</v>
      </c>
      <c r="U18" s="50">
        <f t="shared" si="10"/>
        <v>7.4011149497718369</v>
      </c>
      <c r="V18" s="50">
        <f t="shared" si="11"/>
        <v>11.101672424657755</v>
      </c>
      <c r="W18" s="50"/>
      <c r="X18" s="50"/>
      <c r="Y18" s="50"/>
      <c r="Z18" s="50"/>
    </row>
    <row r="19" spans="1:26" x14ac:dyDescent="0.35">
      <c r="A19" s="15"/>
      <c r="B19" s="12" t="s">
        <v>38</v>
      </c>
      <c r="C19" s="13">
        <v>800</v>
      </c>
      <c r="D19" s="14">
        <v>1300</v>
      </c>
      <c r="E19" s="44"/>
      <c r="F19" s="44"/>
      <c r="G19" s="14">
        <f>$C$27</f>
        <v>50</v>
      </c>
      <c r="H19" s="14">
        <f t="shared" si="3"/>
        <v>40000</v>
      </c>
      <c r="I19" s="14">
        <f t="shared" si="4"/>
        <v>65000</v>
      </c>
      <c r="J19" s="19">
        <f t="shared" si="0"/>
        <v>800</v>
      </c>
      <c r="K19" s="14">
        <f t="shared" si="1"/>
        <v>599.99217774631188</v>
      </c>
      <c r="L19" s="21"/>
      <c r="M19" s="21"/>
      <c r="N19" s="21">
        <f t="shared" si="12"/>
        <v>68678203.500817657</v>
      </c>
      <c r="O19" s="36"/>
      <c r="P19" s="33">
        <f>G19+((E7*F7/6*(2+(K18/K19)))+(E8*F8/6*(2+(K20/K19))))</f>
        <v>190.77776184334957</v>
      </c>
      <c r="Q19" s="26">
        <f t="shared" si="7"/>
        <v>3.4831692340535119</v>
      </c>
      <c r="R19">
        <f>'Shear flow'!K10</f>
        <v>5.2538841714494353</v>
      </c>
      <c r="S19">
        <f t="shared" si="8"/>
        <v>7.2766018586684797</v>
      </c>
      <c r="T19" s="50">
        <f t="shared" si="9"/>
        <v>-3.7934326246149674</v>
      </c>
      <c r="U19" s="50">
        <f t="shared" si="10"/>
        <v>9.7438372612681547</v>
      </c>
      <c r="V19" s="50">
        <f t="shared" si="11"/>
        <v>14.615755891902232</v>
      </c>
      <c r="W19" s="50"/>
      <c r="X19" s="50"/>
      <c r="Y19" s="50"/>
      <c r="Z19" s="50"/>
    </row>
    <row r="20" spans="1:26" x14ac:dyDescent="0.35">
      <c r="A20" s="15"/>
      <c r="B20" s="12" t="s">
        <v>39</v>
      </c>
      <c r="C20" s="13">
        <v>800</v>
      </c>
      <c r="D20" s="14">
        <v>600</v>
      </c>
      <c r="E20" s="44"/>
      <c r="F20" s="44"/>
      <c r="G20" s="14">
        <f>$C$27</f>
        <v>50</v>
      </c>
      <c r="H20" s="14">
        <f t="shared" si="3"/>
        <v>40000</v>
      </c>
      <c r="I20" s="14">
        <f t="shared" si="4"/>
        <v>30000</v>
      </c>
      <c r="J20" s="19">
        <f t="shared" si="0"/>
        <v>800</v>
      </c>
      <c r="K20" s="14">
        <f t="shared" si="1"/>
        <v>-100.00782225368812</v>
      </c>
      <c r="L20" s="21"/>
      <c r="M20" s="21"/>
      <c r="N20" s="21">
        <f t="shared" si="12"/>
        <v>25250662.171156477</v>
      </c>
      <c r="O20" s="36"/>
      <c r="P20" s="33">
        <f>G20+((E8*F8/6*(2+(K19/K20)))+(E9*F9/6*(2+(K21/K20))+(E12*F12/6*(2+L12))))</f>
        <v>2524.6712292910847</v>
      </c>
      <c r="Q20" s="26">
        <f t="shared" si="7"/>
        <v>-0.58058118515342561</v>
      </c>
      <c r="R20">
        <f>'Shear flow'!K9</f>
        <v>7.6986461668469603</v>
      </c>
      <c r="S20">
        <f t="shared" si="8"/>
        <v>7.4138265814053872</v>
      </c>
      <c r="T20" s="50">
        <f t="shared" si="9"/>
        <v>-7.9944077665588127</v>
      </c>
      <c r="U20" s="50">
        <f t="shared" si="10"/>
        <v>13.347079565188647</v>
      </c>
      <c r="V20" s="50">
        <f t="shared" si="11"/>
        <v>20.020619347782969</v>
      </c>
      <c r="W20" s="50"/>
      <c r="X20" s="50"/>
      <c r="Y20" s="50"/>
      <c r="Z20" s="50"/>
    </row>
    <row r="21" spans="1:26" x14ac:dyDescent="0.35">
      <c r="A21" s="15"/>
      <c r="B21" s="12" t="s">
        <v>40</v>
      </c>
      <c r="C21" s="13">
        <v>700</v>
      </c>
      <c r="D21" s="14">
        <v>100</v>
      </c>
      <c r="E21" s="44"/>
      <c r="F21" s="44"/>
      <c r="G21" s="14">
        <f>$C$27</f>
        <v>50</v>
      </c>
      <c r="H21" s="14">
        <f t="shared" si="3"/>
        <v>35000</v>
      </c>
      <c r="I21" s="14">
        <f t="shared" si="4"/>
        <v>5000</v>
      </c>
      <c r="J21" s="19">
        <f t="shared" si="0"/>
        <v>700</v>
      </c>
      <c r="K21" s="14">
        <f>D21-$I$28</f>
        <v>-600.00782225368812</v>
      </c>
      <c r="L21" s="21"/>
      <c r="M21" s="21"/>
      <c r="N21" s="21">
        <f t="shared" si="12"/>
        <v>64781750.371442825</v>
      </c>
      <c r="O21" s="36"/>
      <c r="P21" s="33">
        <f>G21+((E9*F9/6*(2+(K20/K21)))+(E10*F10/6*(2+(K22/K21))))</f>
        <v>179.94461464867146</v>
      </c>
      <c r="Q21" s="26">
        <f t="shared" si="7"/>
        <v>-3.4832600560155234</v>
      </c>
      <c r="R21">
        <f>'Shear flow'!K8</f>
        <v>2.3059984647418101</v>
      </c>
      <c r="S21">
        <f t="shared" si="8"/>
        <v>1.1481630569465748</v>
      </c>
      <c r="T21" s="50">
        <f t="shared" si="9"/>
        <v>-4.6314231129620982</v>
      </c>
      <c r="U21" s="50">
        <f t="shared" si="10"/>
        <v>5.2996214370469916</v>
      </c>
      <c r="V21" s="50">
        <f t="shared" si="11"/>
        <v>7.9494321555704879</v>
      </c>
      <c r="W21" s="50"/>
      <c r="X21" s="50"/>
      <c r="Y21" s="50"/>
      <c r="Z21" s="50"/>
    </row>
    <row r="22" spans="1:26" ht="15" thickBot="1" x14ac:dyDescent="0.4">
      <c r="A22" s="15"/>
      <c r="B22" s="12" t="s">
        <v>41</v>
      </c>
      <c r="C22" s="13">
        <v>0</v>
      </c>
      <c r="D22" s="14">
        <v>0</v>
      </c>
      <c r="E22" s="44"/>
      <c r="F22" s="44"/>
      <c r="G22" s="14">
        <f>$C$28</f>
        <v>90</v>
      </c>
      <c r="H22" s="14">
        <f t="shared" si="3"/>
        <v>0</v>
      </c>
      <c r="I22" s="14">
        <f t="shared" si="4"/>
        <v>0</v>
      </c>
      <c r="J22" s="19">
        <f t="shared" si="0"/>
        <v>0</v>
      </c>
      <c r="K22" s="14">
        <f t="shared" si="1"/>
        <v>-700.00782225368812</v>
      </c>
      <c r="L22" s="21"/>
      <c r="M22" s="21"/>
      <c r="N22" s="21">
        <f t="shared" si="12"/>
        <v>118769362.75206809</v>
      </c>
      <c r="O22" s="36"/>
      <c r="P22" s="33">
        <f>G22+((E10*F10/6*(2+(K21/K22)))+(E11*F11/6*(2+K13/K22)))</f>
        <v>242.38103752017719</v>
      </c>
      <c r="Q22" s="26">
        <f t="shared" si="7"/>
        <v>-4.0637958301879431</v>
      </c>
      <c r="R22">
        <f>('Shear flow'!K7+'Shear flow'!K2)/2</f>
        <v>0</v>
      </c>
      <c r="S22">
        <f t="shared" si="8"/>
        <v>0</v>
      </c>
      <c r="T22" s="50">
        <f t="shared" si="9"/>
        <v>-4.0637958301879431</v>
      </c>
      <c r="U22" s="50">
        <f t="shared" si="10"/>
        <v>4.0637958301879431</v>
      </c>
      <c r="V22" s="50">
        <f t="shared" si="11"/>
        <v>6.0956937452819151</v>
      </c>
      <c r="W22" s="50"/>
      <c r="X22" s="50"/>
      <c r="Y22" s="50"/>
      <c r="Z22" s="50"/>
    </row>
    <row r="23" spans="1:26" ht="20.5" thickBot="1" x14ac:dyDescent="0.4">
      <c r="F23" s="18" t="s">
        <v>26</v>
      </c>
      <c r="G23" s="16">
        <f>SUM(G2:G22)</f>
        <v>6734.6319999999996</v>
      </c>
      <c r="H23" s="16">
        <f>SUM(H2:H22)</f>
        <v>0</v>
      </c>
      <c r="I23" s="16">
        <f>SUM(I2:I22)</f>
        <v>4714295.08</v>
      </c>
      <c r="J23" s="17"/>
      <c r="K23" s="17"/>
      <c r="L23" s="29"/>
      <c r="M23" s="22">
        <f>SUM(M2:M22)</f>
        <v>0</v>
      </c>
      <c r="N23" s="22">
        <f>SUM(N13:N22)</f>
        <v>1332045387.0433302</v>
      </c>
      <c r="O23" s="37"/>
      <c r="P23" s="34"/>
      <c r="Q23" s="27"/>
      <c r="R23">
        <f>SUM(R13:R22)</f>
        <v>32.197338393808622</v>
      </c>
      <c r="W23" s="50"/>
    </row>
    <row r="24" spans="1:26" ht="15" thickBot="1" x14ac:dyDescent="0.4"/>
    <row r="25" spans="1:26" ht="15" thickBot="1" x14ac:dyDescent="0.4">
      <c r="A25" s="91" t="s">
        <v>42</v>
      </c>
      <c r="B25" s="92"/>
      <c r="C25" s="45">
        <v>0.2</v>
      </c>
    </row>
    <row r="26" spans="1:26" ht="15" thickBot="1" x14ac:dyDescent="0.4">
      <c r="A26" s="93" t="s">
        <v>43</v>
      </c>
      <c r="B26" s="94"/>
      <c r="C26" s="46">
        <v>0.2</v>
      </c>
      <c r="F26" s="88" t="s">
        <v>27</v>
      </c>
      <c r="G26" s="89"/>
      <c r="H26" s="89"/>
      <c r="I26" s="90"/>
      <c r="L26" s="86" t="s">
        <v>30</v>
      </c>
      <c r="M26" s="87"/>
      <c r="N26" s="49">
        <v>7733</v>
      </c>
      <c r="P26" t="s">
        <v>62</v>
      </c>
      <c r="Q26">
        <v>5690</v>
      </c>
    </row>
    <row r="27" spans="1:26" ht="27.65" customHeight="1" thickBot="1" x14ac:dyDescent="0.4">
      <c r="A27" s="93" t="s">
        <v>48</v>
      </c>
      <c r="B27" s="94"/>
      <c r="C27" s="46">
        <v>50</v>
      </c>
      <c r="D27" s="59"/>
      <c r="F27" s="82" t="s">
        <v>28</v>
      </c>
      <c r="G27" s="83"/>
      <c r="H27" s="83"/>
      <c r="I27" s="4">
        <f>$H$23/$G$23</f>
        <v>0</v>
      </c>
      <c r="J27">
        <v>0</v>
      </c>
      <c r="L27" s="86" t="s">
        <v>31</v>
      </c>
      <c r="M27" s="87"/>
      <c r="N27" s="49">
        <v>470</v>
      </c>
    </row>
    <row r="28" spans="1:26" ht="29.5" customHeight="1" thickBot="1" x14ac:dyDescent="0.4">
      <c r="A28" s="93" t="s">
        <v>44</v>
      </c>
      <c r="B28" s="94"/>
      <c r="C28" s="46">
        <v>90</v>
      </c>
      <c r="D28" s="59"/>
      <c r="F28" s="84" t="s">
        <v>29</v>
      </c>
      <c r="G28" s="85"/>
      <c r="H28" s="85"/>
      <c r="I28" s="5">
        <f>$I$23/$G$23</f>
        <v>700.00782225368812</v>
      </c>
      <c r="J28">
        <v>1472</v>
      </c>
      <c r="L28" s="86" t="s">
        <v>32</v>
      </c>
      <c r="M28" s="87"/>
      <c r="N28" s="49">
        <v>150</v>
      </c>
    </row>
    <row r="29" spans="1:26" ht="15" thickBot="1" x14ac:dyDescent="0.4">
      <c r="A29" s="95" t="s">
        <v>45</v>
      </c>
      <c r="B29" s="96"/>
      <c r="C29" s="47">
        <v>0</v>
      </c>
    </row>
    <row r="30" spans="1:26" x14ac:dyDescent="0.35">
      <c r="A30" s="48"/>
      <c r="B30" s="48"/>
      <c r="C30" s="48"/>
      <c r="Q30" s="28"/>
    </row>
    <row r="31" spans="1:26" x14ac:dyDescent="0.35">
      <c r="B31" s="48"/>
      <c r="C31" s="48"/>
      <c r="Q31" s="28"/>
    </row>
    <row r="32" spans="1:26" x14ac:dyDescent="0.35">
      <c r="Q32" s="28"/>
    </row>
    <row r="33" spans="17:17" x14ac:dyDescent="0.35">
      <c r="Q33" s="28"/>
    </row>
    <row r="34" spans="17:17" x14ac:dyDescent="0.35">
      <c r="Q34" s="28"/>
    </row>
    <row r="35" spans="17:17" x14ac:dyDescent="0.35">
      <c r="Q35" s="28"/>
    </row>
  </sheetData>
  <mergeCells count="11">
    <mergeCell ref="A25:B25"/>
    <mergeCell ref="A26:B26"/>
    <mergeCell ref="A27:B27"/>
    <mergeCell ref="A28:B28"/>
    <mergeCell ref="A29:B29"/>
    <mergeCell ref="F27:H27"/>
    <mergeCell ref="F28:H28"/>
    <mergeCell ref="L26:M26"/>
    <mergeCell ref="L27:M27"/>
    <mergeCell ref="L28:M28"/>
    <mergeCell ref="F26:I26"/>
  </mergeCells>
  <pageMargins left="0.7" right="0.7" top="0.75" bottom="0.75" header="0.3" footer="0.3"/>
  <pageSetup paperSize="9" orientation="portrait" r:id="rId1"/>
  <ignoredErrors>
    <ignoredError sqref="B13 B14:B2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BCC3-AB19-4CB9-B21D-56169833A6D9}">
  <dimension ref="A1"/>
  <sheetViews>
    <sheetView tabSelected="1" zoomScale="50" workbookViewId="0">
      <selection activeCell="V17" sqref="V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AC03-E999-425B-87AF-9A133C5211F0}">
  <dimension ref="A1:B277"/>
  <sheetViews>
    <sheetView zoomScale="55" workbookViewId="0">
      <selection activeCell="O23" sqref="O23"/>
    </sheetView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 s="65">
        <v>21820.389803759699</v>
      </c>
      <c r="B2">
        <v>1</v>
      </c>
    </row>
    <row r="3" spans="1:2" x14ac:dyDescent="0.35">
      <c r="A3" s="65">
        <v>21850.889803759699</v>
      </c>
      <c r="B3">
        <v>1.44831916943025</v>
      </c>
    </row>
    <row r="4" spans="1:2" x14ac:dyDescent="0.35">
      <c r="A4" s="65">
        <v>21881.389803759699</v>
      </c>
      <c r="B4">
        <v>1</v>
      </c>
    </row>
    <row r="5" spans="1:2" x14ac:dyDescent="0.35">
      <c r="A5" s="65">
        <v>38208.557156579503</v>
      </c>
      <c r="B5">
        <v>1</v>
      </c>
    </row>
    <row r="6" spans="1:2" x14ac:dyDescent="0.35">
      <c r="A6" s="65">
        <v>38239.057156579503</v>
      </c>
      <c r="B6">
        <v>0.55168083056974104</v>
      </c>
    </row>
    <row r="7" spans="1:2" x14ac:dyDescent="0.35">
      <c r="A7" s="65">
        <v>38269.557156579503</v>
      </c>
      <c r="B7">
        <v>1</v>
      </c>
    </row>
    <row r="8" spans="1:2" x14ac:dyDescent="0.35">
      <c r="A8" s="65">
        <v>43671.2796075195</v>
      </c>
      <c r="B8">
        <v>1</v>
      </c>
    </row>
    <row r="9" spans="1:2" x14ac:dyDescent="0.35">
      <c r="A9" s="65">
        <v>43701.7796075195</v>
      </c>
      <c r="B9">
        <v>1.44831916943025</v>
      </c>
    </row>
    <row r="10" spans="1:2" x14ac:dyDescent="0.35">
      <c r="A10" s="65">
        <v>43732.2796075195</v>
      </c>
      <c r="B10">
        <v>1</v>
      </c>
    </row>
    <row r="11" spans="1:2" x14ac:dyDescent="0.35">
      <c r="A11" s="65">
        <v>65522.169411279203</v>
      </c>
      <c r="B11">
        <v>1</v>
      </c>
    </row>
    <row r="12" spans="1:2" x14ac:dyDescent="0.35">
      <c r="A12" s="65">
        <v>65552.669411279203</v>
      </c>
      <c r="B12">
        <v>1.44831916943025</v>
      </c>
    </row>
    <row r="13" spans="1:2" x14ac:dyDescent="0.35">
      <c r="A13" s="65">
        <v>65583.169411279203</v>
      </c>
      <c r="B13">
        <v>1</v>
      </c>
    </row>
    <row r="14" spans="1:2" x14ac:dyDescent="0.35">
      <c r="A14" s="65">
        <v>76447.614313159094</v>
      </c>
      <c r="B14">
        <v>1</v>
      </c>
    </row>
    <row r="15" spans="1:2" x14ac:dyDescent="0.35">
      <c r="A15" s="65">
        <v>76478.114313159094</v>
      </c>
      <c r="B15">
        <v>0.55168083056974104</v>
      </c>
    </row>
    <row r="16" spans="1:2" x14ac:dyDescent="0.35">
      <c r="A16" s="65">
        <v>76508.614313159094</v>
      </c>
      <c r="B16">
        <v>1</v>
      </c>
    </row>
    <row r="17" spans="1:2" x14ac:dyDescent="0.35">
      <c r="A17" s="65">
        <v>87373.059215039</v>
      </c>
      <c r="B17">
        <v>1</v>
      </c>
    </row>
    <row r="18" spans="1:2" x14ac:dyDescent="0.35">
      <c r="A18" s="65">
        <v>87403.559215039</v>
      </c>
      <c r="B18">
        <v>1.44831916943025</v>
      </c>
    </row>
    <row r="19" spans="1:2" x14ac:dyDescent="0.35">
      <c r="A19" s="65">
        <v>87434.059215039</v>
      </c>
      <c r="B19">
        <v>1</v>
      </c>
    </row>
    <row r="20" spans="1:2" x14ac:dyDescent="0.35">
      <c r="A20" s="65">
        <v>109223.949018798</v>
      </c>
      <c r="B20">
        <v>1</v>
      </c>
    </row>
    <row r="21" spans="1:2" x14ac:dyDescent="0.35">
      <c r="A21" s="65">
        <v>109254.449018798</v>
      </c>
      <c r="B21">
        <v>1.44831916943025</v>
      </c>
    </row>
    <row r="22" spans="1:2" x14ac:dyDescent="0.35">
      <c r="A22" s="65">
        <v>109284.949018798</v>
      </c>
      <c r="B22">
        <v>1</v>
      </c>
    </row>
    <row r="23" spans="1:2" x14ac:dyDescent="0.35">
      <c r="A23" s="65">
        <v>114686.67146973799</v>
      </c>
      <c r="B23">
        <v>1</v>
      </c>
    </row>
    <row r="24" spans="1:2" x14ac:dyDescent="0.35">
      <c r="A24" s="65">
        <v>114717.17146973799</v>
      </c>
      <c r="B24">
        <v>0.55168083056974104</v>
      </c>
    </row>
    <row r="25" spans="1:2" x14ac:dyDescent="0.35">
      <c r="A25" s="65">
        <v>114747.67146973799</v>
      </c>
      <c r="B25">
        <v>1</v>
      </c>
    </row>
    <row r="26" spans="1:2" x14ac:dyDescent="0.35">
      <c r="A26" s="65">
        <v>131074.838822558</v>
      </c>
      <c r="B26">
        <v>1</v>
      </c>
    </row>
    <row r="27" spans="1:2" x14ac:dyDescent="0.35">
      <c r="A27" s="65">
        <v>131105.338822558</v>
      </c>
      <c r="B27">
        <v>1.44831916943025</v>
      </c>
    </row>
    <row r="28" spans="1:2" x14ac:dyDescent="0.35">
      <c r="A28" s="65">
        <v>131135.838822558</v>
      </c>
      <c r="B28">
        <v>1</v>
      </c>
    </row>
    <row r="29" spans="1:2" x14ac:dyDescent="0.35">
      <c r="A29" s="65">
        <v>152925.72862631801</v>
      </c>
      <c r="B29">
        <v>1</v>
      </c>
    </row>
    <row r="30" spans="1:2" x14ac:dyDescent="0.35">
      <c r="A30" s="65">
        <v>152925.72862631801</v>
      </c>
      <c r="B30">
        <v>1</v>
      </c>
    </row>
    <row r="31" spans="1:2" x14ac:dyDescent="0.35">
      <c r="A31" s="65">
        <v>152956.22862631801</v>
      </c>
      <c r="B31">
        <v>1.44831916943025</v>
      </c>
    </row>
    <row r="32" spans="1:2" x14ac:dyDescent="0.35">
      <c r="A32" s="65">
        <v>152956.22862631801</v>
      </c>
      <c r="B32">
        <v>0.55168083056974104</v>
      </c>
    </row>
    <row r="33" spans="1:2" x14ac:dyDescent="0.35">
      <c r="A33" s="65">
        <v>152986.72862631801</v>
      </c>
      <c r="B33">
        <v>1</v>
      </c>
    </row>
    <row r="34" spans="1:2" x14ac:dyDescent="0.35">
      <c r="A34" s="65">
        <v>152986.72862631801</v>
      </c>
      <c r="B34">
        <v>1</v>
      </c>
    </row>
    <row r="35" spans="1:2" x14ac:dyDescent="0.35">
      <c r="A35" s="65">
        <v>174776.618430078</v>
      </c>
      <c r="B35">
        <v>1</v>
      </c>
    </row>
    <row r="36" spans="1:2" x14ac:dyDescent="0.35">
      <c r="A36" s="65">
        <v>174807.118430078</v>
      </c>
      <c r="B36">
        <v>1.44831916943025</v>
      </c>
    </row>
    <row r="37" spans="1:2" x14ac:dyDescent="0.35">
      <c r="A37" s="65">
        <v>174837.618430078</v>
      </c>
      <c r="B37">
        <v>1</v>
      </c>
    </row>
    <row r="38" spans="1:2" x14ac:dyDescent="0.35">
      <c r="A38" s="65">
        <v>191164.785782897</v>
      </c>
      <c r="B38">
        <v>1</v>
      </c>
    </row>
    <row r="39" spans="1:2" x14ac:dyDescent="0.35">
      <c r="A39" s="65">
        <v>191195.285782897</v>
      </c>
      <c r="B39">
        <v>0.55168083056974104</v>
      </c>
    </row>
    <row r="40" spans="1:2" x14ac:dyDescent="0.35">
      <c r="A40" s="65">
        <v>191225.785782897</v>
      </c>
      <c r="B40">
        <v>1</v>
      </c>
    </row>
    <row r="41" spans="1:2" x14ac:dyDescent="0.35">
      <c r="A41" s="65">
        <v>196627.508233837</v>
      </c>
      <c r="B41">
        <v>1</v>
      </c>
    </row>
    <row r="42" spans="1:2" x14ac:dyDescent="0.35">
      <c r="A42" s="65">
        <v>196658.008233837</v>
      </c>
      <c r="B42">
        <v>1.44831916943025</v>
      </c>
    </row>
    <row r="43" spans="1:2" x14ac:dyDescent="0.35">
      <c r="A43" s="65">
        <v>196688.508233837</v>
      </c>
      <c r="B43">
        <v>1</v>
      </c>
    </row>
    <row r="44" spans="1:2" x14ac:dyDescent="0.35">
      <c r="A44" s="65">
        <v>218478.39803759701</v>
      </c>
      <c r="B44">
        <v>1</v>
      </c>
    </row>
    <row r="45" spans="1:2" x14ac:dyDescent="0.35">
      <c r="A45" s="65">
        <v>218508.89803759701</v>
      </c>
      <c r="B45">
        <v>1.44831916943025</v>
      </c>
    </row>
    <row r="46" spans="1:2" x14ac:dyDescent="0.35">
      <c r="A46" s="65">
        <v>218539.39803759701</v>
      </c>
      <c r="B46">
        <v>1</v>
      </c>
    </row>
    <row r="47" spans="1:2" x14ac:dyDescent="0.35">
      <c r="A47" s="65">
        <v>229403.84293947701</v>
      </c>
      <c r="B47">
        <v>1</v>
      </c>
    </row>
    <row r="48" spans="1:2" x14ac:dyDescent="0.35">
      <c r="A48" s="65">
        <v>229434.34293947701</v>
      </c>
      <c r="B48">
        <v>0.55168083056974104</v>
      </c>
    </row>
    <row r="49" spans="1:2" x14ac:dyDescent="0.35">
      <c r="A49" s="65">
        <v>229464.84293947701</v>
      </c>
      <c r="B49">
        <v>1</v>
      </c>
    </row>
    <row r="50" spans="1:2" x14ac:dyDescent="0.35">
      <c r="A50" s="65">
        <v>240329.287841357</v>
      </c>
      <c r="B50">
        <v>1</v>
      </c>
    </row>
    <row r="51" spans="1:2" x14ac:dyDescent="0.35">
      <c r="A51" s="65">
        <v>240359.787841357</v>
      </c>
      <c r="B51">
        <v>1.44831916943025</v>
      </c>
    </row>
    <row r="52" spans="1:2" x14ac:dyDescent="0.35">
      <c r="A52" s="65">
        <v>240390.287841357</v>
      </c>
      <c r="B52">
        <v>1</v>
      </c>
    </row>
    <row r="53" spans="1:2" x14ac:dyDescent="0.35">
      <c r="A53" s="65">
        <v>262180.17764511699</v>
      </c>
      <c r="B53">
        <v>1</v>
      </c>
    </row>
    <row r="54" spans="1:2" x14ac:dyDescent="0.35">
      <c r="A54" s="65">
        <v>262210.67764511699</v>
      </c>
      <c r="B54">
        <v>1.44831916943025</v>
      </c>
    </row>
    <row r="55" spans="1:2" x14ac:dyDescent="0.35">
      <c r="A55" s="65">
        <v>262241.17764511699</v>
      </c>
      <c r="B55">
        <v>1</v>
      </c>
    </row>
    <row r="56" spans="1:2" x14ac:dyDescent="0.35">
      <c r="A56" s="65">
        <v>267642.90009605698</v>
      </c>
      <c r="B56">
        <v>1</v>
      </c>
    </row>
    <row r="57" spans="1:2" x14ac:dyDescent="0.35">
      <c r="A57" s="65">
        <v>267673.40009605698</v>
      </c>
      <c r="B57">
        <v>0.55168083056974104</v>
      </c>
    </row>
    <row r="58" spans="1:2" x14ac:dyDescent="0.35">
      <c r="A58" s="65">
        <v>267703.90009605698</v>
      </c>
      <c r="B58">
        <v>1</v>
      </c>
    </row>
    <row r="59" spans="1:2" x14ac:dyDescent="0.35">
      <c r="A59" s="65">
        <v>284031.06744887598</v>
      </c>
      <c r="B59">
        <v>1</v>
      </c>
    </row>
    <row r="60" spans="1:2" x14ac:dyDescent="0.35">
      <c r="A60" s="65">
        <v>284061.56744887598</v>
      </c>
      <c r="B60">
        <v>1.44831916943025</v>
      </c>
    </row>
    <row r="61" spans="1:2" x14ac:dyDescent="0.35">
      <c r="A61" s="65">
        <v>284092.06744887598</v>
      </c>
      <c r="B61">
        <v>1</v>
      </c>
    </row>
    <row r="62" spans="1:2" x14ac:dyDescent="0.35">
      <c r="A62" s="65">
        <v>305881.95725263603</v>
      </c>
      <c r="B62">
        <v>1</v>
      </c>
    </row>
    <row r="63" spans="1:2" x14ac:dyDescent="0.35">
      <c r="A63" s="65">
        <v>305881.95725263603</v>
      </c>
      <c r="B63">
        <v>1</v>
      </c>
    </row>
    <row r="64" spans="1:2" x14ac:dyDescent="0.35">
      <c r="A64" s="65">
        <v>305912.45725263603</v>
      </c>
      <c r="B64">
        <v>1.44831916943025</v>
      </c>
    </row>
    <row r="65" spans="1:2" x14ac:dyDescent="0.35">
      <c r="A65" s="65">
        <v>305912.45725263603</v>
      </c>
      <c r="B65">
        <v>0.55168083056974104</v>
      </c>
    </row>
    <row r="66" spans="1:2" x14ac:dyDescent="0.35">
      <c r="A66" s="65">
        <v>305942.95725263603</v>
      </c>
      <c r="B66">
        <v>1</v>
      </c>
    </row>
    <row r="67" spans="1:2" x14ac:dyDescent="0.35">
      <c r="A67" s="65">
        <v>305942.95725263603</v>
      </c>
      <c r="B67">
        <v>1</v>
      </c>
    </row>
    <row r="68" spans="1:2" x14ac:dyDescent="0.35">
      <c r="A68" s="65">
        <v>327732.84705639601</v>
      </c>
      <c r="B68">
        <v>1</v>
      </c>
    </row>
    <row r="69" spans="1:2" x14ac:dyDescent="0.35">
      <c r="A69" s="65">
        <v>327763.34705639601</v>
      </c>
      <c r="B69">
        <v>1.44831916943025</v>
      </c>
    </row>
    <row r="70" spans="1:2" x14ac:dyDescent="0.35">
      <c r="A70" s="65">
        <v>327793.84705639601</v>
      </c>
      <c r="B70">
        <v>1</v>
      </c>
    </row>
    <row r="71" spans="1:2" x14ac:dyDescent="0.35">
      <c r="A71" s="65">
        <v>344121.014409216</v>
      </c>
      <c r="B71">
        <v>1</v>
      </c>
    </row>
    <row r="72" spans="1:2" x14ac:dyDescent="0.35">
      <c r="A72" s="65">
        <v>344151.514409216</v>
      </c>
      <c r="B72">
        <v>0.55168083056974104</v>
      </c>
    </row>
    <row r="73" spans="1:2" x14ac:dyDescent="0.35">
      <c r="A73" s="65">
        <v>344182.014409216</v>
      </c>
      <c r="B73">
        <v>1</v>
      </c>
    </row>
    <row r="74" spans="1:2" x14ac:dyDescent="0.35">
      <c r="A74" s="65">
        <v>349583.736860156</v>
      </c>
      <c r="B74">
        <v>1</v>
      </c>
    </row>
    <row r="75" spans="1:2" x14ac:dyDescent="0.35">
      <c r="A75" s="65">
        <v>349614.236860156</v>
      </c>
      <c r="B75">
        <v>1.44831916943025</v>
      </c>
    </row>
    <row r="76" spans="1:2" x14ac:dyDescent="0.35">
      <c r="A76" s="65">
        <v>349644.736860156</v>
      </c>
      <c r="B76">
        <v>1</v>
      </c>
    </row>
    <row r="77" spans="1:2" x14ac:dyDescent="0.35">
      <c r="A77" s="65">
        <v>371434.62666391599</v>
      </c>
      <c r="B77">
        <v>1</v>
      </c>
    </row>
    <row r="78" spans="1:2" x14ac:dyDescent="0.35">
      <c r="A78" s="65">
        <v>371465.12666391599</v>
      </c>
      <c r="B78">
        <v>1.44831916943025</v>
      </c>
    </row>
    <row r="79" spans="1:2" x14ac:dyDescent="0.35">
      <c r="A79" s="65">
        <v>371495.62666391599</v>
      </c>
      <c r="B79">
        <v>1</v>
      </c>
    </row>
    <row r="80" spans="1:2" x14ac:dyDescent="0.35">
      <c r="A80" s="65">
        <v>382360.07156579499</v>
      </c>
      <c r="B80">
        <v>1</v>
      </c>
    </row>
    <row r="81" spans="1:2" x14ac:dyDescent="0.35">
      <c r="A81" s="65">
        <v>382390.57156579499</v>
      </c>
      <c r="B81">
        <v>0.55168083056974104</v>
      </c>
    </row>
    <row r="82" spans="1:2" x14ac:dyDescent="0.35">
      <c r="A82" s="65">
        <v>382421.07156579499</v>
      </c>
      <c r="B82">
        <v>1</v>
      </c>
    </row>
    <row r="83" spans="1:2" x14ac:dyDescent="0.35">
      <c r="A83" s="65">
        <v>393285.51646767498</v>
      </c>
      <c r="B83">
        <v>1</v>
      </c>
    </row>
    <row r="84" spans="1:2" x14ac:dyDescent="0.35">
      <c r="A84" s="65">
        <v>393316.01646767498</v>
      </c>
      <c r="B84">
        <v>1.44831916943025</v>
      </c>
    </row>
    <row r="85" spans="1:2" x14ac:dyDescent="0.35">
      <c r="A85" s="65">
        <v>393346.51646767498</v>
      </c>
      <c r="B85">
        <v>1</v>
      </c>
    </row>
    <row r="86" spans="1:2" x14ac:dyDescent="0.35">
      <c r="A86" s="65">
        <v>415136.40627143497</v>
      </c>
      <c r="B86">
        <v>1</v>
      </c>
    </row>
    <row r="87" spans="1:2" x14ac:dyDescent="0.35">
      <c r="A87" s="65">
        <v>415166.90627143497</v>
      </c>
      <c r="B87">
        <v>1.44831916943025</v>
      </c>
    </row>
    <row r="88" spans="1:2" x14ac:dyDescent="0.35">
      <c r="A88" s="65">
        <v>415197.40627143497</v>
      </c>
      <c r="B88">
        <v>1</v>
      </c>
    </row>
    <row r="89" spans="1:2" x14ac:dyDescent="0.35">
      <c r="A89" s="65">
        <v>420599.12872237503</v>
      </c>
      <c r="B89">
        <v>1</v>
      </c>
    </row>
    <row r="90" spans="1:2" x14ac:dyDescent="0.35">
      <c r="A90" s="65">
        <v>420629.62872237503</v>
      </c>
      <c r="B90">
        <v>0.55168083056974104</v>
      </c>
    </row>
    <row r="91" spans="1:2" x14ac:dyDescent="0.35">
      <c r="A91" s="65">
        <v>420660.12872237503</v>
      </c>
      <c r="B91">
        <v>1</v>
      </c>
    </row>
    <row r="92" spans="1:2" x14ac:dyDescent="0.35">
      <c r="A92" s="65">
        <v>436987.29607519502</v>
      </c>
      <c r="B92">
        <v>1</v>
      </c>
    </row>
    <row r="93" spans="1:2" x14ac:dyDescent="0.35">
      <c r="A93" s="65">
        <v>437017.79607519502</v>
      </c>
      <c r="B93">
        <v>1.44831916943025</v>
      </c>
    </row>
    <row r="94" spans="1:2" x14ac:dyDescent="0.35">
      <c r="A94" s="65">
        <v>437048.29607519502</v>
      </c>
      <c r="B94">
        <v>1</v>
      </c>
    </row>
    <row r="95" spans="1:2" x14ac:dyDescent="0.35">
      <c r="A95" s="65">
        <v>458838.185878955</v>
      </c>
      <c r="B95">
        <v>1</v>
      </c>
    </row>
    <row r="96" spans="1:2" x14ac:dyDescent="0.35">
      <c r="A96" s="65">
        <v>458838.185878955</v>
      </c>
      <c r="B96">
        <v>1</v>
      </c>
    </row>
    <row r="97" spans="1:2" x14ac:dyDescent="0.35">
      <c r="A97" s="65">
        <v>458868.685878955</v>
      </c>
      <c r="B97">
        <v>0.55168083056974104</v>
      </c>
    </row>
    <row r="98" spans="1:2" x14ac:dyDescent="0.35">
      <c r="A98" s="65">
        <v>458868.685878955</v>
      </c>
      <c r="B98">
        <v>1.44831916943025</v>
      </c>
    </row>
    <row r="99" spans="1:2" x14ac:dyDescent="0.35">
      <c r="A99" s="65">
        <v>458899.185878955</v>
      </c>
      <c r="B99">
        <v>1</v>
      </c>
    </row>
    <row r="100" spans="1:2" x14ac:dyDescent="0.35">
      <c r="A100" s="65">
        <v>458899.185878955</v>
      </c>
      <c r="B100">
        <v>1</v>
      </c>
    </row>
    <row r="101" spans="1:2" x14ac:dyDescent="0.35">
      <c r="A101" s="65">
        <v>480689.075682714</v>
      </c>
      <c r="B101">
        <v>1</v>
      </c>
    </row>
    <row r="102" spans="1:2" x14ac:dyDescent="0.35">
      <c r="A102" s="65">
        <v>480719.575682714</v>
      </c>
      <c r="B102">
        <v>1.44831916943025</v>
      </c>
    </row>
    <row r="103" spans="1:2" x14ac:dyDescent="0.35">
      <c r="A103" s="65">
        <v>480750.075682714</v>
      </c>
      <c r="B103">
        <v>1</v>
      </c>
    </row>
    <row r="104" spans="1:2" x14ac:dyDescent="0.35">
      <c r="A104" s="65">
        <v>497077.24303553399</v>
      </c>
      <c r="B104">
        <v>1</v>
      </c>
    </row>
    <row r="105" spans="1:2" x14ac:dyDescent="0.35">
      <c r="A105" s="65">
        <v>497107.74303553399</v>
      </c>
      <c r="B105">
        <v>0.55168083056974104</v>
      </c>
    </row>
    <row r="106" spans="1:2" x14ac:dyDescent="0.35">
      <c r="A106" s="65">
        <v>497138.24303553399</v>
      </c>
      <c r="B106">
        <v>1</v>
      </c>
    </row>
    <row r="107" spans="1:2" x14ac:dyDescent="0.35">
      <c r="A107" s="65">
        <v>502539.96548647399</v>
      </c>
      <c r="B107">
        <v>1</v>
      </c>
    </row>
    <row r="108" spans="1:2" x14ac:dyDescent="0.35">
      <c r="A108" s="65">
        <v>502570.46548647399</v>
      </c>
      <c r="B108">
        <v>1.44831916943025</v>
      </c>
    </row>
    <row r="109" spans="1:2" x14ac:dyDescent="0.35">
      <c r="A109" s="65">
        <v>502600.96548647399</v>
      </c>
      <c r="B109">
        <v>1</v>
      </c>
    </row>
    <row r="110" spans="1:2" x14ac:dyDescent="0.35">
      <c r="A110" s="65">
        <v>524390.85529023397</v>
      </c>
      <c r="B110">
        <v>1</v>
      </c>
    </row>
    <row r="111" spans="1:2" x14ac:dyDescent="0.35">
      <c r="A111" s="65">
        <v>524421.35529023397</v>
      </c>
      <c r="B111">
        <v>1.44831916943025</v>
      </c>
    </row>
    <row r="112" spans="1:2" x14ac:dyDescent="0.35">
      <c r="A112" s="65">
        <v>524451.85529023397</v>
      </c>
      <c r="B112">
        <v>1</v>
      </c>
    </row>
    <row r="113" spans="1:2" x14ac:dyDescent="0.35">
      <c r="A113" s="65">
        <v>535316.30019211397</v>
      </c>
      <c r="B113">
        <v>1</v>
      </c>
    </row>
    <row r="114" spans="1:2" x14ac:dyDescent="0.35">
      <c r="A114" s="65">
        <v>535346.80019211397</v>
      </c>
      <c r="B114">
        <v>0.55168083056974104</v>
      </c>
    </row>
    <row r="115" spans="1:2" x14ac:dyDescent="0.35">
      <c r="A115" s="65">
        <v>535377.30019211397</v>
      </c>
      <c r="B115">
        <v>1</v>
      </c>
    </row>
    <row r="116" spans="1:2" x14ac:dyDescent="0.35">
      <c r="A116" s="65">
        <v>546241.74509399396</v>
      </c>
      <c r="B116">
        <v>1</v>
      </c>
    </row>
    <row r="117" spans="1:2" x14ac:dyDescent="0.35">
      <c r="A117" s="65">
        <v>546272.24509399396</v>
      </c>
      <c r="B117">
        <v>1.44831916943025</v>
      </c>
    </row>
    <row r="118" spans="1:2" x14ac:dyDescent="0.35">
      <c r="A118" s="65">
        <v>546302.74509399396</v>
      </c>
      <c r="B118">
        <v>1</v>
      </c>
    </row>
    <row r="119" spans="1:2" x14ac:dyDescent="0.35">
      <c r="A119" s="65">
        <v>568092.63489775301</v>
      </c>
      <c r="B119">
        <v>1</v>
      </c>
    </row>
    <row r="120" spans="1:2" x14ac:dyDescent="0.35">
      <c r="A120" s="65">
        <v>568123.13489775301</v>
      </c>
      <c r="B120">
        <v>1.44831916943025</v>
      </c>
    </row>
    <row r="121" spans="1:2" x14ac:dyDescent="0.35">
      <c r="A121" s="65">
        <v>568153.63489775301</v>
      </c>
      <c r="B121">
        <v>1</v>
      </c>
    </row>
    <row r="122" spans="1:2" x14ac:dyDescent="0.35">
      <c r="A122" s="65">
        <v>573555.35734869295</v>
      </c>
      <c r="B122">
        <v>1</v>
      </c>
    </row>
    <row r="123" spans="1:2" x14ac:dyDescent="0.35">
      <c r="A123" s="65">
        <v>573585.85734869295</v>
      </c>
      <c r="B123">
        <v>0.55168083056974104</v>
      </c>
    </row>
    <row r="124" spans="1:2" x14ac:dyDescent="0.35">
      <c r="A124" s="65">
        <v>573616.35734869295</v>
      </c>
      <c r="B124">
        <v>1</v>
      </c>
    </row>
    <row r="125" spans="1:2" x14ac:dyDescent="0.35">
      <c r="A125" s="65">
        <v>589943.524701513</v>
      </c>
      <c r="B125">
        <v>1</v>
      </c>
    </row>
    <row r="126" spans="1:2" x14ac:dyDescent="0.35">
      <c r="A126" s="65">
        <v>589974.024701513</v>
      </c>
      <c r="B126">
        <v>1.44831916943025</v>
      </c>
    </row>
    <row r="127" spans="1:2" x14ac:dyDescent="0.35">
      <c r="A127" s="65">
        <v>590004.524701513</v>
      </c>
      <c r="B127">
        <v>1</v>
      </c>
    </row>
    <row r="128" spans="1:2" x14ac:dyDescent="0.35">
      <c r="A128" s="65">
        <v>611794.41450527299</v>
      </c>
      <c r="B128">
        <v>1</v>
      </c>
    </row>
    <row r="129" spans="1:2" x14ac:dyDescent="0.35">
      <c r="A129" s="65">
        <v>611794.41450527299</v>
      </c>
      <c r="B129">
        <v>1</v>
      </c>
    </row>
    <row r="130" spans="1:2" x14ac:dyDescent="0.35">
      <c r="A130" s="65">
        <v>611824.91450527299</v>
      </c>
      <c r="B130">
        <v>1.44831916943025</v>
      </c>
    </row>
    <row r="131" spans="1:2" x14ac:dyDescent="0.35">
      <c r="A131" s="65">
        <v>611824.91450527299</v>
      </c>
      <c r="B131">
        <v>0.55168083056974104</v>
      </c>
    </row>
    <row r="132" spans="1:2" x14ac:dyDescent="0.35">
      <c r="A132" s="65">
        <v>611855.41450527299</v>
      </c>
      <c r="B132">
        <v>1</v>
      </c>
    </row>
    <row r="133" spans="1:2" x14ac:dyDescent="0.35">
      <c r="A133" s="65">
        <v>611855.41450527299</v>
      </c>
      <c r="B133">
        <v>1</v>
      </c>
    </row>
    <row r="134" spans="1:2" x14ac:dyDescent="0.35">
      <c r="A134" s="65">
        <v>633645.30430903297</v>
      </c>
      <c r="B134">
        <v>1</v>
      </c>
    </row>
    <row r="135" spans="1:2" x14ac:dyDescent="0.35">
      <c r="A135" s="65">
        <v>633675.80430903297</v>
      </c>
      <c r="B135">
        <v>1.44831916943025</v>
      </c>
    </row>
    <row r="136" spans="1:2" x14ac:dyDescent="0.35">
      <c r="A136" s="65">
        <v>633706.30430903297</v>
      </c>
      <c r="B136">
        <v>1</v>
      </c>
    </row>
    <row r="137" spans="1:2" x14ac:dyDescent="0.35">
      <c r="A137" s="65">
        <v>650033.47166185197</v>
      </c>
      <c r="B137">
        <v>1</v>
      </c>
    </row>
    <row r="138" spans="1:2" x14ac:dyDescent="0.35">
      <c r="A138" s="65">
        <v>650063.97166185197</v>
      </c>
      <c r="B138">
        <v>0.55168083056974104</v>
      </c>
    </row>
    <row r="139" spans="1:2" x14ac:dyDescent="0.35">
      <c r="A139" s="65">
        <v>650094.47166185197</v>
      </c>
      <c r="B139">
        <v>1</v>
      </c>
    </row>
    <row r="140" spans="1:2" x14ac:dyDescent="0.35">
      <c r="A140" s="65">
        <v>655496.19411279296</v>
      </c>
      <c r="B140">
        <v>1</v>
      </c>
    </row>
    <row r="141" spans="1:2" x14ac:dyDescent="0.35">
      <c r="A141" s="65">
        <v>655526.69411279296</v>
      </c>
      <c r="B141">
        <v>1.44831916943025</v>
      </c>
    </row>
    <row r="142" spans="1:2" x14ac:dyDescent="0.35">
      <c r="A142" s="65">
        <v>655557.19411279296</v>
      </c>
      <c r="B142">
        <v>1</v>
      </c>
    </row>
    <row r="143" spans="1:2" x14ac:dyDescent="0.35">
      <c r="A143" s="65">
        <v>677347.08391655202</v>
      </c>
      <c r="B143">
        <v>1</v>
      </c>
    </row>
    <row r="144" spans="1:2" x14ac:dyDescent="0.35">
      <c r="A144" s="65">
        <v>677377.58391655202</v>
      </c>
      <c r="B144">
        <v>1.44831916943025</v>
      </c>
    </row>
    <row r="145" spans="1:2" x14ac:dyDescent="0.35">
      <c r="A145" s="65">
        <v>677408.08391655202</v>
      </c>
      <c r="B145">
        <v>1</v>
      </c>
    </row>
    <row r="146" spans="1:2" x14ac:dyDescent="0.35">
      <c r="A146" s="65">
        <v>688272.52881843201</v>
      </c>
      <c r="B146">
        <v>1</v>
      </c>
    </row>
    <row r="147" spans="1:2" x14ac:dyDescent="0.35">
      <c r="A147" s="65">
        <v>688303.02881843201</v>
      </c>
      <c r="B147">
        <v>0.55168083056974104</v>
      </c>
    </row>
    <row r="148" spans="1:2" x14ac:dyDescent="0.35">
      <c r="A148" s="65">
        <v>688333.52881843201</v>
      </c>
      <c r="B148">
        <v>1</v>
      </c>
    </row>
    <row r="149" spans="1:2" x14ac:dyDescent="0.35">
      <c r="A149" s="65">
        <v>699197.973720312</v>
      </c>
      <c r="B149">
        <v>1</v>
      </c>
    </row>
    <row r="150" spans="1:2" x14ac:dyDescent="0.35">
      <c r="A150" s="65">
        <v>699228.473720312</v>
      </c>
      <c r="B150">
        <v>1.44831916943025</v>
      </c>
    </row>
    <row r="151" spans="1:2" x14ac:dyDescent="0.35">
      <c r="A151" s="65">
        <v>699258.973720312</v>
      </c>
      <c r="B151">
        <v>1</v>
      </c>
    </row>
    <row r="152" spans="1:2" x14ac:dyDescent="0.35">
      <c r="A152" s="65">
        <v>721048.86352407199</v>
      </c>
      <c r="B152">
        <v>1</v>
      </c>
    </row>
    <row r="153" spans="1:2" x14ac:dyDescent="0.35">
      <c r="A153" s="65">
        <v>721079.36352407199</v>
      </c>
      <c r="B153">
        <v>1.44831916943025</v>
      </c>
    </row>
    <row r="154" spans="1:2" x14ac:dyDescent="0.35">
      <c r="A154" s="65">
        <v>721109.86352407199</v>
      </c>
      <c r="B154">
        <v>1</v>
      </c>
    </row>
    <row r="155" spans="1:2" x14ac:dyDescent="0.35">
      <c r="A155" s="65">
        <v>726511.58597501204</v>
      </c>
      <c r="B155">
        <v>1</v>
      </c>
    </row>
    <row r="156" spans="1:2" x14ac:dyDescent="0.35">
      <c r="A156" s="65">
        <v>726542.08597501204</v>
      </c>
      <c r="B156">
        <v>0.55168083056974104</v>
      </c>
    </row>
    <row r="157" spans="1:2" x14ac:dyDescent="0.35">
      <c r="A157" s="65">
        <v>726572.58597501204</v>
      </c>
      <c r="B157">
        <v>1</v>
      </c>
    </row>
    <row r="158" spans="1:2" x14ac:dyDescent="0.35">
      <c r="A158" s="65">
        <v>742899.75332783198</v>
      </c>
      <c r="B158">
        <v>1</v>
      </c>
    </row>
    <row r="159" spans="1:2" x14ac:dyDescent="0.35">
      <c r="A159" s="65">
        <v>742930.25332783198</v>
      </c>
      <c r="B159">
        <v>1.44831916943025</v>
      </c>
    </row>
    <row r="160" spans="1:2" x14ac:dyDescent="0.35">
      <c r="A160" s="65">
        <v>742960.75332783198</v>
      </c>
      <c r="B160">
        <v>1</v>
      </c>
    </row>
    <row r="161" spans="1:2" x14ac:dyDescent="0.35">
      <c r="A161" s="65">
        <v>764750.64313159103</v>
      </c>
      <c r="B161">
        <v>1</v>
      </c>
    </row>
    <row r="162" spans="1:2" x14ac:dyDescent="0.35">
      <c r="A162" s="65">
        <v>764750.64313159103</v>
      </c>
      <c r="B162">
        <v>1</v>
      </c>
    </row>
    <row r="163" spans="1:2" x14ac:dyDescent="0.35">
      <c r="A163" s="65">
        <v>764781.14313159103</v>
      </c>
      <c r="B163">
        <v>1.44831916943025</v>
      </c>
    </row>
    <row r="164" spans="1:2" x14ac:dyDescent="0.35">
      <c r="A164" s="65">
        <v>764781.14313159103</v>
      </c>
      <c r="B164">
        <v>0.55168083056974104</v>
      </c>
    </row>
    <row r="165" spans="1:2" x14ac:dyDescent="0.35">
      <c r="A165" s="65">
        <v>764811.64313159103</v>
      </c>
      <c r="B165">
        <v>1</v>
      </c>
    </row>
    <row r="166" spans="1:2" x14ac:dyDescent="0.35">
      <c r="A166" s="65">
        <v>764811.64313159103</v>
      </c>
      <c r="B166">
        <v>1</v>
      </c>
    </row>
    <row r="167" spans="1:2" x14ac:dyDescent="0.35">
      <c r="A167" s="65">
        <v>786601.53293535102</v>
      </c>
      <c r="B167">
        <v>1</v>
      </c>
    </row>
    <row r="168" spans="1:2" x14ac:dyDescent="0.35">
      <c r="A168" s="65">
        <v>786632.03293535102</v>
      </c>
      <c r="B168">
        <v>1.44831916943025</v>
      </c>
    </row>
    <row r="169" spans="1:2" x14ac:dyDescent="0.35">
      <c r="A169" s="65">
        <v>786662.53293535102</v>
      </c>
      <c r="B169">
        <v>1</v>
      </c>
    </row>
    <row r="170" spans="1:2" x14ac:dyDescent="0.35">
      <c r="A170" s="65">
        <v>802989.70028817095</v>
      </c>
      <c r="B170">
        <v>1</v>
      </c>
    </row>
    <row r="171" spans="1:2" x14ac:dyDescent="0.35">
      <c r="A171" s="65">
        <v>803020.20028817095</v>
      </c>
      <c r="B171">
        <v>0.55168083056974104</v>
      </c>
    </row>
    <row r="172" spans="1:2" x14ac:dyDescent="0.35">
      <c r="A172" s="65">
        <v>803050.70028817095</v>
      </c>
      <c r="B172">
        <v>1</v>
      </c>
    </row>
    <row r="173" spans="1:2" x14ac:dyDescent="0.35">
      <c r="A173" s="65">
        <v>808452.422739111</v>
      </c>
      <c r="B173">
        <v>1</v>
      </c>
    </row>
    <row r="174" spans="1:2" x14ac:dyDescent="0.35">
      <c r="A174" s="65">
        <v>808482.922739111</v>
      </c>
      <c r="B174">
        <v>1.44831916943025</v>
      </c>
    </row>
    <row r="175" spans="1:2" x14ac:dyDescent="0.35">
      <c r="A175" s="65">
        <v>808513.422739111</v>
      </c>
      <c r="B175">
        <v>1</v>
      </c>
    </row>
    <row r="176" spans="1:2" x14ac:dyDescent="0.35">
      <c r="A176" s="65">
        <v>830303.31254287099</v>
      </c>
      <c r="B176">
        <v>1</v>
      </c>
    </row>
    <row r="177" spans="1:2" x14ac:dyDescent="0.35">
      <c r="A177" s="65">
        <v>830333.81254287099</v>
      </c>
      <c r="B177">
        <v>1.44831916943025</v>
      </c>
    </row>
    <row r="178" spans="1:2" x14ac:dyDescent="0.35">
      <c r="A178" s="65">
        <v>830364.31254287099</v>
      </c>
      <c r="B178">
        <v>1</v>
      </c>
    </row>
    <row r="179" spans="1:2" x14ac:dyDescent="0.35">
      <c r="A179" s="65">
        <v>841228.75744475005</v>
      </c>
      <c r="B179">
        <v>1</v>
      </c>
    </row>
    <row r="180" spans="1:2" x14ac:dyDescent="0.35">
      <c r="A180" s="65">
        <v>841259.25744475005</v>
      </c>
      <c r="B180">
        <v>0.55168083056974104</v>
      </c>
    </row>
    <row r="181" spans="1:2" x14ac:dyDescent="0.35">
      <c r="A181" s="65">
        <v>841289.75744475005</v>
      </c>
      <c r="B181">
        <v>1</v>
      </c>
    </row>
    <row r="182" spans="1:2" x14ac:dyDescent="0.35">
      <c r="A182" s="65">
        <v>852154.20234663005</v>
      </c>
      <c r="B182">
        <v>1</v>
      </c>
    </row>
    <row r="183" spans="1:2" x14ac:dyDescent="0.35">
      <c r="A183" s="65">
        <v>852184.70234663005</v>
      </c>
      <c r="B183">
        <v>1.44831916943025</v>
      </c>
    </row>
    <row r="184" spans="1:2" x14ac:dyDescent="0.35">
      <c r="A184" s="65">
        <v>852215.20234663005</v>
      </c>
      <c r="B184">
        <v>1</v>
      </c>
    </row>
    <row r="185" spans="1:2" x14ac:dyDescent="0.35">
      <c r="A185" s="65">
        <v>874005.09215039003</v>
      </c>
      <c r="B185">
        <v>1</v>
      </c>
    </row>
    <row r="186" spans="1:2" x14ac:dyDescent="0.35">
      <c r="A186" s="65">
        <v>874035.59215039003</v>
      </c>
      <c r="B186">
        <v>1.44831916943025</v>
      </c>
    </row>
    <row r="187" spans="1:2" x14ac:dyDescent="0.35">
      <c r="A187" s="65">
        <v>874066.09215039003</v>
      </c>
      <c r="B187">
        <v>1</v>
      </c>
    </row>
    <row r="188" spans="1:2" x14ac:dyDescent="0.35">
      <c r="A188" s="65">
        <v>879467.81460132997</v>
      </c>
      <c r="B188">
        <v>1</v>
      </c>
    </row>
    <row r="189" spans="1:2" x14ac:dyDescent="0.35">
      <c r="A189" s="65">
        <v>879498.31460132997</v>
      </c>
      <c r="B189">
        <v>0.55168083056974104</v>
      </c>
    </row>
    <row r="190" spans="1:2" x14ac:dyDescent="0.35">
      <c r="A190" s="65">
        <v>879528.81460132997</v>
      </c>
      <c r="B190">
        <v>1</v>
      </c>
    </row>
    <row r="191" spans="1:2" x14ac:dyDescent="0.35">
      <c r="A191" s="65">
        <v>895855.98195415002</v>
      </c>
      <c r="B191">
        <v>1</v>
      </c>
    </row>
    <row r="192" spans="1:2" x14ac:dyDescent="0.35">
      <c r="A192" s="65">
        <v>895886.48195415002</v>
      </c>
      <c r="B192">
        <v>1.44831916943025</v>
      </c>
    </row>
    <row r="193" spans="1:2" x14ac:dyDescent="0.35">
      <c r="A193" s="65">
        <v>895916.98195415002</v>
      </c>
      <c r="B193">
        <v>1</v>
      </c>
    </row>
    <row r="194" spans="1:2" x14ac:dyDescent="0.35">
      <c r="A194" s="65">
        <v>917706.87175791</v>
      </c>
      <c r="B194">
        <v>1</v>
      </c>
    </row>
    <row r="195" spans="1:2" x14ac:dyDescent="0.35">
      <c r="A195" s="65">
        <v>917706.87175791</v>
      </c>
      <c r="B195">
        <v>1</v>
      </c>
    </row>
    <row r="196" spans="1:2" x14ac:dyDescent="0.35">
      <c r="A196" s="65">
        <v>917737.37175791</v>
      </c>
      <c r="B196">
        <v>0.55168083056974104</v>
      </c>
    </row>
    <row r="197" spans="1:2" x14ac:dyDescent="0.35">
      <c r="A197" s="65">
        <v>917737.37175791</v>
      </c>
      <c r="B197">
        <v>1.44831916943025</v>
      </c>
    </row>
    <row r="198" spans="1:2" x14ac:dyDescent="0.35">
      <c r="A198" s="65">
        <v>917767.87175791</v>
      </c>
      <c r="B198">
        <v>1</v>
      </c>
    </row>
    <row r="199" spans="1:2" x14ac:dyDescent="0.35">
      <c r="A199" s="65">
        <v>917767.87175791</v>
      </c>
      <c r="B199">
        <v>1</v>
      </c>
    </row>
    <row r="200" spans="1:2" x14ac:dyDescent="0.35">
      <c r="A200" s="65">
        <v>939557.76156166894</v>
      </c>
      <c r="B200">
        <v>1</v>
      </c>
    </row>
    <row r="201" spans="1:2" x14ac:dyDescent="0.35">
      <c r="A201" s="65">
        <v>939588.26156166894</v>
      </c>
      <c r="B201">
        <v>1.44831916943025</v>
      </c>
    </row>
    <row r="202" spans="1:2" x14ac:dyDescent="0.35">
      <c r="A202" s="65">
        <v>939618.76156166894</v>
      </c>
      <c r="B202">
        <v>1</v>
      </c>
    </row>
    <row r="203" spans="1:2" x14ac:dyDescent="0.35">
      <c r="A203" s="65">
        <v>955945.92891448899</v>
      </c>
      <c r="B203">
        <v>1</v>
      </c>
    </row>
    <row r="204" spans="1:2" x14ac:dyDescent="0.35">
      <c r="A204" s="65">
        <v>955976.42891448899</v>
      </c>
      <c r="B204">
        <v>0.55168083056974104</v>
      </c>
    </row>
    <row r="205" spans="1:2" x14ac:dyDescent="0.35">
      <c r="A205" s="65">
        <v>956006.92891448899</v>
      </c>
      <c r="B205">
        <v>1</v>
      </c>
    </row>
    <row r="206" spans="1:2" x14ac:dyDescent="0.35">
      <c r="A206" s="65">
        <v>961408.65136542905</v>
      </c>
      <c r="B206">
        <v>1</v>
      </c>
    </row>
    <row r="207" spans="1:2" x14ac:dyDescent="0.35">
      <c r="A207" s="65">
        <v>961439.15136542905</v>
      </c>
      <c r="B207">
        <v>1.44831916943025</v>
      </c>
    </row>
    <row r="208" spans="1:2" x14ac:dyDescent="0.35">
      <c r="A208" s="65">
        <v>961469.65136542905</v>
      </c>
      <c r="B208">
        <v>1</v>
      </c>
    </row>
    <row r="209" spans="1:2" x14ac:dyDescent="0.35">
      <c r="A209" s="65">
        <v>983259.54116918903</v>
      </c>
      <c r="B209">
        <v>1</v>
      </c>
    </row>
    <row r="210" spans="1:2" x14ac:dyDescent="0.35">
      <c r="A210" s="65">
        <v>983290.04116918903</v>
      </c>
      <c r="B210">
        <v>1.44831916943025</v>
      </c>
    </row>
    <row r="211" spans="1:2" x14ac:dyDescent="0.35">
      <c r="A211" s="65">
        <v>983320.54116918903</v>
      </c>
      <c r="B211">
        <v>1</v>
      </c>
    </row>
    <row r="212" spans="1:2" x14ac:dyDescent="0.35">
      <c r="A212" s="65">
        <v>994184.98607106903</v>
      </c>
      <c r="B212">
        <v>1</v>
      </c>
    </row>
    <row r="213" spans="1:2" x14ac:dyDescent="0.35">
      <c r="A213" s="65">
        <v>994215.48607106903</v>
      </c>
      <c r="B213">
        <v>0.55168083056974104</v>
      </c>
    </row>
    <row r="214" spans="1:2" x14ac:dyDescent="0.35">
      <c r="A214" s="65">
        <v>994245.98607106903</v>
      </c>
      <c r="B214">
        <v>1</v>
      </c>
    </row>
    <row r="215" spans="1:2" x14ac:dyDescent="0.35">
      <c r="A215" s="65">
        <v>1005110.4309729401</v>
      </c>
      <c r="B215">
        <v>1</v>
      </c>
    </row>
    <row r="216" spans="1:2" x14ac:dyDescent="0.35">
      <c r="A216" s="65">
        <v>1005140.9309729401</v>
      </c>
      <c r="B216">
        <v>1.44831916943025</v>
      </c>
    </row>
    <row r="217" spans="1:2" x14ac:dyDescent="0.35">
      <c r="A217" s="65">
        <v>1005171.4309729401</v>
      </c>
      <c r="B217">
        <v>1</v>
      </c>
    </row>
    <row r="218" spans="1:2" x14ac:dyDescent="0.35">
      <c r="A218" s="65">
        <v>1032424.04322764</v>
      </c>
      <c r="B218">
        <v>1</v>
      </c>
    </row>
    <row r="219" spans="1:2" x14ac:dyDescent="0.35">
      <c r="A219" s="65">
        <v>1032454.54322764</v>
      </c>
      <c r="B219">
        <v>0.55168083056974104</v>
      </c>
    </row>
    <row r="220" spans="1:2" x14ac:dyDescent="0.35">
      <c r="A220" s="65">
        <v>1032485.04322764</v>
      </c>
      <c r="B220">
        <v>1</v>
      </c>
    </row>
    <row r="221" spans="1:2" x14ac:dyDescent="0.35">
      <c r="A221" s="65">
        <v>1070663.10038422</v>
      </c>
      <c r="B221">
        <v>1</v>
      </c>
    </row>
    <row r="222" spans="1:2" x14ac:dyDescent="0.35">
      <c r="A222" s="65">
        <v>1070693.60038422</v>
      </c>
      <c r="B222">
        <v>0.55168083056974104</v>
      </c>
    </row>
    <row r="223" spans="1:2" x14ac:dyDescent="0.35">
      <c r="A223" s="65">
        <v>1070724.10038422</v>
      </c>
      <c r="B223">
        <v>1</v>
      </c>
    </row>
    <row r="224" spans="1:2" x14ac:dyDescent="0.35">
      <c r="A224" s="65">
        <v>1108902.1575408</v>
      </c>
      <c r="B224">
        <v>1</v>
      </c>
    </row>
    <row r="225" spans="1:2" x14ac:dyDescent="0.35">
      <c r="A225" s="65">
        <v>1108932.6575408</v>
      </c>
      <c r="B225">
        <v>0.55168083056974104</v>
      </c>
    </row>
    <row r="226" spans="1:2" x14ac:dyDescent="0.35">
      <c r="A226" s="65">
        <v>1108963.1575408</v>
      </c>
      <c r="B226">
        <v>1</v>
      </c>
    </row>
    <row r="227" spans="1:2" x14ac:dyDescent="0.35">
      <c r="A227" s="65">
        <v>1147141.2146973801</v>
      </c>
      <c r="B227">
        <v>1</v>
      </c>
    </row>
    <row r="228" spans="1:2" x14ac:dyDescent="0.35">
      <c r="A228" s="65">
        <v>1147171.7146973801</v>
      </c>
      <c r="B228">
        <v>0.55168083056974104</v>
      </c>
    </row>
    <row r="229" spans="1:2" x14ac:dyDescent="0.35">
      <c r="A229" s="65">
        <v>1147202.2146973801</v>
      </c>
      <c r="B229">
        <v>1</v>
      </c>
    </row>
    <row r="230" spans="1:2" x14ac:dyDescent="0.35">
      <c r="A230" s="65">
        <v>1185380.2718539599</v>
      </c>
      <c r="B230">
        <v>1</v>
      </c>
    </row>
    <row r="231" spans="1:2" x14ac:dyDescent="0.35">
      <c r="A231" s="65">
        <v>1185410.7718539599</v>
      </c>
      <c r="B231">
        <v>0.55168083056974104</v>
      </c>
    </row>
    <row r="232" spans="1:2" x14ac:dyDescent="0.35">
      <c r="A232" s="65">
        <v>1185441.2718539599</v>
      </c>
      <c r="B232">
        <v>1</v>
      </c>
    </row>
    <row r="233" spans="1:2" x14ac:dyDescent="0.35">
      <c r="A233" s="65">
        <v>1223619.3290105399</v>
      </c>
      <c r="B233">
        <v>1</v>
      </c>
    </row>
    <row r="234" spans="1:2" x14ac:dyDescent="0.35">
      <c r="A234" s="65">
        <v>1223649.8290105399</v>
      </c>
      <c r="B234">
        <v>0.55168083056974104</v>
      </c>
    </row>
    <row r="235" spans="1:2" x14ac:dyDescent="0.35">
      <c r="A235" s="65">
        <v>1223680.3290105399</v>
      </c>
      <c r="B235">
        <v>1</v>
      </c>
    </row>
    <row r="236" spans="1:2" x14ac:dyDescent="0.35">
      <c r="A236" s="65">
        <v>1261858.38616712</v>
      </c>
      <c r="B236">
        <v>1</v>
      </c>
    </row>
    <row r="237" spans="1:2" x14ac:dyDescent="0.35">
      <c r="A237" s="65">
        <v>1261888.88616712</v>
      </c>
      <c r="B237">
        <v>0.55168083056974104</v>
      </c>
    </row>
    <row r="238" spans="1:2" x14ac:dyDescent="0.35">
      <c r="A238" s="65">
        <v>1261919.38616712</v>
      </c>
      <c r="B238">
        <v>1</v>
      </c>
    </row>
    <row r="239" spans="1:2" x14ac:dyDescent="0.35">
      <c r="A239" s="65">
        <v>1300097.4433237</v>
      </c>
      <c r="B239">
        <v>1</v>
      </c>
    </row>
    <row r="240" spans="1:2" x14ac:dyDescent="0.35">
      <c r="A240" s="65">
        <v>1300127.9433237</v>
      </c>
      <c r="B240">
        <v>0.55168083056974104</v>
      </c>
    </row>
    <row r="241" spans="1:2" x14ac:dyDescent="0.35">
      <c r="A241" s="65">
        <v>1300158.4433237</v>
      </c>
      <c r="B241">
        <v>1</v>
      </c>
    </row>
    <row r="242" spans="1:2" x14ac:dyDescent="0.35">
      <c r="A242" s="65">
        <v>1338336.50048028</v>
      </c>
      <c r="B242">
        <v>1</v>
      </c>
    </row>
    <row r="243" spans="1:2" x14ac:dyDescent="0.35">
      <c r="A243" s="65">
        <v>1338367.00048028</v>
      </c>
      <c r="B243">
        <v>0.55168083056974104</v>
      </c>
    </row>
    <row r="244" spans="1:2" x14ac:dyDescent="0.35">
      <c r="A244" s="65">
        <v>1338397.50048028</v>
      </c>
      <c r="B244">
        <v>1</v>
      </c>
    </row>
    <row r="245" spans="1:2" x14ac:dyDescent="0.35">
      <c r="A245" s="65">
        <v>1376575.5576368601</v>
      </c>
      <c r="B245">
        <v>1</v>
      </c>
    </row>
    <row r="246" spans="1:2" x14ac:dyDescent="0.35">
      <c r="A246" s="65">
        <v>1376606.0576368601</v>
      </c>
      <c r="B246">
        <v>0.55168083056974104</v>
      </c>
    </row>
    <row r="247" spans="1:2" x14ac:dyDescent="0.35">
      <c r="A247" s="65">
        <v>1376636.5576368601</v>
      </c>
      <c r="B247">
        <v>1</v>
      </c>
    </row>
    <row r="248" spans="1:2" x14ac:dyDescent="0.35">
      <c r="A248" s="65">
        <v>1414814.6147934401</v>
      </c>
      <c r="B248">
        <v>1</v>
      </c>
    </row>
    <row r="249" spans="1:2" x14ac:dyDescent="0.35">
      <c r="A249" s="65">
        <v>1414845.1147934401</v>
      </c>
      <c r="B249">
        <v>0.55168083056974104</v>
      </c>
    </row>
    <row r="250" spans="1:2" x14ac:dyDescent="0.35">
      <c r="A250" s="65">
        <v>1414875.6147934401</v>
      </c>
      <c r="B250">
        <v>1</v>
      </c>
    </row>
    <row r="251" spans="1:2" x14ac:dyDescent="0.35">
      <c r="A251" s="65">
        <v>1453053.6719500199</v>
      </c>
      <c r="B251">
        <v>1</v>
      </c>
    </row>
    <row r="252" spans="1:2" x14ac:dyDescent="0.35">
      <c r="A252" s="65">
        <v>1453084.1719500199</v>
      </c>
      <c r="B252">
        <v>0.55168083056974104</v>
      </c>
    </row>
    <row r="253" spans="1:2" x14ac:dyDescent="0.35">
      <c r="A253" s="65">
        <v>1453114.6719500199</v>
      </c>
      <c r="B253">
        <v>1</v>
      </c>
    </row>
    <row r="254" spans="1:2" x14ac:dyDescent="0.35">
      <c r="A254" s="65">
        <v>1491292.7291065999</v>
      </c>
      <c r="B254">
        <v>1</v>
      </c>
    </row>
    <row r="255" spans="1:2" x14ac:dyDescent="0.35">
      <c r="A255" s="65">
        <v>1491323.2291065999</v>
      </c>
      <c r="B255">
        <v>0.55168083056974104</v>
      </c>
    </row>
    <row r="256" spans="1:2" x14ac:dyDescent="0.35">
      <c r="A256" s="65">
        <v>1491353.7291065999</v>
      </c>
      <c r="B256">
        <v>1</v>
      </c>
    </row>
    <row r="257" spans="1:2" x14ac:dyDescent="0.35">
      <c r="A257" s="65">
        <v>1529531.78626318</v>
      </c>
      <c r="B257">
        <v>1</v>
      </c>
    </row>
    <row r="258" spans="1:2" x14ac:dyDescent="0.35">
      <c r="A258" s="65">
        <v>1529562.28626318</v>
      </c>
      <c r="B258">
        <v>0.55168083056974104</v>
      </c>
    </row>
    <row r="259" spans="1:2" x14ac:dyDescent="0.35">
      <c r="A259" s="65">
        <v>1529592.78626318</v>
      </c>
      <c r="B259">
        <v>1</v>
      </c>
    </row>
    <row r="260" spans="1:2" x14ac:dyDescent="0.35">
      <c r="A260" s="65">
        <v>1567770.84341976</v>
      </c>
      <c r="B260">
        <v>1</v>
      </c>
    </row>
    <row r="261" spans="1:2" x14ac:dyDescent="0.35">
      <c r="A261" s="65">
        <v>1567801.34341976</v>
      </c>
      <c r="B261">
        <v>0.55168083056974104</v>
      </c>
    </row>
    <row r="262" spans="1:2" x14ac:dyDescent="0.35">
      <c r="A262" s="65">
        <v>1567831.84341976</v>
      </c>
      <c r="B262">
        <v>1</v>
      </c>
    </row>
    <row r="263" spans="1:2" x14ac:dyDescent="0.35">
      <c r="A263" s="65">
        <v>1606009.90057634</v>
      </c>
      <c r="B263">
        <v>1</v>
      </c>
    </row>
    <row r="264" spans="1:2" x14ac:dyDescent="0.35">
      <c r="A264" s="65">
        <v>1606040.40057634</v>
      </c>
      <c r="B264">
        <v>0.55168083056974104</v>
      </c>
    </row>
    <row r="265" spans="1:2" x14ac:dyDescent="0.35">
      <c r="A265" s="65">
        <v>1606070.90057634</v>
      </c>
      <c r="B265">
        <v>1</v>
      </c>
    </row>
    <row r="266" spans="1:2" x14ac:dyDescent="0.35">
      <c r="A266" s="65">
        <v>1644248.9577329201</v>
      </c>
      <c r="B266">
        <v>1</v>
      </c>
    </row>
    <row r="267" spans="1:2" x14ac:dyDescent="0.35">
      <c r="A267" s="65">
        <v>1644279.4577329201</v>
      </c>
      <c r="B267">
        <v>0.55168083056974104</v>
      </c>
    </row>
    <row r="268" spans="1:2" x14ac:dyDescent="0.35">
      <c r="A268" s="65">
        <v>1644309.9577329201</v>
      </c>
      <c r="B268">
        <v>1</v>
      </c>
    </row>
    <row r="269" spans="1:2" x14ac:dyDescent="0.35">
      <c r="A269" s="65">
        <v>1682488.0148895001</v>
      </c>
      <c r="B269">
        <v>1</v>
      </c>
    </row>
    <row r="270" spans="1:2" x14ac:dyDescent="0.35">
      <c r="A270" s="65">
        <v>1682518.5148895001</v>
      </c>
      <c r="B270">
        <v>0.55168083056974104</v>
      </c>
    </row>
    <row r="271" spans="1:2" x14ac:dyDescent="0.35">
      <c r="A271" s="65">
        <v>1682549.0148895001</v>
      </c>
      <c r="B271">
        <v>1</v>
      </c>
    </row>
    <row r="272" spans="1:2" x14ac:dyDescent="0.35">
      <c r="A272" s="65">
        <v>1720727.0720460799</v>
      </c>
      <c r="B272">
        <v>1</v>
      </c>
    </row>
    <row r="273" spans="1:2" x14ac:dyDescent="0.35">
      <c r="A273" s="65">
        <v>1720757.5720460799</v>
      </c>
      <c r="B273">
        <v>0.55168083056974104</v>
      </c>
    </row>
    <row r="274" spans="1:2" x14ac:dyDescent="0.35">
      <c r="A274" s="65">
        <v>1720788.0720460799</v>
      </c>
      <c r="B274">
        <v>1</v>
      </c>
    </row>
    <row r="275" spans="1:2" x14ac:dyDescent="0.35">
      <c r="A275" s="65">
        <v>1758966.1292026599</v>
      </c>
      <c r="B275">
        <v>1</v>
      </c>
    </row>
    <row r="276" spans="1:2" x14ac:dyDescent="0.35">
      <c r="A276" s="65">
        <v>1758996.6292026599</v>
      </c>
      <c r="B276">
        <v>0.55168083056974104</v>
      </c>
    </row>
    <row r="277" spans="1:2" x14ac:dyDescent="0.35">
      <c r="A277" s="65">
        <v>1759027.1292026599</v>
      </c>
      <c r="B277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D463-022D-4B63-8DF6-9D27112ED962}">
  <dimension ref="A1:BS139"/>
  <sheetViews>
    <sheetView zoomScale="28" zoomScaleNormal="40" workbookViewId="0">
      <selection activeCell="BG10" sqref="BG10"/>
    </sheetView>
  </sheetViews>
  <sheetFormatPr defaultRowHeight="14.5" x14ac:dyDescent="0.35"/>
  <cols>
    <col min="1" max="1" width="11.54296875" customWidth="1"/>
    <col min="2" max="2" width="9.54296875" customWidth="1"/>
    <col min="4" max="4" width="21.54296875" customWidth="1"/>
    <col min="9" max="9" width="18.1796875" customWidth="1"/>
    <col min="17" max="17" width="4.453125" customWidth="1"/>
    <col min="22" max="22" width="16" customWidth="1"/>
    <col min="23" max="23" width="15.453125" customWidth="1"/>
    <col min="25" max="25" width="18.1796875" customWidth="1"/>
    <col min="26" max="26" width="13" customWidth="1"/>
    <col min="32" max="32" width="8.81640625" bestFit="1" customWidth="1"/>
    <col min="36" max="36" width="2.453125" customWidth="1"/>
    <col min="37" max="37" width="8.7265625" customWidth="1"/>
    <col min="41" max="41" width="15.81640625" customWidth="1"/>
    <col min="42" max="42" width="14.26953125" bestFit="1" customWidth="1"/>
    <col min="44" max="44" width="16.81640625" customWidth="1"/>
    <col min="45" max="45" width="13.7265625" bestFit="1" customWidth="1"/>
    <col min="48" max="48" width="8.81640625" bestFit="1" customWidth="1"/>
    <col min="49" max="49" width="8.7265625" customWidth="1"/>
    <col min="50" max="50" width="11.26953125" customWidth="1"/>
    <col min="51" max="52" width="8.90625" bestFit="1" customWidth="1"/>
    <col min="56" max="56" width="4.7265625" customWidth="1"/>
    <col min="58" max="58" width="15.453125" customWidth="1"/>
    <col min="59" max="59" width="16.81640625" bestFit="1" customWidth="1"/>
    <col min="61" max="61" width="24.6328125" bestFit="1" customWidth="1"/>
    <col min="63" max="63" width="14" bestFit="1" customWidth="1"/>
    <col min="67" max="67" width="13.7265625" bestFit="1" customWidth="1"/>
    <col min="69" max="69" width="12.7265625" bestFit="1" customWidth="1"/>
    <col min="71" max="71" width="12.453125" bestFit="1" customWidth="1"/>
  </cols>
  <sheetData>
    <row r="1" spans="1:69" ht="15.5" x14ac:dyDescent="0.35">
      <c r="A1" s="51" t="s">
        <v>117</v>
      </c>
      <c r="B1" s="48"/>
      <c r="C1" s="48"/>
      <c r="Q1" s="64"/>
      <c r="S1" s="53"/>
      <c r="T1" s="53"/>
      <c r="AJ1" s="64"/>
    </row>
    <row r="2" spans="1:69" x14ac:dyDescent="0.35">
      <c r="A2" t="s">
        <v>49</v>
      </c>
      <c r="Q2" s="64"/>
      <c r="S2" s="69"/>
      <c r="T2" s="53"/>
      <c r="AJ2" s="64"/>
      <c r="BD2" s="64"/>
    </row>
    <row r="3" spans="1:69" x14ac:dyDescent="0.35">
      <c r="A3" t="s">
        <v>50</v>
      </c>
      <c r="B3">
        <v>3.8</v>
      </c>
      <c r="D3" t="s">
        <v>111</v>
      </c>
      <c r="E3">
        <f>MAX('Fuselage Stresses'!V13:V22)</f>
        <v>20.020619347782969</v>
      </c>
      <c r="F3" t="s">
        <v>53</v>
      </c>
      <c r="Q3" s="64"/>
      <c r="S3" s="69"/>
      <c r="T3" s="53"/>
      <c r="W3" t="s">
        <v>104</v>
      </c>
      <c r="X3">
        <f>'Gust Loads'!B3</f>
        <v>1.44831916943025</v>
      </c>
      <c r="AJ3" s="64"/>
      <c r="BD3" s="64"/>
    </row>
    <row r="4" spans="1:69" x14ac:dyDescent="0.35">
      <c r="A4" t="s">
        <v>51</v>
      </c>
      <c r="B4">
        <v>-1.5</v>
      </c>
      <c r="Q4" s="64"/>
      <c r="S4" s="69"/>
      <c r="T4" s="53"/>
      <c r="W4" t="s">
        <v>105</v>
      </c>
      <c r="X4">
        <f>'Gust Loads'!B6</f>
        <v>0.55168083056974104</v>
      </c>
      <c r="AJ4" s="64"/>
      <c r="BD4" s="64"/>
    </row>
    <row r="5" spans="1:69" x14ac:dyDescent="0.35">
      <c r="A5" t="s">
        <v>52</v>
      </c>
      <c r="B5">
        <f>E3*B3*F10</f>
        <v>190.19588380393822</v>
      </c>
      <c r="C5" t="s">
        <v>53</v>
      </c>
      <c r="D5" t="s">
        <v>65</v>
      </c>
      <c r="Q5" s="64"/>
      <c r="S5" s="69"/>
      <c r="T5" s="53"/>
      <c r="AJ5" s="64"/>
      <c r="BD5" s="64"/>
    </row>
    <row r="6" spans="1:69" x14ac:dyDescent="0.35">
      <c r="A6" s="54" t="s">
        <v>54</v>
      </c>
      <c r="B6" s="54">
        <f>E3*B4*F10</f>
        <v>-75.077322554186139</v>
      </c>
      <c r="Q6" s="64"/>
      <c r="S6" s="69"/>
      <c r="T6" s="53"/>
      <c r="AJ6" s="64"/>
      <c r="BD6" s="64"/>
    </row>
    <row r="7" spans="1:69" ht="46" x14ac:dyDescent="1">
      <c r="A7" s="54" t="s">
        <v>55</v>
      </c>
      <c r="B7" s="54">
        <f>(B5-B6)/2</f>
        <v>132.63660317906218</v>
      </c>
      <c r="C7" s="54"/>
      <c r="D7" s="54"/>
      <c r="Q7" s="64"/>
      <c r="S7" s="69"/>
      <c r="T7" s="53"/>
      <c r="AJ7" s="64"/>
      <c r="AW7" s="67" t="s">
        <v>92</v>
      </c>
      <c r="AX7">
        <v>1</v>
      </c>
      <c r="AY7" t="s">
        <v>73</v>
      </c>
      <c r="BD7" s="64"/>
      <c r="BF7" s="97" t="s">
        <v>198</v>
      </c>
    </row>
    <row r="8" spans="1:69" ht="29" x14ac:dyDescent="0.35">
      <c r="A8" s="54" t="s">
        <v>56</v>
      </c>
      <c r="B8" s="54">
        <f>(B5+B6)/2</f>
        <v>57.559280624876038</v>
      </c>
      <c r="C8" s="54"/>
      <c r="D8" s="54" t="s">
        <v>65</v>
      </c>
      <c r="F8">
        <f>470</f>
        <v>470</v>
      </c>
      <c r="Q8" s="64"/>
      <c r="S8" s="69"/>
      <c r="T8" s="53"/>
      <c r="AJ8" s="64"/>
      <c r="AW8" s="59" t="s">
        <v>123</v>
      </c>
      <c r="AX8">
        <f>20</f>
        <v>20</v>
      </c>
      <c r="AY8" t="s">
        <v>73</v>
      </c>
      <c r="BD8" s="64"/>
    </row>
    <row r="9" spans="1:69" ht="29" x14ac:dyDescent="0.35">
      <c r="A9" s="58" t="s">
        <v>57</v>
      </c>
      <c r="B9" s="54">
        <f>B6/B5</f>
        <v>-0.39473684210526316</v>
      </c>
      <c r="C9" s="54"/>
      <c r="D9" s="54" t="s">
        <v>66</v>
      </c>
      <c r="F9">
        <f>325</f>
        <v>325</v>
      </c>
      <c r="Q9" s="64"/>
      <c r="S9" s="69"/>
      <c r="T9" s="53"/>
      <c r="AJ9" s="64"/>
      <c r="AW9" t="s">
        <v>94</v>
      </c>
      <c r="AX9">
        <f>AX7/AX8</f>
        <v>0.05</v>
      </c>
      <c r="BD9" s="64"/>
    </row>
    <row r="10" spans="1:69" ht="42.65" customHeight="1" x14ac:dyDescent="0.35">
      <c r="A10" s="62" t="s">
        <v>58</v>
      </c>
      <c r="B10" s="54">
        <f>B7/B8</f>
        <v>2.3043478260869565</v>
      </c>
      <c r="C10" s="54"/>
      <c r="D10" s="62" t="s">
        <v>74</v>
      </c>
      <c r="F10">
        <v>2.5</v>
      </c>
      <c r="Q10" s="64"/>
      <c r="S10" s="69"/>
      <c r="T10" s="53"/>
      <c r="AJ10" s="64"/>
      <c r="AW10" t="s">
        <v>124</v>
      </c>
      <c r="AX10">
        <v>34</v>
      </c>
      <c r="BD10" s="64"/>
    </row>
    <row r="11" spans="1:69" ht="19.5" customHeight="1" x14ac:dyDescent="0.45">
      <c r="A11" s="61" t="s">
        <v>149</v>
      </c>
      <c r="B11" s="54">
        <f>B5-B6</f>
        <v>265.27320635812436</v>
      </c>
      <c r="C11" s="54"/>
      <c r="D11" s="54"/>
      <c r="Q11" s="64"/>
      <c r="S11" s="69"/>
      <c r="T11" s="53"/>
      <c r="AJ11" s="64"/>
      <c r="AR11" t="s">
        <v>150</v>
      </c>
      <c r="AS11">
        <v>4</v>
      </c>
      <c r="AW11" s="59" t="s">
        <v>96</v>
      </c>
      <c r="AX11">
        <f>(1/PI())*(AX10/(AP25*B5))^2</f>
        <v>1.0171985534100874E-2</v>
      </c>
      <c r="AY11">
        <f>AX11*1000</f>
        <v>10.171985534100875</v>
      </c>
      <c r="AZ11" t="s">
        <v>73</v>
      </c>
      <c r="BD11" s="64"/>
    </row>
    <row r="12" spans="1:69" x14ac:dyDescent="0.35">
      <c r="A12" s="61" t="s">
        <v>91</v>
      </c>
      <c r="B12" s="54">
        <v>1</v>
      </c>
      <c r="C12" s="54"/>
      <c r="D12" s="54"/>
      <c r="Q12" s="64"/>
      <c r="S12" s="69"/>
      <c r="T12" s="53"/>
      <c r="AJ12" s="64"/>
      <c r="AR12" t="s">
        <v>101</v>
      </c>
      <c r="AS12">
        <v>20</v>
      </c>
      <c r="AW12" t="s">
        <v>97</v>
      </c>
      <c r="AX12">
        <f>AX11/(AX8/1000)</f>
        <v>0.50859927670504368</v>
      </c>
      <c r="AY12">
        <f>AY11/AX8</f>
        <v>0.50859927670504379</v>
      </c>
      <c r="BD12" s="64"/>
    </row>
    <row r="13" spans="1:69" ht="29" x14ac:dyDescent="0.35">
      <c r="A13" s="73" t="s">
        <v>92</v>
      </c>
      <c r="B13" s="54">
        <v>1</v>
      </c>
      <c r="C13" s="54" t="s">
        <v>73</v>
      </c>
      <c r="D13" s="74" t="s">
        <v>110</v>
      </c>
      <c r="Q13" s="64"/>
      <c r="S13" s="69"/>
      <c r="T13" s="53"/>
      <c r="AJ13" s="64"/>
      <c r="AR13" t="s">
        <v>151</v>
      </c>
      <c r="AS13">
        <f>AS11/AS12</f>
        <v>0.2</v>
      </c>
      <c r="BD13" s="64"/>
      <c r="BG13" t="s">
        <v>158</v>
      </c>
      <c r="BO13" t="s">
        <v>121</v>
      </c>
    </row>
    <row r="14" spans="1:69" ht="33.75" customHeight="1" x14ac:dyDescent="0.35">
      <c r="A14" s="62" t="s">
        <v>93</v>
      </c>
      <c r="B14" s="54">
        <v>50</v>
      </c>
      <c r="C14" s="54" t="s">
        <v>73</v>
      </c>
      <c r="D14" s="54"/>
      <c r="G14" s="68" t="s">
        <v>114</v>
      </c>
      <c r="I14" t="s">
        <v>116</v>
      </c>
      <c r="Q14" s="64"/>
      <c r="S14" s="69"/>
      <c r="T14" s="53"/>
      <c r="AJ14" s="64"/>
      <c r="AR14" s="59" t="s">
        <v>125</v>
      </c>
      <c r="AS14" s="70">
        <v>2.5</v>
      </c>
      <c r="AW14" t="s">
        <v>120</v>
      </c>
      <c r="BD14" s="64"/>
      <c r="BG14" t="s">
        <v>153</v>
      </c>
      <c r="BI14" t="s">
        <v>154</v>
      </c>
      <c r="BO14" t="s">
        <v>153</v>
      </c>
      <c r="BQ14" t="s">
        <v>154</v>
      </c>
    </row>
    <row r="15" spans="1:69" x14ac:dyDescent="0.35">
      <c r="A15" s="54" t="s">
        <v>94</v>
      </c>
      <c r="B15" s="54">
        <f>B13/B14</f>
        <v>0.02</v>
      </c>
      <c r="C15" s="54"/>
      <c r="D15" s="54"/>
      <c r="E15" s="53"/>
      <c r="G15" s="68" t="s">
        <v>115</v>
      </c>
      <c r="Q15" s="64"/>
      <c r="S15" s="69"/>
      <c r="T15" s="53"/>
      <c r="AJ15" s="64"/>
      <c r="BD15" s="64"/>
      <c r="BF15" t="s">
        <v>155</v>
      </c>
      <c r="BG15">
        <f>46</f>
        <v>46</v>
      </c>
      <c r="BI15">
        <f>27</f>
        <v>27</v>
      </c>
      <c r="BN15" t="s">
        <v>155</v>
      </c>
      <c r="BO15">
        <f>46</f>
        <v>46</v>
      </c>
      <c r="BQ15">
        <f>27</f>
        <v>27</v>
      </c>
    </row>
    <row r="16" spans="1:69" x14ac:dyDescent="0.35">
      <c r="A16" s="54" t="s">
        <v>95</v>
      </c>
      <c r="B16" s="54">
        <v>34</v>
      </c>
      <c r="C16" s="54"/>
      <c r="D16" s="54"/>
      <c r="E16" s="53"/>
      <c r="Q16" s="64"/>
      <c r="S16" s="69"/>
      <c r="T16" s="53"/>
      <c r="AJ16" s="64"/>
      <c r="AW16" t="s">
        <v>118</v>
      </c>
      <c r="AX16" t="s">
        <v>122</v>
      </c>
      <c r="AY16" t="s">
        <v>91</v>
      </c>
      <c r="AZ16" t="s">
        <v>119</v>
      </c>
      <c r="BD16" s="64"/>
      <c r="BF16" t="s">
        <v>190</v>
      </c>
      <c r="BG16">
        <f>E3*AS14</f>
        <v>50.051548369457421</v>
      </c>
      <c r="BI16">
        <f>E3*AS14*'Gust Loads'!B6</f>
        <v>27.612479775763838</v>
      </c>
      <c r="BN16" t="s">
        <v>190</v>
      </c>
      <c r="BO16">
        <f>E3</f>
        <v>20.020619347782969</v>
      </c>
      <c r="BQ16">
        <f>E3*'Gust Loads'!B6</f>
        <v>11.044991910305535</v>
      </c>
    </row>
    <row r="17" spans="1:71" ht="29" x14ac:dyDescent="0.35">
      <c r="A17" s="62" t="s">
        <v>96</v>
      </c>
      <c r="B17" s="54">
        <f>(1/PI()) * (B16/(B12*B5))^2</f>
        <v>1.0171985534100874E-2</v>
      </c>
      <c r="C17" s="54">
        <f>B17*1000</f>
        <v>10.171985534100875</v>
      </c>
      <c r="D17" s="54" t="s">
        <v>197</v>
      </c>
      <c r="E17" s="53"/>
      <c r="Q17" s="64"/>
      <c r="S17" s="69"/>
      <c r="T17" s="53"/>
      <c r="V17" s="63" t="s">
        <v>121</v>
      </c>
      <c r="Y17" s="59"/>
      <c r="Z17" s="70"/>
      <c r="AJ17" s="64"/>
      <c r="AO17" s="63" t="s">
        <v>126</v>
      </c>
      <c r="AW17">
        <f>1/1000</f>
        <v>1E-3</v>
      </c>
      <c r="AX17">
        <f t="shared" ref="AX17:AX37" si="0">AW17/($AX$8/1000)</f>
        <v>0.05</v>
      </c>
      <c r="AY17">
        <f>(1- 0.5*AX17 + 0.326*AX17^2)/(SQRT(1-AX17))</f>
        <v>1.0011650656399746</v>
      </c>
      <c r="AZ17">
        <f>AY17*$B$5*SQRT(PI()*(AW17))</f>
        <v>10.672882719820695</v>
      </c>
      <c r="BD17" s="64"/>
      <c r="BF17" t="s">
        <v>191</v>
      </c>
      <c r="BG17">
        <f>E3*AS14*'Gust Loads'!B3</f>
        <v>72.490616963150558</v>
      </c>
      <c r="BI17">
        <f>E3*AS14</f>
        <v>50.051548369457421</v>
      </c>
      <c r="BN17" t="s">
        <v>191</v>
      </c>
      <c r="BO17">
        <f>E3*'Gust Loads'!B3</f>
        <v>28.996246785260222</v>
      </c>
      <c r="BQ17">
        <f>E3</f>
        <v>20.020619347782969</v>
      </c>
    </row>
    <row r="18" spans="1:71" x14ac:dyDescent="0.35">
      <c r="A18" s="54" t="s">
        <v>97</v>
      </c>
      <c r="B18" s="54">
        <f>B17/B14</f>
        <v>2.034397106820175E-4</v>
      </c>
      <c r="C18" s="54"/>
      <c r="D18" s="54"/>
      <c r="E18" s="53"/>
      <c r="Q18" s="64"/>
      <c r="S18" s="69"/>
      <c r="T18" s="53"/>
      <c r="V18" t="s">
        <v>113</v>
      </c>
      <c r="W18">
        <f>$E$3*$X$3</f>
        <v>28.996246785260222</v>
      </c>
      <c r="Z18" s="68"/>
      <c r="AJ18" s="64"/>
      <c r="AO18" t="s">
        <v>113</v>
      </c>
      <c r="AP18">
        <f>$E$3*$X$3*$AS$14</f>
        <v>72.490616963150558</v>
      </c>
      <c r="AS18" s="68"/>
      <c r="AW18">
        <f>AW17+0.001</f>
        <v>2E-3</v>
      </c>
      <c r="AX18">
        <f t="shared" si="0"/>
        <v>0.1</v>
      </c>
      <c r="AY18">
        <f t="shared" ref="AY18:AY37" si="1">(1- 0.5*AX18 + 0.326*AX18^2)/(SQRT(1-AX18))</f>
        <v>1.0048242674440364</v>
      </c>
      <c r="AZ18">
        <f t="shared" ref="AZ18:AZ37" si="2">AY18*$B$5*SQRT(PI()*(AW18))</f>
        <v>15.148902243243828</v>
      </c>
      <c r="BD18" s="64"/>
      <c r="BF18" t="s">
        <v>194</v>
      </c>
      <c r="BG18">
        <f>(BG17+BG16)/2</f>
        <v>61.27108266630399</v>
      </c>
      <c r="BI18">
        <f>(BI17+BI16)/2</f>
        <v>38.832014072610633</v>
      </c>
      <c r="BN18" t="s">
        <v>194</v>
      </c>
      <c r="BO18">
        <f>(BO17+BO16)/2</f>
        <v>24.508433066521597</v>
      </c>
      <c r="BQ18">
        <f>(BQ17+BQ16)/2</f>
        <v>15.532805629044251</v>
      </c>
    </row>
    <row r="19" spans="1:71" x14ac:dyDescent="0.35">
      <c r="A19" s="53"/>
      <c r="B19" s="53"/>
      <c r="C19" s="53"/>
      <c r="D19" s="53"/>
      <c r="E19" s="53"/>
      <c r="Q19" s="64"/>
      <c r="S19" s="69"/>
      <c r="T19" s="53"/>
      <c r="V19" t="s">
        <v>112</v>
      </c>
      <c r="W19">
        <f>E3*X4</f>
        <v>11.044991910305535</v>
      </c>
      <c r="AJ19" s="64"/>
      <c r="AO19" t="s">
        <v>54</v>
      </c>
      <c r="AP19">
        <f>E3*X4*AS14</f>
        <v>27.612479775763838</v>
      </c>
      <c r="AW19">
        <f t="shared" ref="AW19:AW25" si="3">AW18+0.001</f>
        <v>3.0000000000000001E-3</v>
      </c>
      <c r="AX19">
        <f t="shared" si="0"/>
        <v>0.15</v>
      </c>
      <c r="AY19">
        <f t="shared" si="1"/>
        <v>1.011259291951784</v>
      </c>
      <c r="AZ19">
        <f t="shared" si="2"/>
        <v>18.672359600412257</v>
      </c>
      <c r="BD19" s="64"/>
      <c r="BF19" t="s">
        <v>192</v>
      </c>
      <c r="BG19">
        <f>(BG17-BG16)/2</f>
        <v>11.219534296846568</v>
      </c>
      <c r="BI19">
        <f>(BI17-BI16)/2</f>
        <v>11.219534296846792</v>
      </c>
      <c r="BN19" t="s">
        <v>192</v>
      </c>
      <c r="BO19">
        <f>(BO17-BO16)/2</f>
        <v>4.4878137187386269</v>
      </c>
      <c r="BQ19">
        <f>(BQ17-BQ16)/2</f>
        <v>4.4878137187387166</v>
      </c>
    </row>
    <row r="20" spans="1:71" x14ac:dyDescent="0.35">
      <c r="A20" s="53"/>
      <c r="B20" s="53"/>
      <c r="C20" s="53"/>
      <c r="D20" s="54"/>
      <c r="E20" s="54"/>
      <c r="Q20" s="64"/>
      <c r="S20" s="69"/>
      <c r="T20" s="53"/>
      <c r="V20" t="s">
        <v>55</v>
      </c>
      <c r="W20">
        <f>(W18-W19)/2</f>
        <v>8.9756274374773426</v>
      </c>
      <c r="AJ20" s="64"/>
      <c r="AO20" t="s">
        <v>55</v>
      </c>
      <c r="AP20">
        <f>(AP18-AP19)/2</f>
        <v>22.43906859369336</v>
      </c>
      <c r="AW20">
        <f t="shared" si="3"/>
        <v>4.0000000000000001E-3</v>
      </c>
      <c r="AX20">
        <f t="shared" si="0"/>
        <v>0.2</v>
      </c>
      <c r="AY20">
        <f t="shared" si="1"/>
        <v>1.0208097530882041</v>
      </c>
      <c r="AZ20">
        <f t="shared" si="2"/>
        <v>21.764608350562302</v>
      </c>
      <c r="BD20" s="64"/>
      <c r="BF20" t="s">
        <v>193</v>
      </c>
      <c r="BG20">
        <f>BG19/(1-(BG18/AV41))</f>
        <v>12.603454156132132</v>
      </c>
      <c r="BI20">
        <f>BI19/(1-(BI18/AV41))</f>
        <v>12.058717616143806</v>
      </c>
      <c r="BJ20" t="s">
        <v>102</v>
      </c>
      <c r="BK20" s="81">
        <f>(BG20+BI20)/2</f>
        <v>12.33108588613797</v>
      </c>
      <c r="BN20" t="s">
        <v>193</v>
      </c>
      <c r="BO20">
        <f>BO19/(1-(BO18/AV41))</f>
        <v>4.6939824549624136</v>
      </c>
      <c r="BQ20">
        <f>BQ19/(1-(BQ18/AV41))</f>
        <v>4.6163161220469213</v>
      </c>
      <c r="BS20" s="81">
        <f>(BO20+BQ20)/2</f>
        <v>4.655149288504667</v>
      </c>
    </row>
    <row r="21" spans="1:71" x14ac:dyDescent="0.35">
      <c r="A21" s="53"/>
      <c r="B21" s="53"/>
      <c r="C21" s="53"/>
      <c r="D21" s="54" t="s">
        <v>99</v>
      </c>
      <c r="E21" s="54">
        <v>558</v>
      </c>
      <c r="Q21" s="64"/>
      <c r="S21" s="69"/>
      <c r="T21" s="53"/>
      <c r="V21" t="s">
        <v>56</v>
      </c>
      <c r="W21">
        <f>(W18+W19)/2</f>
        <v>20.02061934778288</v>
      </c>
      <c r="AH21" s="52"/>
      <c r="AJ21" s="64"/>
      <c r="AO21" t="s">
        <v>56</v>
      </c>
      <c r="AP21">
        <f>(AP18+AP19)/2</f>
        <v>50.051548369457194</v>
      </c>
      <c r="AW21">
        <f t="shared" si="3"/>
        <v>5.0000000000000001E-3</v>
      </c>
      <c r="AX21">
        <f t="shared" si="0"/>
        <v>0.25</v>
      </c>
      <c r="AY21">
        <f t="shared" si="1"/>
        <v>1.0338899945513225</v>
      </c>
      <c r="AZ21">
        <f t="shared" si="2"/>
        <v>24.645372392200255</v>
      </c>
      <c r="BD21" s="64"/>
      <c r="BF21" t="s">
        <v>100</v>
      </c>
      <c r="BG21">
        <f>0.5*(BG20/$AV$43)^(1/$AV$42)</f>
        <v>1.649935209299438E+16</v>
      </c>
      <c r="BI21" s="75">
        <f>0.5*(BI20/$AV$43)^(1/$AV$42)</f>
        <v>2.4393621334221452E+16</v>
      </c>
      <c r="BK21" s="75">
        <f>(BG21+BI21)/2</f>
        <v>2.0446486713607916E+16</v>
      </c>
      <c r="BN21" t="s">
        <v>100</v>
      </c>
      <c r="BO21">
        <f>0.5*(BO20/$AV$43)^(1/$AV$42)</f>
        <v>1.0314970450189183E+20</v>
      </c>
      <c r="BQ21" s="75">
        <f>0.5*(BQ20/$AV$43)^(1/$AV$42)</f>
        <v>1.195614517051351E+20</v>
      </c>
      <c r="BS21" s="75">
        <f>(BO21+BQ21)/2</f>
        <v>1.1135557810351346E+20</v>
      </c>
    </row>
    <row r="22" spans="1:71" x14ac:dyDescent="0.35">
      <c r="A22" s="71"/>
      <c r="B22" s="53"/>
      <c r="C22" s="53"/>
      <c r="D22" s="54" t="s">
        <v>101</v>
      </c>
      <c r="E22" s="54">
        <v>-0.113</v>
      </c>
      <c r="Q22" s="64"/>
      <c r="S22" s="69"/>
      <c r="T22" s="53"/>
      <c r="V22" s="52" t="s">
        <v>57</v>
      </c>
      <c r="W22">
        <f>W19/W18</f>
        <v>0.38091108797984435</v>
      </c>
      <c r="AJ22" s="64"/>
      <c r="AO22" s="52" t="s">
        <v>57</v>
      </c>
      <c r="AP22">
        <f>AP19/AP18</f>
        <v>0.38091108797984435</v>
      </c>
      <c r="AW22">
        <f t="shared" si="3"/>
        <v>6.0000000000000001E-3</v>
      </c>
      <c r="AX22">
        <f t="shared" si="0"/>
        <v>0.3</v>
      </c>
      <c r="AY22">
        <f t="shared" si="1"/>
        <v>1.0510123253321058</v>
      </c>
      <c r="AZ22">
        <f t="shared" si="2"/>
        <v>27.444762974540492</v>
      </c>
      <c r="BD22" s="64"/>
      <c r="BF22" t="s">
        <v>156</v>
      </c>
      <c r="BG22">
        <f>BG15/BG21</f>
        <v>2.7879882640683561E-15</v>
      </c>
      <c r="BI22" s="75">
        <f>BI15/BI21</f>
        <v>1.1068467297277464E-15</v>
      </c>
      <c r="BK22" s="75">
        <f>BG22+BI22</f>
        <v>3.8948349937961029E-15</v>
      </c>
      <c r="BM22" s="76"/>
      <c r="BN22" t="s">
        <v>156</v>
      </c>
      <c r="BO22">
        <f>BO15/BO21</f>
        <v>4.4595377390689795E-19</v>
      </c>
      <c r="BQ22" s="75">
        <f>BQ15/BQ21</f>
        <v>2.2582529414738081E-19</v>
      </c>
      <c r="BS22" s="75">
        <f>BO22+BQ22</f>
        <v>6.717790680542788E-19</v>
      </c>
    </row>
    <row r="23" spans="1:71" ht="29" x14ac:dyDescent="0.35">
      <c r="A23" s="53"/>
      <c r="B23" s="53"/>
      <c r="C23" s="53"/>
      <c r="D23" s="54" t="s">
        <v>103</v>
      </c>
      <c r="E23" s="54">
        <v>927</v>
      </c>
      <c r="Q23" s="64"/>
      <c r="S23" s="69"/>
      <c r="T23" s="53"/>
      <c r="V23" s="59" t="s">
        <v>58</v>
      </c>
      <c r="W23">
        <f>W20/W21</f>
        <v>0.4483191694302564</v>
      </c>
      <c r="AJ23" s="64"/>
      <c r="AO23" s="59" t="s">
        <v>58</v>
      </c>
      <c r="AP23">
        <f>AP20/AP21</f>
        <v>0.44831916943025651</v>
      </c>
      <c r="AW23">
        <f t="shared" si="3"/>
        <v>7.0000000000000001E-3</v>
      </c>
      <c r="AX23">
        <f t="shared" si="0"/>
        <v>0.35</v>
      </c>
      <c r="AY23">
        <f t="shared" si="1"/>
        <v>1.0728198316191702</v>
      </c>
      <c r="AZ23">
        <f t="shared" si="2"/>
        <v>30.258811311677331</v>
      </c>
      <c r="BD23" s="64"/>
      <c r="BK23" s="52" t="s">
        <v>195</v>
      </c>
    </row>
    <row r="24" spans="1:71" ht="19" x14ac:dyDescent="0.45">
      <c r="A24" s="53"/>
      <c r="B24" s="53"/>
      <c r="Q24" s="64"/>
      <c r="S24" s="69"/>
      <c r="T24" s="53"/>
      <c r="V24" s="66" t="s">
        <v>90</v>
      </c>
      <c r="W24">
        <f>W18-W19</f>
        <v>17.951254874954685</v>
      </c>
      <c r="AJ24" s="64"/>
      <c r="AO24" s="66" t="s">
        <v>90</v>
      </c>
      <c r="AP24">
        <f>AP18-AP19</f>
        <v>44.87813718738672</v>
      </c>
      <c r="AW24">
        <f t="shared" si="3"/>
        <v>8.0000000000000002E-3</v>
      </c>
      <c r="AX24">
        <f t="shared" si="0"/>
        <v>0.4</v>
      </c>
      <c r="AY24">
        <f t="shared" si="1"/>
        <v>1.1001338294347041</v>
      </c>
      <c r="AZ24">
        <f t="shared" si="2"/>
        <v>33.171610950409317</v>
      </c>
      <c r="BD24" s="64"/>
      <c r="BF24" t="s">
        <v>157</v>
      </c>
      <c r="BG24" s="65">
        <f>1/BK22</f>
        <v>256750286364596.28</v>
      </c>
      <c r="BI24" t="s">
        <v>196</v>
      </c>
      <c r="BN24" t="s">
        <v>157</v>
      </c>
      <c r="BO24" s="65">
        <f>1/BS22</f>
        <v>1.4885846367562043E+18</v>
      </c>
      <c r="BQ24" t="s">
        <v>159</v>
      </c>
    </row>
    <row r="25" spans="1:71" x14ac:dyDescent="0.35">
      <c r="A25" s="53"/>
      <c r="B25" s="53"/>
      <c r="Q25" s="64"/>
      <c r="S25" s="69"/>
      <c r="T25" s="53"/>
      <c r="V25" s="66" t="s">
        <v>91</v>
      </c>
      <c r="W25">
        <v>1</v>
      </c>
      <c r="AJ25" s="64"/>
      <c r="AO25" s="66" t="s">
        <v>91</v>
      </c>
      <c r="AP25">
        <v>1</v>
      </c>
      <c r="AW25">
        <f t="shared" si="3"/>
        <v>9.0000000000000011E-3</v>
      </c>
      <c r="AX25">
        <f t="shared" si="0"/>
        <v>0.45000000000000007</v>
      </c>
      <c r="AY25">
        <f t="shared" si="1"/>
        <v>1.1340243946590471</v>
      </c>
      <c r="AZ25">
        <f t="shared" si="2"/>
        <v>36.267673876160082</v>
      </c>
      <c r="BD25" s="64"/>
    </row>
    <row r="26" spans="1:71" ht="29" x14ac:dyDescent="0.35">
      <c r="A26" t="s">
        <v>100</v>
      </c>
      <c r="B26" t="s">
        <v>98</v>
      </c>
      <c r="Q26" s="64"/>
      <c r="S26" s="69"/>
      <c r="T26" s="53"/>
      <c r="V26" s="67" t="s">
        <v>92</v>
      </c>
      <c r="W26">
        <v>0.1</v>
      </c>
      <c r="X26" t="s">
        <v>73</v>
      </c>
      <c r="AJ26" s="64"/>
      <c r="AW26">
        <f t="shared" ref="AW26:AW34" si="4">AW25+0.001</f>
        <v>1.0000000000000002E-2</v>
      </c>
      <c r="AX26">
        <f t="shared" si="0"/>
        <v>0.50000000000000011</v>
      </c>
      <c r="AY26">
        <f t="shared" si="1"/>
        <v>1.1759185771132286</v>
      </c>
      <c r="AZ26">
        <f t="shared" si="2"/>
        <v>39.641794102104072</v>
      </c>
      <c r="BD26" s="64"/>
      <c r="BF26" t="s">
        <v>140</v>
      </c>
      <c r="BG26" s="65">
        <f>BG24/365</f>
        <v>703425442094.7843</v>
      </c>
      <c r="BN26" t="s">
        <v>140</v>
      </c>
      <c r="BO26" s="65">
        <f>BO24/365</f>
        <v>4078314073304669.5</v>
      </c>
    </row>
    <row r="27" spans="1:71" x14ac:dyDescent="0.35">
      <c r="A27">
        <v>10</v>
      </c>
      <c r="B27">
        <f>$E$23*(2*A27)^$E$22</f>
        <v>660.78982141089205</v>
      </c>
      <c r="Q27" s="64"/>
      <c r="S27" s="69"/>
      <c r="T27" s="53"/>
      <c r="V27" s="59" t="s">
        <v>93</v>
      </c>
      <c r="W27">
        <f>20</f>
        <v>20</v>
      </c>
      <c r="X27" t="s">
        <v>73</v>
      </c>
      <c r="AJ27" s="64"/>
      <c r="AO27" s="63"/>
      <c r="AW27">
        <f t="shared" si="4"/>
        <v>1.1000000000000003E-2</v>
      </c>
      <c r="AX27">
        <f t="shared" si="0"/>
        <v>0.55000000000000016</v>
      </c>
      <c r="AY27">
        <f t="shared" si="1"/>
        <v>1.2277727515256596</v>
      </c>
      <c r="AZ27">
        <f t="shared" si="2"/>
        <v>43.410059724743903</v>
      </c>
      <c r="BD27" s="64"/>
    </row>
    <row r="28" spans="1:71" x14ac:dyDescent="0.35">
      <c r="A28">
        <f t="shared" ref="A28:A51" si="5">A27*10</f>
        <v>100</v>
      </c>
      <c r="B28">
        <f t="shared" ref="B28:B51" si="6">$E$23*(2*A28)^$E$22</f>
        <v>509.40516564812197</v>
      </c>
      <c r="Q28" s="64"/>
      <c r="S28" s="69"/>
      <c r="T28" s="53"/>
      <c r="V28" t="s">
        <v>94</v>
      </c>
      <c r="W28">
        <f>W26/W27</f>
        <v>5.0000000000000001E-3</v>
      </c>
      <c r="AJ28" s="64"/>
      <c r="AW28">
        <f t="shared" si="4"/>
        <v>1.2000000000000004E-2</v>
      </c>
      <c r="AX28">
        <f t="shared" si="0"/>
        <v>0.6000000000000002</v>
      </c>
      <c r="AY28">
        <f t="shared" si="1"/>
        <v>1.2923596341576138</v>
      </c>
      <c r="AZ28">
        <f t="shared" si="2"/>
        <v>47.725452837072694</v>
      </c>
      <c r="BD28" s="64"/>
    </row>
    <row r="29" spans="1:71" x14ac:dyDescent="0.35">
      <c r="A29">
        <f t="shared" si="5"/>
        <v>1000</v>
      </c>
      <c r="B29">
        <f t="shared" si="6"/>
        <v>392.70220935747778</v>
      </c>
      <c r="Q29" s="64"/>
      <c r="S29" s="69"/>
      <c r="T29" s="53"/>
      <c r="V29" t="s">
        <v>95</v>
      </c>
      <c r="W29">
        <v>34</v>
      </c>
      <c r="AJ29" s="64"/>
      <c r="AW29">
        <f t="shared" si="4"/>
        <v>1.3000000000000005E-2</v>
      </c>
      <c r="AX29">
        <f t="shared" si="0"/>
        <v>0.65000000000000024</v>
      </c>
      <c r="AY29">
        <f t="shared" si="1"/>
        <v>1.3737728864335623</v>
      </c>
      <c r="AZ29">
        <f t="shared" si="2"/>
        <v>52.803494754461184</v>
      </c>
      <c r="BD29" s="64"/>
    </row>
    <row r="30" spans="1:71" ht="29" x14ac:dyDescent="0.35">
      <c r="A30">
        <f t="shared" si="5"/>
        <v>10000</v>
      </c>
      <c r="B30">
        <f t="shared" si="6"/>
        <v>302.7354955029457</v>
      </c>
      <c r="Q30" s="64"/>
      <c r="S30" s="69"/>
      <c r="T30" s="53"/>
      <c r="V30" s="59" t="s">
        <v>96</v>
      </c>
      <c r="W30">
        <f>(1/PI())*(W29/(W18*W25))^2</f>
        <v>0.43764743422347657</v>
      </c>
      <c r="X30">
        <f>W30*1000</f>
        <v>437.64743422347658</v>
      </c>
      <c r="Y30" t="s">
        <v>73</v>
      </c>
      <c r="AJ30" s="64"/>
      <c r="AW30">
        <f t="shared" si="4"/>
        <v>1.4000000000000005E-2</v>
      </c>
      <c r="AX30">
        <f t="shared" si="0"/>
        <v>0.70000000000000029</v>
      </c>
      <c r="AY30">
        <f t="shared" si="1"/>
        <v>1.478376212380778</v>
      </c>
      <c r="AZ30">
        <f t="shared" si="2"/>
        <v>58.969172560113655</v>
      </c>
      <c r="BD30" s="64"/>
    </row>
    <row r="31" spans="1:71" x14ac:dyDescent="0.35">
      <c r="A31">
        <f t="shared" si="5"/>
        <v>100000</v>
      </c>
      <c r="B31">
        <f t="shared" si="6"/>
        <v>233.37984369215999</v>
      </c>
      <c r="Q31" s="64"/>
      <c r="S31" s="69"/>
      <c r="T31" s="53"/>
      <c r="V31" t="s">
        <v>97</v>
      </c>
      <c r="W31">
        <f>X30/W27</f>
        <v>21.882371711173828</v>
      </c>
      <c r="X31" t="s">
        <v>127</v>
      </c>
      <c r="AJ31" s="64"/>
      <c r="AW31">
        <f t="shared" si="4"/>
        <v>1.5000000000000006E-2</v>
      </c>
      <c r="AX31">
        <f t="shared" si="0"/>
        <v>0.75000000000000033</v>
      </c>
      <c r="AY31">
        <f t="shared" si="1"/>
        <v>1.616750000000001</v>
      </c>
      <c r="AZ31">
        <f t="shared" si="2"/>
        <v>66.752041013692249</v>
      </c>
      <c r="BD31" s="64"/>
    </row>
    <row r="32" spans="1:71" x14ac:dyDescent="0.35">
      <c r="A32">
        <f t="shared" si="5"/>
        <v>1000000</v>
      </c>
      <c r="B32">
        <f t="shared" si="6"/>
        <v>179.91333111200061</v>
      </c>
      <c r="Q32" s="64"/>
      <c r="S32" s="69"/>
      <c r="T32" s="53"/>
      <c r="AJ32" s="64"/>
      <c r="AO32" s="71"/>
      <c r="AP32" s="53"/>
      <c r="AW32">
        <f t="shared" si="4"/>
        <v>1.6000000000000007E-2</v>
      </c>
      <c r="AX32">
        <f t="shared" si="0"/>
        <v>0.80000000000000038</v>
      </c>
      <c r="AY32">
        <f t="shared" si="1"/>
        <v>1.8081740093254317</v>
      </c>
      <c r="AZ32">
        <f t="shared" si="2"/>
        <v>77.10388546656759</v>
      </c>
      <c r="BD32" s="64"/>
    </row>
    <row r="33" spans="1:56" x14ac:dyDescent="0.35">
      <c r="A33">
        <f t="shared" si="5"/>
        <v>10000000</v>
      </c>
      <c r="B33">
        <f t="shared" si="6"/>
        <v>138.69581108517875</v>
      </c>
      <c r="Q33" s="64"/>
      <c r="S33" s="72"/>
      <c r="T33" s="54"/>
      <c r="AJ33" s="64"/>
      <c r="AO33" s="53"/>
      <c r="AP33" s="53"/>
      <c r="AW33">
        <f t="shared" si="4"/>
        <v>1.7000000000000008E-2</v>
      </c>
      <c r="AX33">
        <f t="shared" si="0"/>
        <v>0.85000000000000042</v>
      </c>
      <c r="AY33">
        <f t="shared" si="1"/>
        <v>2.0927923710121554</v>
      </c>
      <c r="AZ33">
        <f t="shared" si="2"/>
        <v>91.987042142664365</v>
      </c>
      <c r="BD33" s="64"/>
    </row>
    <row r="34" spans="1:56" x14ac:dyDescent="0.35">
      <c r="A34">
        <f t="shared" si="5"/>
        <v>100000000</v>
      </c>
      <c r="B34">
        <f t="shared" si="6"/>
        <v>106.92108191026908</v>
      </c>
      <c r="Q34" s="64"/>
      <c r="S34" s="72"/>
      <c r="T34" s="54"/>
      <c r="AJ34" s="64"/>
      <c r="AO34" s="53"/>
      <c r="AP34" s="53"/>
      <c r="AW34">
        <f t="shared" si="4"/>
        <v>1.8000000000000009E-2</v>
      </c>
      <c r="AX34">
        <f t="shared" si="0"/>
        <v>0.90000000000000047</v>
      </c>
      <c r="AY34">
        <f t="shared" si="1"/>
        <v>2.5742837520366773</v>
      </c>
      <c r="AZ34">
        <f t="shared" si="2"/>
        <v>116.43102431783137</v>
      </c>
      <c r="BD34" s="64"/>
    </row>
    <row r="35" spans="1:56" x14ac:dyDescent="0.35">
      <c r="A35">
        <f t="shared" si="5"/>
        <v>1000000000</v>
      </c>
      <c r="B35">
        <f t="shared" si="6"/>
        <v>82.42583296074848</v>
      </c>
      <c r="Q35" s="64"/>
      <c r="S35" s="72"/>
      <c r="T35" s="54"/>
      <c r="AJ35" s="64"/>
      <c r="AW35">
        <v>3.5000000000000001E-3</v>
      </c>
      <c r="AX35">
        <f t="shared" si="0"/>
        <v>0.17499999999999999</v>
      </c>
      <c r="AY35">
        <f t="shared" si="1"/>
        <v>1.0156211826678843</v>
      </c>
      <c r="AZ35">
        <f t="shared" si="2"/>
        <v>20.255446575402388</v>
      </c>
      <c r="BD35" s="64"/>
    </row>
    <row r="36" spans="1:56" x14ac:dyDescent="0.35">
      <c r="A36">
        <f t="shared" si="5"/>
        <v>10000000000</v>
      </c>
      <c r="B36">
        <f t="shared" si="6"/>
        <v>63.54236056996627</v>
      </c>
      <c r="Q36" s="64"/>
      <c r="S36" s="65"/>
      <c r="V36" s="63"/>
      <c r="AJ36" s="64"/>
      <c r="AW36">
        <v>3.5999999999999999E-3</v>
      </c>
      <c r="AX36">
        <f t="shared" si="0"/>
        <v>0.18</v>
      </c>
      <c r="AY36">
        <f t="shared" si="1"/>
        <v>1.016591106791233</v>
      </c>
      <c r="AZ36">
        <f t="shared" si="2"/>
        <v>20.562390692243177</v>
      </c>
      <c r="BD36" s="64"/>
    </row>
    <row r="37" spans="1:56" x14ac:dyDescent="0.35">
      <c r="A37">
        <f t="shared" si="5"/>
        <v>100000000000</v>
      </c>
      <c r="B37">
        <f t="shared" si="6"/>
        <v>48.985026195929869</v>
      </c>
      <c r="Q37" s="64"/>
      <c r="S37" s="65"/>
      <c r="AC37" t="s">
        <v>99</v>
      </c>
      <c r="AD37">
        <v>558</v>
      </c>
      <c r="AJ37" s="64"/>
      <c r="AO37" s="63"/>
      <c r="AW37">
        <v>8.3000000000000001E-3</v>
      </c>
      <c r="AX37">
        <f t="shared" si="0"/>
        <v>0.41499999999999998</v>
      </c>
      <c r="AY37">
        <f t="shared" si="1"/>
        <v>1.1095536409666098</v>
      </c>
      <c r="AZ37">
        <f t="shared" si="2"/>
        <v>34.077160454663556</v>
      </c>
      <c r="BD37" s="64"/>
    </row>
    <row r="38" spans="1:56" x14ac:dyDescent="0.35">
      <c r="A38">
        <f t="shared" si="5"/>
        <v>1000000000000</v>
      </c>
      <c r="B38">
        <f t="shared" si="6"/>
        <v>37.762726626654306</v>
      </c>
      <c r="Q38" s="64"/>
      <c r="S38" s="65"/>
      <c r="AC38" t="s">
        <v>101</v>
      </c>
      <c r="AD38">
        <v>-0.113</v>
      </c>
      <c r="AJ38" s="64"/>
      <c r="BD38" s="64"/>
    </row>
    <row r="39" spans="1:56" x14ac:dyDescent="0.35">
      <c r="A39">
        <f t="shared" si="5"/>
        <v>10000000000000</v>
      </c>
      <c r="B39">
        <f t="shared" si="6"/>
        <v>29.111416957819536</v>
      </c>
      <c r="Q39" s="64"/>
      <c r="S39" s="65"/>
      <c r="AC39" t="s">
        <v>103</v>
      </c>
      <c r="AD39">
        <v>927</v>
      </c>
      <c r="AJ39" s="64"/>
      <c r="BD39" s="64"/>
    </row>
    <row r="40" spans="1:56" x14ac:dyDescent="0.35">
      <c r="A40">
        <f t="shared" si="5"/>
        <v>100000000000000</v>
      </c>
      <c r="B40">
        <f t="shared" si="6"/>
        <v>22.442092322164147</v>
      </c>
      <c r="Q40" s="64"/>
      <c r="S40" s="65"/>
      <c r="AJ40" s="64"/>
      <c r="BD40" s="64"/>
    </row>
    <row r="41" spans="1:56" x14ac:dyDescent="0.35">
      <c r="A41">
        <f t="shared" si="5"/>
        <v>1000000000000000</v>
      </c>
      <c r="B41">
        <f t="shared" si="6"/>
        <v>17.300686824220552</v>
      </c>
      <c r="Q41" s="64"/>
      <c r="S41" s="65"/>
      <c r="V41" s="71"/>
      <c r="W41" s="53"/>
      <c r="AJ41" s="64"/>
      <c r="AU41" t="s">
        <v>99</v>
      </c>
      <c r="AV41">
        <v>558</v>
      </c>
      <c r="BD41" s="64"/>
    </row>
    <row r="42" spans="1:56" x14ac:dyDescent="0.35">
      <c r="A42">
        <f t="shared" si="5"/>
        <v>1E+16</v>
      </c>
      <c r="B42">
        <f t="shared" si="6"/>
        <v>13.337159489988901</v>
      </c>
      <c r="Q42" s="64"/>
      <c r="S42" s="65"/>
      <c r="V42" s="53"/>
      <c r="W42" s="53"/>
      <c r="AJ42" s="64"/>
      <c r="AO42" t="s">
        <v>100</v>
      </c>
      <c r="AU42" t="s">
        <v>101</v>
      </c>
      <c r="AV42">
        <v>-0.113</v>
      </c>
      <c r="BD42" s="64"/>
    </row>
    <row r="43" spans="1:56" x14ac:dyDescent="0.35">
      <c r="A43">
        <f t="shared" si="5"/>
        <v>1E+17</v>
      </c>
      <c r="B43">
        <f t="shared" si="6"/>
        <v>10.281662518298026</v>
      </c>
      <c r="Q43" s="64"/>
      <c r="S43" s="65"/>
      <c r="V43" s="53"/>
      <c r="W43" s="53"/>
      <c r="AJ43" s="64"/>
      <c r="AO43">
        <f>10</f>
        <v>10</v>
      </c>
      <c r="AP43">
        <f t="shared" ref="AP43:AP68" si="7">$AV$43*(2*AO43)^$AV$42</f>
        <v>660.78982141089205</v>
      </c>
      <c r="AU43" t="s">
        <v>103</v>
      </c>
      <c r="AV43">
        <v>927</v>
      </c>
      <c r="BD43" s="64"/>
    </row>
    <row r="44" spans="1:56" x14ac:dyDescent="0.35">
      <c r="A44">
        <f t="shared" si="5"/>
        <v>1E+18</v>
      </c>
      <c r="B44">
        <f t="shared" si="6"/>
        <v>7.926169303105671</v>
      </c>
      <c r="Q44" s="64"/>
      <c r="S44" s="65"/>
      <c r="AJ44" s="64"/>
      <c r="AO44">
        <f>AO43*10</f>
        <v>100</v>
      </c>
      <c r="AP44">
        <f t="shared" si="7"/>
        <v>509.40516564812197</v>
      </c>
      <c r="BD44" s="64"/>
    </row>
    <row r="45" spans="1:56" x14ac:dyDescent="0.35">
      <c r="A45">
        <f t="shared" si="5"/>
        <v>1E+19</v>
      </c>
      <c r="B45">
        <f t="shared" si="6"/>
        <v>6.1103114121561619</v>
      </c>
      <c r="Q45" s="64"/>
      <c r="S45" s="65"/>
      <c r="AJ45" s="64"/>
      <c r="AO45">
        <f t="shared" ref="AO45:AO68" si="8">AO44*10</f>
        <v>1000</v>
      </c>
      <c r="AP45">
        <f t="shared" si="7"/>
        <v>392.70220935747778</v>
      </c>
      <c r="BD45" s="64"/>
    </row>
    <row r="46" spans="1:56" x14ac:dyDescent="0.35">
      <c r="A46">
        <f t="shared" si="5"/>
        <v>1E+20</v>
      </c>
      <c r="B46">
        <f t="shared" si="6"/>
        <v>4.7104602646951568</v>
      </c>
      <c r="Q46" s="64"/>
      <c r="S46" s="65"/>
      <c r="V46" s="63"/>
      <c r="AJ46" s="64"/>
      <c r="AO46">
        <f t="shared" si="8"/>
        <v>10000</v>
      </c>
      <c r="AP46">
        <f t="shared" si="7"/>
        <v>302.7354955029457</v>
      </c>
      <c r="BD46" s="64"/>
    </row>
    <row r="47" spans="1:56" x14ac:dyDescent="0.35">
      <c r="A47">
        <f t="shared" si="5"/>
        <v>1E+21</v>
      </c>
      <c r="B47">
        <f t="shared" si="6"/>
        <v>3.6313101589436525</v>
      </c>
      <c r="Q47" s="64"/>
      <c r="S47" s="65"/>
      <c r="AJ47" s="64"/>
      <c r="AO47">
        <f t="shared" si="8"/>
        <v>100000</v>
      </c>
      <c r="AP47">
        <f t="shared" si="7"/>
        <v>233.37984369215999</v>
      </c>
      <c r="BD47" s="64"/>
    </row>
    <row r="48" spans="1:56" x14ac:dyDescent="0.35">
      <c r="A48">
        <f t="shared" si="5"/>
        <v>1E+22</v>
      </c>
      <c r="B48">
        <f t="shared" si="6"/>
        <v>2.7993895987785682</v>
      </c>
      <c r="Q48" s="64"/>
      <c r="S48" s="65"/>
      <c r="AJ48" s="64"/>
      <c r="AO48">
        <f t="shared" si="8"/>
        <v>1000000</v>
      </c>
      <c r="AP48">
        <f t="shared" si="7"/>
        <v>179.91333111200061</v>
      </c>
      <c r="BD48" s="64"/>
    </row>
    <row r="49" spans="1:56" x14ac:dyDescent="0.35">
      <c r="A49">
        <f t="shared" si="5"/>
        <v>9.9999999999999992E+22</v>
      </c>
      <c r="B49">
        <f t="shared" si="6"/>
        <v>2.1580591529612807</v>
      </c>
      <c r="Q49" s="64"/>
      <c r="S49" s="65"/>
      <c r="AJ49" s="64"/>
      <c r="AO49">
        <f t="shared" si="8"/>
        <v>10000000</v>
      </c>
      <c r="AP49">
        <f t="shared" si="7"/>
        <v>138.69581108517875</v>
      </c>
      <c r="BD49" s="64"/>
    </row>
    <row r="50" spans="1:56" x14ac:dyDescent="0.35">
      <c r="A50">
        <f t="shared" si="5"/>
        <v>9.9999999999999998E+23</v>
      </c>
      <c r="B50">
        <f t="shared" si="6"/>
        <v>1.6636552874640982</v>
      </c>
      <c r="Q50" s="64"/>
      <c r="S50" s="65"/>
      <c r="V50" t="s">
        <v>100</v>
      </c>
      <c r="W50" t="s">
        <v>98</v>
      </c>
      <c r="AJ50" s="64"/>
      <c r="AO50">
        <f t="shared" si="8"/>
        <v>100000000</v>
      </c>
      <c r="AP50">
        <f t="shared" si="7"/>
        <v>106.92108191026908</v>
      </c>
      <c r="BD50" s="64"/>
    </row>
    <row r="51" spans="1:56" x14ac:dyDescent="0.35">
      <c r="A51">
        <f t="shared" si="5"/>
        <v>9.9999999999999988E+24</v>
      </c>
      <c r="B51">
        <f t="shared" si="6"/>
        <v>1.2825176324334544</v>
      </c>
      <c r="Q51" s="64"/>
      <c r="S51" s="65"/>
      <c r="V51">
        <v>10</v>
      </c>
      <c r="W51">
        <f>$E$23*(2*V51)^$E$22</f>
        <v>660.78982141089205</v>
      </c>
      <c r="AJ51" s="64"/>
      <c r="AO51">
        <f t="shared" si="8"/>
        <v>1000000000</v>
      </c>
      <c r="AP51">
        <f t="shared" si="7"/>
        <v>82.42583296074848</v>
      </c>
      <c r="BD51" s="64"/>
    </row>
    <row r="52" spans="1:56" x14ac:dyDescent="0.35">
      <c r="A52" s="53"/>
      <c r="B52" s="53"/>
      <c r="Q52" s="64"/>
      <c r="S52" s="65"/>
      <c r="V52">
        <f t="shared" ref="V52:V70" si="9">V51*10</f>
        <v>100</v>
      </c>
      <c r="W52">
        <f t="shared" ref="W52:W70" si="10">$E$23*(2*V52)^$E$22</f>
        <v>509.40516564812197</v>
      </c>
      <c r="AJ52" s="64"/>
      <c r="AO52">
        <f t="shared" si="8"/>
        <v>10000000000</v>
      </c>
      <c r="AP52">
        <f t="shared" si="7"/>
        <v>63.54236056996627</v>
      </c>
      <c r="BD52" s="64"/>
    </row>
    <row r="53" spans="1:56" x14ac:dyDescent="0.35">
      <c r="A53" s="53"/>
      <c r="B53" s="53"/>
      <c r="Q53" s="64"/>
      <c r="S53" s="65"/>
      <c r="V53">
        <f t="shared" si="9"/>
        <v>1000</v>
      </c>
      <c r="W53">
        <f t="shared" si="10"/>
        <v>392.70220935747778</v>
      </c>
      <c r="AJ53" s="64"/>
      <c r="AO53">
        <f t="shared" si="8"/>
        <v>100000000000</v>
      </c>
      <c r="AP53">
        <f t="shared" si="7"/>
        <v>48.985026195929869</v>
      </c>
      <c r="BD53" s="64"/>
    </row>
    <row r="54" spans="1:56" x14ac:dyDescent="0.35">
      <c r="A54" s="53"/>
      <c r="B54" s="53"/>
      <c r="Q54" s="64"/>
      <c r="S54" s="65"/>
      <c r="V54">
        <f t="shared" si="9"/>
        <v>10000</v>
      </c>
      <c r="W54">
        <f t="shared" si="10"/>
        <v>302.7354955029457</v>
      </c>
      <c r="AJ54" s="64"/>
      <c r="AO54">
        <f t="shared" si="8"/>
        <v>1000000000000</v>
      </c>
      <c r="AP54">
        <f t="shared" si="7"/>
        <v>37.762726626654306</v>
      </c>
      <c r="BD54" s="64"/>
    </row>
    <row r="55" spans="1:56" x14ac:dyDescent="0.35">
      <c r="A55" s="53"/>
      <c r="B55" s="53"/>
      <c r="Q55" s="64"/>
      <c r="S55" s="65"/>
      <c r="V55">
        <f t="shared" si="9"/>
        <v>100000</v>
      </c>
      <c r="W55">
        <f t="shared" si="10"/>
        <v>233.37984369215999</v>
      </c>
      <c r="AJ55" s="64"/>
      <c r="AO55">
        <f t="shared" si="8"/>
        <v>10000000000000</v>
      </c>
      <c r="AP55">
        <f t="shared" si="7"/>
        <v>29.111416957819536</v>
      </c>
      <c r="BD55" s="64"/>
    </row>
    <row r="56" spans="1:56" x14ac:dyDescent="0.35">
      <c r="A56" s="53"/>
      <c r="B56" s="53"/>
      <c r="Q56" s="64"/>
      <c r="S56" s="65"/>
      <c r="V56">
        <f t="shared" si="9"/>
        <v>1000000</v>
      </c>
      <c r="W56">
        <f t="shared" si="10"/>
        <v>179.91333111200061</v>
      </c>
      <c r="AJ56" s="64"/>
      <c r="AO56">
        <f t="shared" si="8"/>
        <v>100000000000000</v>
      </c>
      <c r="AP56">
        <f t="shared" si="7"/>
        <v>22.442092322164147</v>
      </c>
      <c r="BD56" s="64"/>
    </row>
    <row r="57" spans="1:56" x14ac:dyDescent="0.35">
      <c r="A57" s="53"/>
      <c r="B57" s="53"/>
      <c r="S57" s="65"/>
      <c r="V57">
        <f t="shared" si="9"/>
        <v>10000000</v>
      </c>
      <c r="W57">
        <f t="shared" si="10"/>
        <v>138.69581108517875</v>
      </c>
      <c r="AJ57" s="64"/>
      <c r="AO57">
        <f t="shared" si="8"/>
        <v>1000000000000000</v>
      </c>
      <c r="AP57">
        <f t="shared" si="7"/>
        <v>17.300686824220552</v>
      </c>
      <c r="BD57" s="64"/>
    </row>
    <row r="58" spans="1:56" x14ac:dyDescent="0.35">
      <c r="A58" s="53"/>
      <c r="B58" s="53"/>
      <c r="S58" s="65"/>
      <c r="V58">
        <f t="shared" si="9"/>
        <v>100000000</v>
      </c>
      <c r="W58">
        <f t="shared" si="10"/>
        <v>106.92108191026908</v>
      </c>
      <c r="AJ58" s="64"/>
      <c r="AO58">
        <f t="shared" si="8"/>
        <v>1E+16</v>
      </c>
      <c r="AP58">
        <f t="shared" si="7"/>
        <v>13.337159489988901</v>
      </c>
      <c r="BD58" s="64"/>
    </row>
    <row r="59" spans="1:56" x14ac:dyDescent="0.35">
      <c r="S59" s="65"/>
      <c r="V59">
        <f t="shared" si="9"/>
        <v>1000000000</v>
      </c>
      <c r="W59">
        <f t="shared" si="10"/>
        <v>82.42583296074848</v>
      </c>
      <c r="AJ59" s="64"/>
      <c r="AO59">
        <f t="shared" si="8"/>
        <v>1E+17</v>
      </c>
      <c r="AP59">
        <f t="shared" si="7"/>
        <v>10.281662518298026</v>
      </c>
      <c r="BD59" s="64"/>
    </row>
    <row r="60" spans="1:56" x14ac:dyDescent="0.35">
      <c r="S60" s="65"/>
      <c r="V60">
        <f t="shared" si="9"/>
        <v>10000000000</v>
      </c>
      <c r="W60">
        <f t="shared" si="10"/>
        <v>63.54236056996627</v>
      </c>
      <c r="AJ60" s="64"/>
      <c r="AO60">
        <f t="shared" si="8"/>
        <v>1E+18</v>
      </c>
      <c r="AP60">
        <f t="shared" si="7"/>
        <v>7.926169303105671</v>
      </c>
      <c r="BD60" s="64"/>
    </row>
    <row r="61" spans="1:56" x14ac:dyDescent="0.35">
      <c r="S61" s="65"/>
      <c r="V61">
        <f t="shared" si="9"/>
        <v>100000000000</v>
      </c>
      <c r="W61">
        <f t="shared" si="10"/>
        <v>48.985026195929869</v>
      </c>
      <c r="AJ61" s="64"/>
      <c r="AO61">
        <f t="shared" si="8"/>
        <v>1E+19</v>
      </c>
      <c r="AP61">
        <f t="shared" si="7"/>
        <v>6.1103114121561619</v>
      </c>
      <c r="BD61" s="64"/>
    </row>
    <row r="62" spans="1:56" x14ac:dyDescent="0.35">
      <c r="S62" s="65"/>
      <c r="V62">
        <f t="shared" si="9"/>
        <v>1000000000000</v>
      </c>
      <c r="W62">
        <f t="shared" si="10"/>
        <v>37.762726626654306</v>
      </c>
      <c r="AJ62" s="64"/>
      <c r="AO62">
        <f t="shared" si="8"/>
        <v>1E+20</v>
      </c>
      <c r="AP62">
        <f t="shared" si="7"/>
        <v>4.7104602646951568</v>
      </c>
      <c r="BD62" s="64"/>
    </row>
    <row r="63" spans="1:56" x14ac:dyDescent="0.35">
      <c r="S63" s="65"/>
      <c r="V63">
        <f t="shared" si="9"/>
        <v>10000000000000</v>
      </c>
      <c r="W63">
        <f t="shared" si="10"/>
        <v>29.111416957819536</v>
      </c>
      <c r="AJ63" s="64"/>
      <c r="AO63">
        <f t="shared" si="8"/>
        <v>1E+21</v>
      </c>
      <c r="AP63">
        <f t="shared" si="7"/>
        <v>3.6313101589436525</v>
      </c>
      <c r="BD63" s="64"/>
    </row>
    <row r="64" spans="1:56" x14ac:dyDescent="0.35">
      <c r="S64" s="65"/>
      <c r="V64">
        <f t="shared" si="9"/>
        <v>100000000000000</v>
      </c>
      <c r="W64">
        <f t="shared" si="10"/>
        <v>22.442092322164147</v>
      </c>
      <c r="AJ64" s="64"/>
      <c r="AO64">
        <f t="shared" si="8"/>
        <v>1E+22</v>
      </c>
      <c r="AP64">
        <f t="shared" si="7"/>
        <v>2.7993895987785682</v>
      </c>
      <c r="BD64" s="64"/>
    </row>
    <row r="65" spans="19:56" x14ac:dyDescent="0.35">
      <c r="S65" s="65"/>
      <c r="V65">
        <f t="shared" si="9"/>
        <v>1000000000000000</v>
      </c>
      <c r="W65">
        <f t="shared" si="10"/>
        <v>17.300686824220552</v>
      </c>
      <c r="AJ65" s="64"/>
      <c r="AO65">
        <f t="shared" si="8"/>
        <v>9.9999999999999992E+22</v>
      </c>
      <c r="AP65">
        <f t="shared" si="7"/>
        <v>2.1580591529612807</v>
      </c>
      <c r="BD65" s="64"/>
    </row>
    <row r="66" spans="19:56" x14ac:dyDescent="0.35">
      <c r="S66" s="65"/>
      <c r="V66">
        <f t="shared" si="9"/>
        <v>1E+16</v>
      </c>
      <c r="W66">
        <f t="shared" si="10"/>
        <v>13.337159489988901</v>
      </c>
      <c r="AJ66" s="64"/>
      <c r="AO66">
        <f t="shared" si="8"/>
        <v>9.9999999999999998E+23</v>
      </c>
      <c r="AP66">
        <f t="shared" si="7"/>
        <v>1.6636552874640982</v>
      </c>
      <c r="BD66" s="64"/>
    </row>
    <row r="67" spans="19:56" x14ac:dyDescent="0.35">
      <c r="S67" s="65"/>
      <c r="V67">
        <f t="shared" si="9"/>
        <v>1E+17</v>
      </c>
      <c r="W67">
        <f t="shared" si="10"/>
        <v>10.281662518298026</v>
      </c>
      <c r="AJ67" s="64"/>
      <c r="AO67">
        <f t="shared" si="8"/>
        <v>9.9999999999999988E+24</v>
      </c>
      <c r="AP67">
        <f t="shared" si="7"/>
        <v>1.2825176324334544</v>
      </c>
      <c r="BD67" s="64"/>
    </row>
    <row r="68" spans="19:56" x14ac:dyDescent="0.35">
      <c r="S68" s="65"/>
      <c r="V68">
        <f t="shared" si="9"/>
        <v>1E+18</v>
      </c>
      <c r="W68">
        <f t="shared" si="10"/>
        <v>7.926169303105671</v>
      </c>
      <c r="AJ68" s="64"/>
      <c r="AO68">
        <f t="shared" si="8"/>
        <v>9.9999999999999988E+25</v>
      </c>
      <c r="AP68">
        <f t="shared" si="7"/>
        <v>0.9886972919792496</v>
      </c>
      <c r="BD68" s="64"/>
    </row>
    <row r="69" spans="19:56" x14ac:dyDescent="0.35">
      <c r="S69" s="65"/>
      <c r="V69">
        <f t="shared" si="9"/>
        <v>1E+19</v>
      </c>
      <c r="W69">
        <f t="shared" si="10"/>
        <v>6.1103114121561619</v>
      </c>
      <c r="AJ69" s="64"/>
      <c r="BD69" s="64"/>
    </row>
    <row r="70" spans="19:56" x14ac:dyDescent="0.35">
      <c r="S70" s="65"/>
      <c r="V70">
        <f t="shared" si="9"/>
        <v>1E+20</v>
      </c>
      <c r="W70">
        <f t="shared" si="10"/>
        <v>4.7104602646951568</v>
      </c>
      <c r="AJ70" s="64"/>
      <c r="BD70" s="64"/>
    </row>
    <row r="71" spans="19:56" x14ac:dyDescent="0.35">
      <c r="S71" s="65"/>
      <c r="V71">
        <f t="shared" ref="V71:V75" si="11">V70*10</f>
        <v>1E+21</v>
      </c>
      <c r="W71">
        <f t="shared" ref="W71:W75" si="12">$E$23*(2*V71)^$E$22</f>
        <v>3.6313101589436525</v>
      </c>
      <c r="AJ71" s="64"/>
      <c r="BD71" s="64"/>
    </row>
    <row r="72" spans="19:56" x14ac:dyDescent="0.35">
      <c r="S72" s="65"/>
      <c r="V72">
        <f t="shared" si="11"/>
        <v>1E+22</v>
      </c>
      <c r="W72">
        <f t="shared" si="12"/>
        <v>2.7993895987785682</v>
      </c>
      <c r="AJ72" s="64"/>
      <c r="BD72" s="64"/>
    </row>
    <row r="73" spans="19:56" x14ac:dyDescent="0.35">
      <c r="S73" s="65"/>
      <c r="V73">
        <f t="shared" si="11"/>
        <v>9.9999999999999992E+22</v>
      </c>
      <c r="W73">
        <f t="shared" si="12"/>
        <v>2.1580591529612807</v>
      </c>
      <c r="AJ73" s="64"/>
      <c r="BD73" s="64"/>
    </row>
    <row r="74" spans="19:56" x14ac:dyDescent="0.35">
      <c r="S74" s="65"/>
      <c r="V74">
        <f t="shared" si="11"/>
        <v>9.9999999999999998E+23</v>
      </c>
      <c r="W74">
        <f t="shared" si="12"/>
        <v>1.6636552874640982</v>
      </c>
      <c r="AJ74" s="64"/>
      <c r="BD74" s="64"/>
    </row>
    <row r="75" spans="19:56" x14ac:dyDescent="0.35">
      <c r="S75" s="65"/>
      <c r="V75">
        <f t="shared" si="11"/>
        <v>9.9999999999999988E+24</v>
      </c>
      <c r="W75">
        <f t="shared" si="12"/>
        <v>1.2825176324334544</v>
      </c>
      <c r="AJ75" s="64"/>
      <c r="BD75" s="64"/>
    </row>
    <row r="76" spans="19:56" x14ac:dyDescent="0.35">
      <c r="S76" s="65"/>
      <c r="AJ76" s="64"/>
      <c r="BD76" s="64"/>
    </row>
    <row r="77" spans="19:56" x14ac:dyDescent="0.35">
      <c r="S77" s="65"/>
      <c r="AJ77" s="64"/>
      <c r="BD77" s="64"/>
    </row>
    <row r="78" spans="19:56" x14ac:dyDescent="0.35">
      <c r="S78" s="65"/>
      <c r="AJ78" s="64"/>
      <c r="BD78" s="64"/>
    </row>
    <row r="79" spans="19:56" x14ac:dyDescent="0.35">
      <c r="S79" s="65"/>
      <c r="AJ79" s="64"/>
      <c r="BD79" s="64"/>
    </row>
    <row r="80" spans="19:56" x14ac:dyDescent="0.35">
      <c r="S80" s="65"/>
      <c r="AJ80" s="64"/>
      <c r="BD80" s="64"/>
    </row>
    <row r="81" spans="19:56" x14ac:dyDescent="0.35">
      <c r="S81" s="65"/>
      <c r="AJ81" s="64"/>
      <c r="BD81" s="64"/>
    </row>
    <row r="82" spans="19:56" x14ac:dyDescent="0.35">
      <c r="S82" s="65"/>
      <c r="AJ82" s="64"/>
      <c r="BD82" s="64"/>
    </row>
    <row r="83" spans="19:56" x14ac:dyDescent="0.35">
      <c r="S83" s="65"/>
      <c r="AJ83" s="64"/>
      <c r="BD83" s="64"/>
    </row>
    <row r="84" spans="19:56" x14ac:dyDescent="0.35">
      <c r="S84" s="65"/>
      <c r="AJ84" s="64"/>
      <c r="BD84" s="64"/>
    </row>
    <row r="85" spans="19:56" x14ac:dyDescent="0.35">
      <c r="S85" s="65"/>
      <c r="AJ85" s="64"/>
      <c r="BD85" s="64"/>
    </row>
    <row r="86" spans="19:56" x14ac:dyDescent="0.35">
      <c r="S86" s="65"/>
      <c r="AJ86" s="64"/>
      <c r="BD86" s="64"/>
    </row>
    <row r="87" spans="19:56" x14ac:dyDescent="0.35">
      <c r="S87" s="65"/>
      <c r="AJ87" s="64"/>
      <c r="BD87" s="64"/>
    </row>
    <row r="88" spans="19:56" x14ac:dyDescent="0.35">
      <c r="S88" s="65"/>
      <c r="AJ88" s="64"/>
      <c r="BD88" s="64"/>
    </row>
    <row r="89" spans="19:56" x14ac:dyDescent="0.35">
      <c r="S89" s="65"/>
      <c r="AJ89" s="64"/>
      <c r="BD89" s="64"/>
    </row>
    <row r="90" spans="19:56" x14ac:dyDescent="0.35">
      <c r="S90" s="65"/>
      <c r="AJ90" s="64"/>
      <c r="BD90" s="64"/>
    </row>
    <row r="91" spans="19:56" x14ac:dyDescent="0.35">
      <c r="S91" s="65"/>
      <c r="AJ91" s="64"/>
      <c r="BD91" s="64"/>
    </row>
    <row r="92" spans="19:56" x14ac:dyDescent="0.35">
      <c r="S92" s="65"/>
      <c r="AJ92" s="64"/>
      <c r="BD92" s="64"/>
    </row>
    <row r="93" spans="19:56" x14ac:dyDescent="0.35">
      <c r="S93" s="65"/>
      <c r="AJ93" s="64"/>
      <c r="BD93" s="64"/>
    </row>
    <row r="94" spans="19:56" x14ac:dyDescent="0.35">
      <c r="S94" s="65"/>
      <c r="AJ94" s="64"/>
      <c r="BD94" s="64"/>
    </row>
    <row r="95" spans="19:56" x14ac:dyDescent="0.35">
      <c r="S95" s="65"/>
      <c r="AJ95" s="64"/>
      <c r="BD95" s="64"/>
    </row>
    <row r="96" spans="19:56" x14ac:dyDescent="0.35">
      <c r="S96" s="65"/>
      <c r="AJ96" s="64"/>
      <c r="BD96" s="64"/>
    </row>
    <row r="97" spans="19:56" x14ac:dyDescent="0.35">
      <c r="S97" s="65"/>
      <c r="AJ97" s="64"/>
      <c r="BD97" s="64"/>
    </row>
    <row r="98" spans="19:56" x14ac:dyDescent="0.35">
      <c r="S98" s="65"/>
      <c r="AJ98" s="64"/>
      <c r="BD98" s="64"/>
    </row>
    <row r="99" spans="19:56" x14ac:dyDescent="0.35">
      <c r="S99" s="65"/>
      <c r="AJ99" s="64"/>
      <c r="BD99" s="64"/>
    </row>
    <row r="100" spans="19:56" x14ac:dyDescent="0.35">
      <c r="S100" s="65"/>
      <c r="AJ100" s="64"/>
      <c r="BD100" s="64"/>
    </row>
    <row r="101" spans="19:56" x14ac:dyDescent="0.35">
      <c r="S101" s="65"/>
      <c r="AJ101" s="64"/>
      <c r="BD101" s="64"/>
    </row>
    <row r="102" spans="19:56" x14ac:dyDescent="0.35">
      <c r="S102" s="65"/>
      <c r="AJ102" s="64"/>
      <c r="BD102" s="64"/>
    </row>
    <row r="103" spans="19:56" x14ac:dyDescent="0.35">
      <c r="S103" s="65"/>
      <c r="AJ103" s="64"/>
      <c r="BD103" s="64"/>
    </row>
    <row r="104" spans="19:56" x14ac:dyDescent="0.35">
      <c r="S104" s="65"/>
      <c r="AJ104" s="64"/>
      <c r="BD104" s="64"/>
    </row>
    <row r="105" spans="19:56" x14ac:dyDescent="0.35">
      <c r="S105" s="65"/>
      <c r="AJ105" s="64"/>
      <c r="BD105" s="64"/>
    </row>
    <row r="106" spans="19:56" x14ac:dyDescent="0.35">
      <c r="S106" s="65"/>
      <c r="AJ106" s="64"/>
      <c r="BD106" s="64"/>
    </row>
    <row r="107" spans="19:56" x14ac:dyDescent="0.35">
      <c r="S107" s="65"/>
      <c r="AJ107" s="64"/>
      <c r="BD107" s="64"/>
    </row>
    <row r="108" spans="19:56" x14ac:dyDescent="0.35">
      <c r="S108" s="65"/>
    </row>
    <row r="109" spans="19:56" x14ac:dyDescent="0.35">
      <c r="S109" s="65"/>
    </row>
    <row r="110" spans="19:56" x14ac:dyDescent="0.35">
      <c r="S110" s="65"/>
    </row>
    <row r="111" spans="19:56" x14ac:dyDescent="0.35">
      <c r="S111" s="65"/>
    </row>
    <row r="112" spans="19:56" x14ac:dyDescent="0.35">
      <c r="S112" s="65"/>
    </row>
    <row r="113" spans="19:19" x14ac:dyDescent="0.35">
      <c r="S113" s="65"/>
    </row>
    <row r="114" spans="19:19" x14ac:dyDescent="0.35">
      <c r="S114" s="65"/>
    </row>
    <row r="115" spans="19:19" x14ac:dyDescent="0.35">
      <c r="S115" s="65"/>
    </row>
    <row r="116" spans="19:19" x14ac:dyDescent="0.35">
      <c r="S116" s="65"/>
    </row>
    <row r="117" spans="19:19" x14ac:dyDescent="0.35">
      <c r="S117" s="65"/>
    </row>
    <row r="118" spans="19:19" x14ac:dyDescent="0.35">
      <c r="S118" s="65"/>
    </row>
    <row r="119" spans="19:19" x14ac:dyDescent="0.35">
      <c r="S119" s="65"/>
    </row>
    <row r="120" spans="19:19" x14ac:dyDescent="0.35">
      <c r="S120" s="65"/>
    </row>
    <row r="121" spans="19:19" x14ac:dyDescent="0.35">
      <c r="S121" s="65"/>
    </row>
    <row r="122" spans="19:19" x14ac:dyDescent="0.35">
      <c r="S122" s="65"/>
    </row>
    <row r="123" spans="19:19" x14ac:dyDescent="0.35">
      <c r="S123" s="65"/>
    </row>
    <row r="124" spans="19:19" x14ac:dyDescent="0.35">
      <c r="S124" s="65"/>
    </row>
    <row r="125" spans="19:19" x14ac:dyDescent="0.35">
      <c r="S125" s="65"/>
    </row>
    <row r="126" spans="19:19" x14ac:dyDescent="0.35">
      <c r="S126" s="65"/>
    </row>
    <row r="127" spans="19:19" x14ac:dyDescent="0.35">
      <c r="S127" s="65"/>
    </row>
    <row r="128" spans="19:19" x14ac:dyDescent="0.35">
      <c r="S128" s="65"/>
    </row>
    <row r="129" spans="19:19" x14ac:dyDescent="0.35">
      <c r="S129" s="65"/>
    </row>
    <row r="130" spans="19:19" x14ac:dyDescent="0.35">
      <c r="S130" s="65"/>
    </row>
    <row r="131" spans="19:19" x14ac:dyDescent="0.35">
      <c r="S131" s="65"/>
    </row>
    <row r="132" spans="19:19" x14ac:dyDescent="0.35">
      <c r="S132" s="65"/>
    </row>
    <row r="133" spans="19:19" x14ac:dyDescent="0.35">
      <c r="S133" s="65"/>
    </row>
    <row r="134" spans="19:19" x14ac:dyDescent="0.35">
      <c r="S134" s="65"/>
    </row>
    <row r="135" spans="19:19" x14ac:dyDescent="0.35">
      <c r="S135" s="65"/>
    </row>
    <row r="136" spans="19:19" x14ac:dyDescent="0.35">
      <c r="S136" s="65"/>
    </row>
    <row r="137" spans="19:19" x14ac:dyDescent="0.35">
      <c r="S137" s="65"/>
    </row>
    <row r="138" spans="19:19" x14ac:dyDescent="0.35">
      <c r="S138" s="65"/>
    </row>
    <row r="139" spans="19:19" x14ac:dyDescent="0.35">
      <c r="S139" s="65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F50B-96AF-4F56-B6B2-A35BBE3C4D83}">
  <dimension ref="A1:Y86"/>
  <sheetViews>
    <sheetView zoomScale="32" zoomScaleNormal="44" workbookViewId="0">
      <selection activeCell="J37" sqref="J37"/>
    </sheetView>
  </sheetViews>
  <sheetFormatPr defaultColWidth="12.54296875" defaultRowHeight="15.5" x14ac:dyDescent="0.35"/>
  <cols>
    <col min="1" max="1" width="13.54296875" style="77" bestFit="1" customWidth="1"/>
    <col min="2" max="2" width="12.54296875" style="77"/>
    <col min="3" max="4" width="12.7265625" style="77" bestFit="1" customWidth="1"/>
    <col min="5" max="5" width="13.81640625" style="77" bestFit="1" customWidth="1"/>
    <col min="6" max="6" width="12.7265625" style="77" bestFit="1" customWidth="1"/>
    <col min="7" max="7" width="13.54296875" style="77" customWidth="1"/>
    <col min="8" max="8" width="13.453125" style="77" bestFit="1" customWidth="1"/>
    <col min="9" max="9" width="12.7265625" style="77" bestFit="1" customWidth="1"/>
    <col min="10" max="11" width="12.54296875" style="77"/>
    <col min="12" max="15" width="12.7265625" style="77" bestFit="1" customWidth="1"/>
    <col min="16" max="16" width="12.54296875" style="77"/>
    <col min="17" max="19" width="12.7265625" style="77" bestFit="1" customWidth="1"/>
    <col min="20" max="20" width="14.1796875" style="77" bestFit="1" customWidth="1"/>
    <col min="21" max="21" width="12.54296875" style="77"/>
    <col min="22" max="24" width="12.7265625" style="77" bestFit="1" customWidth="1"/>
    <col min="25" max="25" width="14.26953125" style="77" bestFit="1" customWidth="1"/>
    <col min="26" max="16384" width="12.54296875" style="77"/>
  </cols>
  <sheetData>
    <row r="1" spans="1:25" x14ac:dyDescent="0.35">
      <c r="A1" s="77" t="s">
        <v>189</v>
      </c>
      <c r="D1" s="77" t="s">
        <v>188</v>
      </c>
      <c r="G1" s="77" t="s">
        <v>187</v>
      </c>
    </row>
    <row r="2" spans="1:25" x14ac:dyDescent="0.35">
      <c r="D2" s="77" t="s">
        <v>186</v>
      </c>
      <c r="E2" s="77">
        <f>206.72</f>
        <v>206.72</v>
      </c>
      <c r="G2" s="77" t="s">
        <v>185</v>
      </c>
      <c r="H2" s="77">
        <f>662</f>
        <v>662</v>
      </c>
    </row>
    <row r="3" spans="1:25" x14ac:dyDescent="0.35">
      <c r="A3" s="77" t="s">
        <v>184</v>
      </c>
      <c r="B3" s="77">
        <v>2</v>
      </c>
      <c r="G3" s="77" t="s">
        <v>183</v>
      </c>
      <c r="H3" s="77">
        <v>7.0000000000000007E-2</v>
      </c>
    </row>
    <row r="4" spans="1:25" x14ac:dyDescent="0.35">
      <c r="A4" s="77" t="s">
        <v>101</v>
      </c>
      <c r="B4" s="77">
        <v>20</v>
      </c>
      <c r="G4" s="77" t="s">
        <v>182</v>
      </c>
      <c r="H4" s="77">
        <v>73100</v>
      </c>
    </row>
    <row r="5" spans="1:25" x14ac:dyDescent="0.35">
      <c r="A5" s="77" t="s">
        <v>181</v>
      </c>
      <c r="B5" s="77">
        <v>4</v>
      </c>
      <c r="G5" s="77" t="s">
        <v>180</v>
      </c>
      <c r="H5" s="77">
        <v>168</v>
      </c>
    </row>
    <row r="6" spans="1:25" x14ac:dyDescent="0.35">
      <c r="A6" s="77" t="s">
        <v>179</v>
      </c>
      <c r="B6" s="77">
        <f>(B4-B5)*B3</f>
        <v>32</v>
      </c>
      <c r="G6" s="77" t="s">
        <v>178</v>
      </c>
      <c r="H6" s="77">
        <v>927</v>
      </c>
    </row>
    <row r="7" spans="1:25" x14ac:dyDescent="0.35">
      <c r="A7" s="77" t="s">
        <v>26</v>
      </c>
      <c r="B7" s="77">
        <f>Fatigue!E3</f>
        <v>20.020619347782969</v>
      </c>
      <c r="G7" s="77" t="s">
        <v>177</v>
      </c>
      <c r="H7" s="77">
        <v>0.40899999999999997</v>
      </c>
    </row>
    <row r="8" spans="1:25" x14ac:dyDescent="0.35">
      <c r="A8" s="77" t="s">
        <v>176</v>
      </c>
      <c r="B8" s="77">
        <v>2.5</v>
      </c>
      <c r="G8" s="77" t="s">
        <v>101</v>
      </c>
      <c r="H8" s="77">
        <v>-0.113</v>
      </c>
    </row>
    <row r="9" spans="1:25" x14ac:dyDescent="0.35">
      <c r="G9" s="77" t="s">
        <v>175</v>
      </c>
      <c r="H9" s="77">
        <v>-0.71299999999999997</v>
      </c>
      <c r="M9" s="77" t="s">
        <v>174</v>
      </c>
      <c r="R9" s="77" t="s">
        <v>173</v>
      </c>
      <c r="S9" s="77" t="s">
        <v>172</v>
      </c>
      <c r="T9" s="77" t="s">
        <v>171</v>
      </c>
      <c r="W9" s="77" t="s">
        <v>173</v>
      </c>
      <c r="X9" s="77" t="s">
        <v>172</v>
      </c>
      <c r="Y9" s="77" t="s">
        <v>171</v>
      </c>
    </row>
    <row r="10" spans="1:25" x14ac:dyDescent="0.35">
      <c r="M10" s="77" t="s">
        <v>173</v>
      </c>
      <c r="N10" s="77" t="s">
        <v>172</v>
      </c>
      <c r="O10" s="77" t="s">
        <v>171</v>
      </c>
      <c r="Q10" s="77">
        <v>40</v>
      </c>
      <c r="R10" s="77">
        <f t="shared" ref="R10:R24" si="0">(Q10/$H$4)+((Q10/$H$2)^(1/$H$3))</f>
        <v>5.4719562243502442E-4</v>
      </c>
      <c r="S10" s="77">
        <f t="shared" ref="S10:S24" si="1">(($B$7*$B$8)^2)/(Q10*$H$4)</f>
        <v>8.5675700895353484E-4</v>
      </c>
      <c r="T10" s="77">
        <f t="shared" ref="T10:T24" si="2">R10-S10</f>
        <v>-3.0956138651851042E-4</v>
      </c>
      <c r="V10" s="77">
        <v>50</v>
      </c>
      <c r="W10" s="77">
        <f t="shared" ref="W10:W38" si="3">(V10/$H$4)+((V10/$H$2)^(1/$H$3))</f>
        <v>6.8399452804386964E-4</v>
      </c>
      <c r="X10" s="77">
        <f t="shared" ref="X10:X38" si="4">(($B$7*$B$8)^2)/(V10*$H$4)</f>
        <v>6.8540560716282787E-4</v>
      </c>
      <c r="Y10" s="77">
        <f t="shared" ref="Y10:Y38" si="5">W10-X10</f>
        <v>-1.4110791189582287E-6</v>
      </c>
    </row>
    <row r="11" spans="1:25" x14ac:dyDescent="0.35">
      <c r="L11" s="77">
        <v>0</v>
      </c>
      <c r="M11" s="77">
        <f t="shared" ref="M11:M24" si="6">B15</f>
        <v>0</v>
      </c>
      <c r="N11" s="77">
        <f t="shared" ref="N11:N24" si="7">E15</f>
        <v>3.4270280358141392E-2</v>
      </c>
      <c r="O11" s="77">
        <f t="shared" ref="O11:O24" si="8">M11-N11</f>
        <v>-3.4270280358141392E-2</v>
      </c>
      <c r="Q11" s="77">
        <v>41</v>
      </c>
      <c r="R11" s="77">
        <f t="shared" si="0"/>
        <v>5.6087551299590158E-4</v>
      </c>
      <c r="S11" s="77">
        <f t="shared" si="1"/>
        <v>8.3586049654003403E-4</v>
      </c>
      <c r="T11" s="77">
        <f t="shared" si="2"/>
        <v>-2.7498498354413246E-4</v>
      </c>
      <c r="V11" s="77">
        <f t="shared" ref="V11:V38" si="9">V10+0.1</f>
        <v>50.1</v>
      </c>
      <c r="W11" s="77">
        <f t="shared" si="3"/>
        <v>6.8536251709995998E-4</v>
      </c>
      <c r="X11" s="77">
        <f t="shared" si="4"/>
        <v>6.8403753209863064E-4</v>
      </c>
      <c r="Y11" s="77">
        <f t="shared" si="5"/>
        <v>1.3249850013293376E-6</v>
      </c>
    </row>
    <row r="12" spans="1:25" x14ac:dyDescent="0.35">
      <c r="L12" s="77">
        <v>40</v>
      </c>
      <c r="M12" s="77">
        <f t="shared" si="6"/>
        <v>2.7359781121751026E-4</v>
      </c>
      <c r="N12" s="77">
        <f t="shared" si="7"/>
        <v>1.7135140179070697E-3</v>
      </c>
      <c r="O12" s="77">
        <f t="shared" si="8"/>
        <v>-1.4399162066895594E-3</v>
      </c>
      <c r="Q12" s="77">
        <v>42</v>
      </c>
      <c r="R12" s="77">
        <f t="shared" si="0"/>
        <v>5.7455540355677939E-4</v>
      </c>
      <c r="S12" s="77">
        <f t="shared" si="1"/>
        <v>8.1595905614622363E-4</v>
      </c>
      <c r="T12" s="77">
        <f t="shared" si="2"/>
        <v>-2.4140365258944424E-4</v>
      </c>
      <c r="V12" s="79">
        <f t="shared" si="9"/>
        <v>50.2</v>
      </c>
      <c r="W12" s="79">
        <f t="shared" si="3"/>
        <v>6.8673050615605032E-4</v>
      </c>
      <c r="X12" s="79">
        <f t="shared" si="4"/>
        <v>6.8267490753269708E-4</v>
      </c>
      <c r="Y12" s="79">
        <f t="shared" si="5"/>
        <v>4.0555986233532402E-6</v>
      </c>
    </row>
    <row r="13" spans="1:25" x14ac:dyDescent="0.35">
      <c r="A13" s="77" t="s">
        <v>170</v>
      </c>
      <c r="D13" s="77" t="s">
        <v>169</v>
      </c>
      <c r="G13" s="77" t="s">
        <v>168</v>
      </c>
      <c r="L13" s="77">
        <v>45</v>
      </c>
      <c r="M13" s="77">
        <f t="shared" si="6"/>
        <v>5.4719562243502442E-4</v>
      </c>
      <c r="N13" s="77">
        <f t="shared" si="7"/>
        <v>8.5675700895353484E-4</v>
      </c>
      <c r="O13" s="77">
        <f t="shared" si="8"/>
        <v>-3.0956138651851042E-4</v>
      </c>
      <c r="Q13" s="77">
        <v>43</v>
      </c>
      <c r="R13" s="77">
        <f t="shared" si="0"/>
        <v>5.8823529411765796E-4</v>
      </c>
      <c r="S13" s="77">
        <f t="shared" si="1"/>
        <v>7.9698326414282309E-4</v>
      </c>
      <c r="T13" s="77">
        <f t="shared" si="2"/>
        <v>-2.0874797002516513E-4</v>
      </c>
      <c r="V13" s="79">
        <f t="shared" si="9"/>
        <v>50.300000000000004</v>
      </c>
      <c r="W13" s="79">
        <f t="shared" si="3"/>
        <v>6.8809849521214066E-4</v>
      </c>
      <c r="X13" s="79">
        <f t="shared" si="4"/>
        <v>6.8131770095708531E-4</v>
      </c>
      <c r="Y13" s="79">
        <f t="shared" si="5"/>
        <v>6.7807942550553472E-6</v>
      </c>
    </row>
    <row r="14" spans="1:25" x14ac:dyDescent="0.35">
      <c r="A14" s="77" t="s">
        <v>162</v>
      </c>
      <c r="B14" s="77" t="s">
        <v>161</v>
      </c>
      <c r="D14" s="77" t="s">
        <v>162</v>
      </c>
      <c r="E14" s="77" t="s">
        <v>161</v>
      </c>
      <c r="G14" s="77" t="s">
        <v>162</v>
      </c>
      <c r="H14" s="77" t="s">
        <v>161</v>
      </c>
      <c r="L14" s="77">
        <v>50</v>
      </c>
      <c r="M14" s="79">
        <f t="shared" si="6"/>
        <v>8.2079343365380189E-4</v>
      </c>
      <c r="N14" s="79">
        <f t="shared" si="7"/>
        <v>6.8403753209863064E-4</v>
      </c>
      <c r="O14" s="79">
        <f t="shared" si="8"/>
        <v>1.3675590155517124E-4</v>
      </c>
      <c r="Q14" s="77">
        <v>44</v>
      </c>
      <c r="R14" s="77">
        <f t="shared" si="0"/>
        <v>6.0191518467853772E-4</v>
      </c>
      <c r="S14" s="77">
        <f t="shared" si="1"/>
        <v>7.7887000813957709E-4</v>
      </c>
      <c r="T14" s="77">
        <f t="shared" si="2"/>
        <v>-1.7695482346103937E-4</v>
      </c>
      <c r="V14" s="77">
        <f t="shared" si="9"/>
        <v>50.400000000000006</v>
      </c>
      <c r="W14" s="77">
        <f t="shared" si="3"/>
        <v>6.8946648426823122E-4</v>
      </c>
      <c r="X14" s="77">
        <f t="shared" si="4"/>
        <v>6.7996588012185293E-4</v>
      </c>
      <c r="Y14" s="77">
        <f t="shared" si="5"/>
        <v>9.5006041463782838E-6</v>
      </c>
    </row>
    <row r="15" spans="1:25" x14ac:dyDescent="0.35">
      <c r="A15" s="77">
        <v>0</v>
      </c>
      <c r="B15" s="77">
        <v>0</v>
      </c>
      <c r="D15" s="77">
        <v>1</v>
      </c>
      <c r="E15" s="77">
        <f t="shared" ref="E15:E28" si="10">(($B$7*$B$8)^2)/(D15*$H$4)</f>
        <v>3.4270280358141392E-2</v>
      </c>
      <c r="G15" s="77">
        <v>150</v>
      </c>
      <c r="H15" s="77">
        <f t="shared" ref="H15:H22" si="11">((2*$B$7*$B$8)^2)/(G15*$H$4)</f>
        <v>9.1387414288377053E-4</v>
      </c>
      <c r="L15" s="77">
        <v>55</v>
      </c>
      <c r="M15" s="79">
        <f t="shared" si="6"/>
        <v>1.0943912449474923E-3</v>
      </c>
      <c r="N15" s="79">
        <f t="shared" si="7"/>
        <v>5.7117133930235659E-4</v>
      </c>
      <c r="O15" s="79">
        <f t="shared" si="8"/>
        <v>5.2321990564513571E-4</v>
      </c>
      <c r="Q15" s="77">
        <v>45</v>
      </c>
      <c r="R15" s="77">
        <f t="shared" si="0"/>
        <v>6.1559507523941889E-4</v>
      </c>
      <c r="S15" s="77">
        <f t="shared" si="1"/>
        <v>7.6156178573647546E-4</v>
      </c>
      <c r="T15" s="77">
        <f t="shared" si="2"/>
        <v>-1.4596671049705657E-4</v>
      </c>
      <c r="V15" s="77">
        <f t="shared" si="9"/>
        <v>50.500000000000007</v>
      </c>
      <c r="W15" s="77">
        <f t="shared" si="3"/>
        <v>6.9083447332432177E-4</v>
      </c>
      <c r="X15" s="77">
        <f t="shared" si="4"/>
        <v>6.7861941303250272E-4</v>
      </c>
      <c r="Y15" s="77">
        <f t="shared" si="5"/>
        <v>1.2215060291819054E-5</v>
      </c>
    </row>
    <row r="16" spans="1:25" x14ac:dyDescent="0.35">
      <c r="A16" s="77">
        <v>20</v>
      </c>
      <c r="B16" s="77">
        <f t="shared" ref="B16:B28" si="12">(A16/$H$4)+((A16/$H$2)^(1/$H$3))</f>
        <v>2.7359781121751026E-4</v>
      </c>
      <c r="D16" s="77">
        <v>20</v>
      </c>
      <c r="E16" s="77">
        <f t="shared" si="10"/>
        <v>1.7135140179070697E-3</v>
      </c>
      <c r="G16" s="77">
        <v>125</v>
      </c>
      <c r="H16" s="77">
        <f t="shared" si="11"/>
        <v>1.0966489714605246E-3</v>
      </c>
      <c r="L16" s="77">
        <v>60</v>
      </c>
      <c r="M16" s="77">
        <f t="shared" si="6"/>
        <v>1.3679890579645212E-3</v>
      </c>
      <c r="N16" s="77">
        <f t="shared" si="7"/>
        <v>4.2837850447676742E-4</v>
      </c>
      <c r="O16" s="77">
        <f t="shared" si="8"/>
        <v>9.396105534877538E-4</v>
      </c>
      <c r="Q16" s="77">
        <v>46</v>
      </c>
      <c r="R16" s="77">
        <f t="shared" si="0"/>
        <v>6.2927496580030213E-4</v>
      </c>
      <c r="S16" s="77">
        <f t="shared" si="1"/>
        <v>7.450060947422042E-4</v>
      </c>
      <c r="T16" s="77">
        <f t="shared" si="2"/>
        <v>-1.1573112894190207E-4</v>
      </c>
      <c r="V16" s="77">
        <f t="shared" si="9"/>
        <v>50.600000000000009</v>
      </c>
      <c r="W16" s="77">
        <f t="shared" si="3"/>
        <v>6.9220246238041255E-4</v>
      </c>
      <c r="X16" s="77">
        <f t="shared" si="4"/>
        <v>6.7727826794745829E-4</v>
      </c>
      <c r="Y16" s="77">
        <f t="shared" si="5"/>
        <v>1.4924194432954256E-5</v>
      </c>
    </row>
    <row r="17" spans="1:25" x14ac:dyDescent="0.35">
      <c r="A17" s="79">
        <v>40</v>
      </c>
      <c r="B17" s="79">
        <f t="shared" si="12"/>
        <v>5.4719562243502442E-4</v>
      </c>
      <c r="C17" s="79"/>
      <c r="D17" s="79">
        <v>40</v>
      </c>
      <c r="E17" s="79">
        <f t="shared" si="10"/>
        <v>8.5675700895353484E-4</v>
      </c>
      <c r="G17" s="77">
        <f>A31*2</f>
        <v>100.2</v>
      </c>
      <c r="H17" s="77">
        <f t="shared" si="11"/>
        <v>1.3680750641972613E-3</v>
      </c>
      <c r="L17" s="77">
        <v>65</v>
      </c>
      <c r="M17" s="77">
        <f t="shared" si="6"/>
        <v>1.6415868926924456E-3</v>
      </c>
      <c r="N17" s="77">
        <f t="shared" si="7"/>
        <v>3.4270280358141393E-4</v>
      </c>
      <c r="O17" s="77">
        <f t="shared" si="8"/>
        <v>1.2988840891110316E-3</v>
      </c>
      <c r="Q17" s="77">
        <v>47</v>
      </c>
      <c r="R17" s="77">
        <f t="shared" si="0"/>
        <v>6.4295485636118796E-4</v>
      </c>
      <c r="S17" s="77">
        <f t="shared" si="1"/>
        <v>7.2915490123705089E-4</v>
      </c>
      <c r="T17" s="77">
        <f t="shared" si="2"/>
        <v>-8.6200044875862935E-5</v>
      </c>
      <c r="V17" s="77">
        <f t="shared" si="9"/>
        <v>50.70000000000001</v>
      </c>
      <c r="W17" s="77">
        <f t="shared" si="3"/>
        <v>6.9357045143650321E-4</v>
      </c>
      <c r="X17" s="77">
        <f t="shared" si="4"/>
        <v>6.7594241337556979E-4</v>
      </c>
      <c r="Y17" s="77">
        <f t="shared" si="5"/>
        <v>1.7628038060933421E-5</v>
      </c>
    </row>
    <row r="18" spans="1:25" x14ac:dyDescent="0.35">
      <c r="A18" s="79">
        <v>60</v>
      </c>
      <c r="B18" s="79">
        <f t="shared" si="12"/>
        <v>8.2079343365380189E-4</v>
      </c>
      <c r="C18" s="79"/>
      <c r="D18" s="79">
        <v>50.1</v>
      </c>
      <c r="E18" s="79">
        <f t="shared" si="10"/>
        <v>6.8403753209863064E-4</v>
      </c>
      <c r="G18" s="77">
        <v>75</v>
      </c>
      <c r="H18" s="77">
        <f t="shared" si="11"/>
        <v>1.8277482857675411E-3</v>
      </c>
      <c r="L18" s="77">
        <v>70</v>
      </c>
      <c r="M18" s="77">
        <f t="shared" si="6"/>
        <v>1.9151849081377858E-3</v>
      </c>
      <c r="N18" s="77">
        <f t="shared" si="7"/>
        <v>2.855856696511783E-4</v>
      </c>
      <c r="O18" s="77">
        <f t="shared" si="8"/>
        <v>1.6295992384866074E-3</v>
      </c>
      <c r="Q18" s="77">
        <v>48</v>
      </c>
      <c r="R18" s="77">
        <f t="shared" si="0"/>
        <v>6.5663474692207705E-4</v>
      </c>
      <c r="S18" s="77">
        <f t="shared" si="1"/>
        <v>7.1396417412794577E-4</v>
      </c>
      <c r="T18" s="77">
        <f t="shared" si="2"/>
        <v>-5.7329427205868723E-5</v>
      </c>
      <c r="V18" s="77">
        <f t="shared" si="9"/>
        <v>50.800000000000011</v>
      </c>
      <c r="W18" s="77">
        <f t="shared" si="3"/>
        <v>6.9493844049259409E-4</v>
      </c>
      <c r="X18" s="77">
        <f t="shared" si="4"/>
        <v>6.7461181807364928E-4</v>
      </c>
      <c r="Y18" s="77">
        <f t="shared" si="5"/>
        <v>2.0326622418944816E-5</v>
      </c>
    </row>
    <row r="19" spans="1:25" x14ac:dyDescent="0.35">
      <c r="A19" s="77">
        <v>80</v>
      </c>
      <c r="B19" s="77">
        <f t="shared" si="12"/>
        <v>1.0943912449474923E-3</v>
      </c>
      <c r="D19" s="77">
        <v>60</v>
      </c>
      <c r="E19" s="77">
        <f t="shared" si="10"/>
        <v>5.7117133930235659E-4</v>
      </c>
      <c r="G19" s="77">
        <v>50</v>
      </c>
      <c r="H19" s="77">
        <f t="shared" si="11"/>
        <v>2.7416224286513115E-3</v>
      </c>
      <c r="L19" s="77">
        <v>75</v>
      </c>
      <c r="M19" s="77">
        <f t="shared" si="6"/>
        <v>2.1887840366215834E-3</v>
      </c>
      <c r="N19" s="77">
        <f t="shared" si="7"/>
        <v>2.4478771684386709E-4</v>
      </c>
      <c r="O19" s="77">
        <f t="shared" si="8"/>
        <v>1.9439963197777164E-3</v>
      </c>
      <c r="Q19" s="77">
        <v>49</v>
      </c>
      <c r="R19" s="77">
        <f t="shared" si="0"/>
        <v>6.7031463748297047E-4</v>
      </c>
      <c r="S19" s="77">
        <f t="shared" si="1"/>
        <v>6.993934766967632E-4</v>
      </c>
      <c r="T19" s="77">
        <f t="shared" si="2"/>
        <v>-2.9078839213792732E-5</v>
      </c>
      <c r="V19" s="77">
        <f t="shared" si="9"/>
        <v>50.900000000000013</v>
      </c>
      <c r="W19" s="77">
        <f t="shared" si="3"/>
        <v>6.9630642954868498E-4</v>
      </c>
      <c r="X19" s="77">
        <f t="shared" si="4"/>
        <v>6.7328645104403507E-4</v>
      </c>
      <c r="Y19" s="77">
        <f t="shared" si="5"/>
        <v>2.301997850464991E-5</v>
      </c>
    </row>
    <row r="20" spans="1:25" x14ac:dyDescent="0.35">
      <c r="A20" s="77">
        <v>100</v>
      </c>
      <c r="B20" s="77">
        <f t="shared" si="12"/>
        <v>1.3679890579645212E-3</v>
      </c>
      <c r="D20" s="77">
        <v>80</v>
      </c>
      <c r="E20" s="77">
        <f t="shared" si="10"/>
        <v>4.2837850447676742E-4</v>
      </c>
      <c r="G20" s="77">
        <v>25</v>
      </c>
      <c r="H20" s="77">
        <f t="shared" si="11"/>
        <v>5.483244857302623E-3</v>
      </c>
      <c r="L20" s="77">
        <v>80</v>
      </c>
      <c r="M20" s="77">
        <f t="shared" si="6"/>
        <v>2.4623886225677515E-3</v>
      </c>
      <c r="N20" s="77">
        <f t="shared" si="7"/>
        <v>2.1418925223838371E-4</v>
      </c>
      <c r="O20" s="77">
        <f t="shared" si="8"/>
        <v>2.2481993703293676E-3</v>
      </c>
      <c r="Q20" s="77">
        <v>50</v>
      </c>
      <c r="R20" s="77">
        <f t="shared" si="0"/>
        <v>6.8399452804386964E-4</v>
      </c>
      <c r="S20" s="77">
        <f t="shared" si="1"/>
        <v>6.8540560716282787E-4</v>
      </c>
      <c r="T20" s="77">
        <f t="shared" si="2"/>
        <v>-1.4110791189582287E-6</v>
      </c>
      <c r="V20" s="77">
        <f t="shared" si="9"/>
        <v>51.000000000000014</v>
      </c>
      <c r="W20" s="77">
        <f t="shared" si="3"/>
        <v>6.9767441860477607E-4</v>
      </c>
      <c r="X20" s="77">
        <f t="shared" si="4"/>
        <v>6.7196628153218404E-4</v>
      </c>
      <c r="Y20" s="77">
        <f t="shared" si="5"/>
        <v>2.5708137072592038E-5</v>
      </c>
    </row>
    <row r="21" spans="1:25" x14ac:dyDescent="0.35">
      <c r="A21" s="77">
        <v>120</v>
      </c>
      <c r="B21" s="77">
        <f t="shared" si="12"/>
        <v>1.6415868926924456E-3</v>
      </c>
      <c r="D21" s="77">
        <v>100</v>
      </c>
      <c r="E21" s="77">
        <f t="shared" si="10"/>
        <v>3.4270280358141393E-4</v>
      </c>
      <c r="G21" s="77">
        <v>50</v>
      </c>
      <c r="H21" s="77">
        <f t="shared" si="11"/>
        <v>2.7416224286513115E-3</v>
      </c>
      <c r="L21" s="77">
        <v>85</v>
      </c>
      <c r="M21" s="77">
        <f t="shared" si="6"/>
        <v>2.736015599616789E-3</v>
      </c>
      <c r="N21" s="77">
        <f t="shared" si="7"/>
        <v>1.9039044643411886E-4</v>
      </c>
      <c r="O21" s="77">
        <f t="shared" si="8"/>
        <v>2.5456251531826703E-3</v>
      </c>
      <c r="Q21" s="77">
        <v>51</v>
      </c>
      <c r="R21" s="77">
        <f t="shared" si="0"/>
        <v>6.9767441860477586E-4</v>
      </c>
      <c r="S21" s="77">
        <f t="shared" si="1"/>
        <v>6.7196628153218425E-4</v>
      </c>
      <c r="T21" s="77">
        <f t="shared" si="2"/>
        <v>2.5708137072591604E-5</v>
      </c>
      <c r="V21" s="77">
        <f t="shared" si="9"/>
        <v>51.100000000000016</v>
      </c>
      <c r="W21" s="77">
        <f t="shared" si="3"/>
        <v>6.9904240766086717E-4</v>
      </c>
      <c r="X21" s="77">
        <f t="shared" si="4"/>
        <v>6.7065127902429323E-4</v>
      </c>
      <c r="Y21" s="77">
        <f t="shared" si="5"/>
        <v>2.8391128636573947E-5</v>
      </c>
    </row>
    <row r="22" spans="1:25" x14ac:dyDescent="0.35">
      <c r="A22" s="77">
        <v>140</v>
      </c>
      <c r="B22" s="77">
        <f t="shared" si="12"/>
        <v>1.9151849081377858E-3</v>
      </c>
      <c r="D22" s="77">
        <v>120</v>
      </c>
      <c r="E22" s="77">
        <f t="shared" si="10"/>
        <v>2.855856696511783E-4</v>
      </c>
      <c r="G22" s="77">
        <v>25</v>
      </c>
      <c r="H22" s="77">
        <f t="shared" si="11"/>
        <v>5.483244857302623E-3</v>
      </c>
      <c r="L22" s="77">
        <v>90</v>
      </c>
      <c r="M22" s="77">
        <f t="shared" si="6"/>
        <v>3.0097222117882222E-3</v>
      </c>
      <c r="N22" s="77">
        <f t="shared" si="7"/>
        <v>1.7135140179070697E-4</v>
      </c>
      <c r="O22" s="77">
        <f t="shared" si="8"/>
        <v>2.838370809997515E-3</v>
      </c>
      <c r="Q22" s="79">
        <v>52</v>
      </c>
      <c r="R22" s="79">
        <f t="shared" si="0"/>
        <v>7.1135430916569129E-4</v>
      </c>
      <c r="S22" s="79">
        <f t="shared" si="1"/>
        <v>6.5904385304118066E-4</v>
      </c>
      <c r="T22" s="79">
        <f t="shared" si="2"/>
        <v>5.2310456124510631E-5</v>
      </c>
      <c r="V22" s="77">
        <f t="shared" si="9"/>
        <v>51.200000000000017</v>
      </c>
      <c r="W22" s="77">
        <f t="shared" si="3"/>
        <v>7.0041039671695838E-4</v>
      </c>
      <c r="X22" s="77">
        <f t="shared" si="4"/>
        <v>6.6934141324494884E-4</v>
      </c>
      <c r="Y22" s="77">
        <f t="shared" si="5"/>
        <v>3.106898347200954E-5</v>
      </c>
    </row>
    <row r="23" spans="1:25" x14ac:dyDescent="0.35">
      <c r="A23" s="77">
        <v>160</v>
      </c>
      <c r="B23" s="77">
        <f t="shared" si="12"/>
        <v>2.1887840366215834E-3</v>
      </c>
      <c r="D23" s="77">
        <v>140</v>
      </c>
      <c r="E23" s="77">
        <f t="shared" si="10"/>
        <v>2.4478771684386709E-4</v>
      </c>
      <c r="H23" s="77" t="s">
        <v>167</v>
      </c>
      <c r="L23" s="77">
        <v>95</v>
      </c>
      <c r="M23" s="77">
        <f t="shared" si="6"/>
        <v>3.2836807795594029E-3</v>
      </c>
      <c r="N23" s="77">
        <f t="shared" si="7"/>
        <v>1.5577400162791543E-4</v>
      </c>
      <c r="O23" s="77">
        <f t="shared" si="8"/>
        <v>3.1279067779314876E-3</v>
      </c>
      <c r="Q23" s="79">
        <v>53</v>
      </c>
      <c r="R23" s="79">
        <f t="shared" si="0"/>
        <v>7.2503419972661822E-4</v>
      </c>
      <c r="S23" s="79">
        <f t="shared" si="1"/>
        <v>6.4660906336115836E-4</v>
      </c>
      <c r="T23" s="79">
        <f t="shared" si="2"/>
        <v>7.8425136365459854E-5</v>
      </c>
      <c r="V23" s="77">
        <f t="shared" si="9"/>
        <v>51.300000000000018</v>
      </c>
      <c r="W23" s="77">
        <f t="shared" si="3"/>
        <v>7.017783857730497E-4</v>
      </c>
      <c r="X23" s="77">
        <f t="shared" si="4"/>
        <v>6.6803665415480281E-4</v>
      </c>
      <c r="Y23" s="77">
        <f t="shared" si="5"/>
        <v>3.3741731618246889E-5</v>
      </c>
    </row>
    <row r="24" spans="1:25" x14ac:dyDescent="0.35">
      <c r="A24" s="77">
        <v>180</v>
      </c>
      <c r="B24" s="77">
        <f t="shared" si="12"/>
        <v>2.4623886225677515E-3</v>
      </c>
      <c r="D24" s="77">
        <v>160</v>
      </c>
      <c r="E24" s="77">
        <f t="shared" si="10"/>
        <v>2.1418925223838371E-4</v>
      </c>
      <c r="H24" s="77">
        <f t="shared" ref="H24:H30" si="13">$A$31-G15</f>
        <v>-99.9</v>
      </c>
      <c r="I24" s="77">
        <f t="shared" ref="I24:I30" si="14">$C$31-H15</f>
        <v>-2.2851162578381055E-4</v>
      </c>
      <c r="L24" s="77">
        <v>100</v>
      </c>
      <c r="M24" s="77">
        <f t="shared" si="6"/>
        <v>3.558362464499636E-3</v>
      </c>
      <c r="N24" s="77">
        <f t="shared" si="7"/>
        <v>1.4279283482558915E-4</v>
      </c>
      <c r="O24" s="77">
        <f t="shared" si="8"/>
        <v>3.4155696296740471E-3</v>
      </c>
      <c r="Q24" s="77">
        <v>54</v>
      </c>
      <c r="R24" s="77">
        <f t="shared" si="0"/>
        <v>7.3871409028755989E-4</v>
      </c>
      <c r="S24" s="77">
        <f t="shared" si="1"/>
        <v>6.3463482144706285E-4</v>
      </c>
      <c r="T24" s="77">
        <f t="shared" si="2"/>
        <v>1.0407926884049704E-4</v>
      </c>
      <c r="V24" s="77">
        <f t="shared" si="9"/>
        <v>51.40000000000002</v>
      </c>
      <c r="W24" s="77">
        <f t="shared" si="3"/>
        <v>7.0314637482914112E-4</v>
      </c>
      <c r="X24" s="77">
        <f t="shared" si="4"/>
        <v>6.667369719482759E-4</v>
      </c>
      <c r="Y24" s="77">
        <f t="shared" si="5"/>
        <v>3.6409402880865221E-5</v>
      </c>
    </row>
    <row r="25" spans="1:25" x14ac:dyDescent="0.35">
      <c r="A25" s="77">
        <v>200</v>
      </c>
      <c r="B25" s="77">
        <f t="shared" si="12"/>
        <v>2.736015599616789E-3</v>
      </c>
      <c r="D25" s="77">
        <v>180</v>
      </c>
      <c r="E25" s="77">
        <f t="shared" si="10"/>
        <v>1.9039044643411886E-4</v>
      </c>
      <c r="H25" s="77">
        <f t="shared" si="13"/>
        <v>-74.900000000000006</v>
      </c>
      <c r="I25" s="77">
        <f t="shared" si="14"/>
        <v>-4.1128645436056465E-4</v>
      </c>
      <c r="V25" s="77">
        <f t="shared" si="9"/>
        <v>51.500000000000021</v>
      </c>
      <c r="W25" s="77">
        <f t="shared" si="3"/>
        <v>7.0451436388523254E-4</v>
      </c>
      <c r="X25" s="77">
        <f t="shared" si="4"/>
        <v>6.6544233705128893E-4</v>
      </c>
      <c r="Y25" s="77">
        <f t="shared" si="5"/>
        <v>3.9072026833943617E-5</v>
      </c>
    </row>
    <row r="26" spans="1:25" x14ac:dyDescent="0.35">
      <c r="A26" s="77">
        <v>220</v>
      </c>
      <c r="B26" s="77">
        <f t="shared" si="12"/>
        <v>3.0097222117882222E-3</v>
      </c>
      <c r="D26" s="77">
        <v>200</v>
      </c>
      <c r="E26" s="77">
        <f t="shared" si="10"/>
        <v>1.7135140179070697E-4</v>
      </c>
      <c r="H26" s="77">
        <f t="shared" si="13"/>
        <v>-50.1</v>
      </c>
      <c r="I26" s="77">
        <f t="shared" si="14"/>
        <v>-6.8271254709730131E-4</v>
      </c>
      <c r="V26" s="77">
        <f t="shared" si="9"/>
        <v>51.600000000000023</v>
      </c>
      <c r="W26" s="77">
        <f t="shared" si="3"/>
        <v>7.0588235294132408E-4</v>
      </c>
      <c r="X26" s="77">
        <f t="shared" si="4"/>
        <v>6.6415272011901899E-4</v>
      </c>
      <c r="Y26" s="77">
        <f t="shared" si="5"/>
        <v>4.1729632822305089E-5</v>
      </c>
    </row>
    <row r="27" spans="1:25" x14ac:dyDescent="0.35">
      <c r="A27" s="77">
        <v>240</v>
      </c>
      <c r="B27" s="77">
        <f t="shared" si="12"/>
        <v>3.2836807795594029E-3</v>
      </c>
      <c r="D27" s="77">
        <v>220</v>
      </c>
      <c r="E27" s="77">
        <f t="shared" si="10"/>
        <v>1.5577400162791543E-4</v>
      </c>
      <c r="H27" s="77">
        <f t="shared" si="13"/>
        <v>-24.9</v>
      </c>
      <c r="I27" s="77">
        <f t="shared" si="14"/>
        <v>-1.1423857686675811E-3</v>
      </c>
      <c r="V27" s="77">
        <f t="shared" si="9"/>
        <v>51.700000000000024</v>
      </c>
      <c r="W27" s="77">
        <f t="shared" si="3"/>
        <v>7.0725034199741593E-4</v>
      </c>
      <c r="X27" s="77">
        <f t="shared" si="4"/>
        <v>6.6286809203368238E-4</v>
      </c>
      <c r="Y27" s="77">
        <f t="shared" si="5"/>
        <v>4.4382249963733559E-5</v>
      </c>
    </row>
    <row r="28" spans="1:25" x14ac:dyDescent="0.35">
      <c r="A28" s="77">
        <v>260</v>
      </c>
      <c r="B28" s="77">
        <f t="shared" si="12"/>
        <v>3.558362464499636E-3</v>
      </c>
      <c r="D28" s="77">
        <v>240</v>
      </c>
      <c r="E28" s="77">
        <f t="shared" si="10"/>
        <v>1.4279283482558915E-4</v>
      </c>
      <c r="H28" s="77">
        <f t="shared" si="13"/>
        <v>0.10000000000000142</v>
      </c>
      <c r="I28" s="77">
        <f t="shared" si="14"/>
        <v>-2.0562599115513513E-3</v>
      </c>
      <c r="V28" s="77">
        <f t="shared" si="9"/>
        <v>51.800000000000026</v>
      </c>
      <c r="W28" s="77">
        <f t="shared" si="3"/>
        <v>7.0861833105350768E-4</v>
      </c>
      <c r="X28" s="77">
        <f t="shared" si="4"/>
        <v>6.615884239023432E-4</v>
      </c>
      <c r="Y28" s="77">
        <f t="shared" si="5"/>
        <v>4.7029907151164489E-5</v>
      </c>
    </row>
    <row r="29" spans="1:25" x14ac:dyDescent="0.35">
      <c r="H29" s="77">
        <f t="shared" si="13"/>
        <v>25.1</v>
      </c>
      <c r="I29" s="77">
        <f t="shared" si="14"/>
        <v>-4.7978823402026628E-3</v>
      </c>
      <c r="V29" s="77">
        <f t="shared" si="9"/>
        <v>51.900000000000027</v>
      </c>
      <c r="W29" s="77">
        <f t="shared" si="3"/>
        <v>7.0998632010959965E-4</v>
      </c>
      <c r="X29" s="77">
        <f t="shared" si="4"/>
        <v>6.6031368705474713E-4</v>
      </c>
      <c r="Y29" s="77">
        <f t="shared" si="5"/>
        <v>4.9672633054852525E-5</v>
      </c>
    </row>
    <row r="30" spans="1:25" x14ac:dyDescent="0.35">
      <c r="A30" s="77" t="s">
        <v>162</v>
      </c>
      <c r="C30" s="77" t="s">
        <v>166</v>
      </c>
      <c r="D30" s="77" t="s">
        <v>165</v>
      </c>
      <c r="F30" s="77" t="s">
        <v>164</v>
      </c>
      <c r="H30" s="77">
        <f t="shared" si="13"/>
        <v>0.10000000000000142</v>
      </c>
      <c r="I30" s="77">
        <f t="shared" si="14"/>
        <v>-2.0562599115513513E-3</v>
      </c>
      <c r="V30" s="77">
        <f t="shared" si="9"/>
        <v>52.000000000000028</v>
      </c>
      <c r="W30" s="77">
        <f t="shared" si="3"/>
        <v>7.1135430916569162E-4</v>
      </c>
      <c r="X30" s="77">
        <f t="shared" si="4"/>
        <v>6.5904385304118033E-4</v>
      </c>
      <c r="Y30" s="77">
        <f t="shared" si="5"/>
        <v>5.2310456124511281E-5</v>
      </c>
    </row>
    <row r="31" spans="1:25" x14ac:dyDescent="0.35">
      <c r="A31" s="77">
        <v>50.1</v>
      </c>
      <c r="C31" s="77">
        <f>(A31/$H$4)+((A31/$H$2)^(1/$H$3))</f>
        <v>6.8536251709995998E-4</v>
      </c>
      <c r="D31" s="77">
        <f>(($B$7*$B$8)^2)/(A31*$H$4)</f>
        <v>6.8403753209863064E-4</v>
      </c>
      <c r="F31" s="77">
        <f>D31</f>
        <v>6.8403753209863064E-4</v>
      </c>
      <c r="V31" s="77">
        <f t="shared" si="9"/>
        <v>52.10000000000003</v>
      </c>
      <c r="W31" s="77">
        <f t="shared" si="3"/>
        <v>7.127222982217838E-4</v>
      </c>
      <c r="X31" s="77">
        <f t="shared" si="4"/>
        <v>6.5777889363035269E-4</v>
      </c>
      <c r="Y31" s="77">
        <f t="shared" si="5"/>
        <v>5.494340459143111E-5</v>
      </c>
    </row>
    <row r="32" spans="1:25" x14ac:dyDescent="0.35">
      <c r="A32" s="77">
        <v>50.1</v>
      </c>
      <c r="B32" s="77">
        <f>A32*2</f>
        <v>100.2</v>
      </c>
      <c r="C32" s="77">
        <f>C31-(((A32/H4)+((A32/H2)^(1/H3)))*2)</f>
        <v>-6.8536251709995998E-4</v>
      </c>
      <c r="D32" s="77">
        <f>D31-(((2*$B$7*$B$8)^2)/(B32*$H$4))</f>
        <v>-6.8403753209863064E-4</v>
      </c>
      <c r="V32" s="77">
        <f t="shared" si="9"/>
        <v>52.200000000000031</v>
      </c>
      <c r="W32" s="77">
        <f t="shared" si="3"/>
        <v>7.1409028727787598E-4</v>
      </c>
      <c r="X32" s="77">
        <f t="shared" si="4"/>
        <v>6.56518780807306E-4</v>
      </c>
      <c r="Y32" s="77">
        <f t="shared" si="5"/>
        <v>5.7571506470569986E-5</v>
      </c>
    </row>
    <row r="33" spans="1:25" x14ac:dyDescent="0.35">
      <c r="A33" s="78"/>
      <c r="V33" s="77">
        <f t="shared" si="9"/>
        <v>52.300000000000033</v>
      </c>
      <c r="W33" s="77">
        <f t="shared" si="3"/>
        <v>7.1545827633396849E-4</v>
      </c>
      <c r="X33" s="77">
        <f t="shared" si="4"/>
        <v>6.5526348677134557E-4</v>
      </c>
      <c r="Y33" s="77">
        <f t="shared" si="5"/>
        <v>6.0194789562622924E-5</v>
      </c>
    </row>
    <row r="34" spans="1:25" x14ac:dyDescent="0.35">
      <c r="A34" s="77" t="s">
        <v>163</v>
      </c>
      <c r="V34" s="77">
        <f t="shared" si="9"/>
        <v>52.400000000000034</v>
      </c>
      <c r="W34" s="77">
        <f t="shared" si="3"/>
        <v>7.16826265390061E-4</v>
      </c>
      <c r="X34" s="77">
        <f t="shared" si="4"/>
        <v>6.5401298393399563E-4</v>
      </c>
      <c r="Y34" s="77">
        <f t="shared" si="5"/>
        <v>6.2813281456065373E-5</v>
      </c>
    </row>
    <row r="35" spans="1:25" x14ac:dyDescent="0.35">
      <c r="A35" s="77" t="s">
        <v>162</v>
      </c>
      <c r="B35" s="77" t="s">
        <v>161</v>
      </c>
      <c r="V35" s="77">
        <f t="shared" si="9"/>
        <v>52.500000000000036</v>
      </c>
      <c r="W35" s="77">
        <f t="shared" si="3"/>
        <v>7.1819425444615362E-4</v>
      </c>
      <c r="X35" s="77">
        <f t="shared" si="4"/>
        <v>6.5276724491697847E-4</v>
      </c>
      <c r="Y35" s="77">
        <f t="shared" si="5"/>
        <v>6.5427009529175147E-5</v>
      </c>
    </row>
    <row r="36" spans="1:25" x14ac:dyDescent="0.35">
      <c r="A36" s="77">
        <f t="shared" ref="A36:A48" si="15">$A$31-(A15*2)</f>
        <v>50.1</v>
      </c>
      <c r="B36" s="77">
        <f t="shared" ref="B36:B48" si="16">$C$31-(B15*2)</f>
        <v>6.8536251709995998E-4</v>
      </c>
      <c r="V36" s="77">
        <f t="shared" si="9"/>
        <v>52.600000000000037</v>
      </c>
      <c r="W36" s="77">
        <f t="shared" si="3"/>
        <v>7.1956224350224634E-4</v>
      </c>
      <c r="X36" s="77">
        <f t="shared" si="4"/>
        <v>6.5152624255021617E-4</v>
      </c>
      <c r="Y36" s="77">
        <f t="shared" si="5"/>
        <v>6.8036000952030173E-5</v>
      </c>
    </row>
    <row r="37" spans="1:25" x14ac:dyDescent="0.35">
      <c r="A37" s="77">
        <f t="shared" si="15"/>
        <v>10.100000000000001</v>
      </c>
      <c r="B37" s="77">
        <f t="shared" si="16"/>
        <v>1.3816689466493947E-4</v>
      </c>
      <c r="V37" s="77">
        <f t="shared" si="9"/>
        <v>52.700000000000038</v>
      </c>
      <c r="W37" s="77">
        <f t="shared" si="3"/>
        <v>7.2093023255833917E-4</v>
      </c>
      <c r="X37" s="77">
        <f t="shared" si="4"/>
        <v>6.5028994986985516E-4</v>
      </c>
      <c r="Y37" s="77">
        <f t="shared" si="5"/>
        <v>7.0640282688484018E-5</v>
      </c>
    </row>
    <row r="38" spans="1:25" x14ac:dyDescent="0.35">
      <c r="A38" s="77">
        <f t="shared" si="15"/>
        <v>-29.9</v>
      </c>
      <c r="B38" s="77">
        <f t="shared" si="16"/>
        <v>-4.0902872777008885E-4</v>
      </c>
      <c r="V38" s="77">
        <f t="shared" si="9"/>
        <v>52.80000000000004</v>
      </c>
      <c r="W38" s="77">
        <f t="shared" si="3"/>
        <v>7.2229822161443233E-4</v>
      </c>
      <c r="X38" s="77">
        <f t="shared" si="4"/>
        <v>6.4905834011631379E-4</v>
      </c>
      <c r="Y38" s="77">
        <f t="shared" si="5"/>
        <v>7.3239881498118539E-5</v>
      </c>
    </row>
    <row r="39" spans="1:25" x14ac:dyDescent="0.35">
      <c r="A39" s="77">
        <f t="shared" si="15"/>
        <v>-69.900000000000006</v>
      </c>
      <c r="B39" s="77">
        <f t="shared" si="16"/>
        <v>-9.5622435020764379E-4</v>
      </c>
    </row>
    <row r="40" spans="1:25" x14ac:dyDescent="0.35">
      <c r="A40" s="77">
        <f t="shared" si="15"/>
        <v>-109.9</v>
      </c>
      <c r="B40" s="77">
        <f t="shared" si="16"/>
        <v>-1.5034199727950246E-3</v>
      </c>
    </row>
    <row r="41" spans="1:25" x14ac:dyDescent="0.35">
      <c r="A41" s="77">
        <f t="shared" si="15"/>
        <v>-149.9</v>
      </c>
      <c r="B41" s="77">
        <f t="shared" si="16"/>
        <v>-2.0506155988290822E-3</v>
      </c>
    </row>
    <row r="42" spans="1:25" x14ac:dyDescent="0.35">
      <c r="A42" s="77">
        <f t="shared" si="15"/>
        <v>-189.9</v>
      </c>
      <c r="B42" s="77">
        <f t="shared" si="16"/>
        <v>-2.5978112682849309E-3</v>
      </c>
    </row>
    <row r="43" spans="1:25" x14ac:dyDescent="0.35">
      <c r="A43" s="77">
        <f t="shared" si="15"/>
        <v>-229.9</v>
      </c>
      <c r="B43" s="77">
        <f t="shared" si="16"/>
        <v>-3.1450072991756114E-3</v>
      </c>
    </row>
    <row r="44" spans="1:25" x14ac:dyDescent="0.35">
      <c r="A44" s="77">
        <f t="shared" si="15"/>
        <v>-269.89999999999998</v>
      </c>
      <c r="B44" s="77">
        <f t="shared" si="16"/>
        <v>-3.6922055561432066E-3</v>
      </c>
    </row>
    <row r="45" spans="1:25" x14ac:dyDescent="0.35">
      <c r="A45" s="77">
        <f t="shared" si="15"/>
        <v>-309.89999999999998</v>
      </c>
      <c r="B45" s="77">
        <f t="shared" si="16"/>
        <v>-4.2394147280355428E-3</v>
      </c>
    </row>
    <row r="46" spans="1:25" x14ac:dyDescent="0.35">
      <c r="A46" s="77">
        <f t="shared" si="15"/>
        <v>-349.9</v>
      </c>
      <c r="B46" s="77">
        <f t="shared" si="16"/>
        <v>-4.7866686821336178E-3</v>
      </c>
    </row>
    <row r="47" spans="1:25" x14ac:dyDescent="0.35">
      <c r="A47" s="77">
        <f t="shared" si="15"/>
        <v>-389.9</v>
      </c>
      <c r="B47" s="77">
        <f t="shared" si="16"/>
        <v>-5.3340819064764842E-3</v>
      </c>
    </row>
    <row r="48" spans="1:25" x14ac:dyDescent="0.35">
      <c r="A48" s="77">
        <f t="shared" si="15"/>
        <v>-429.9</v>
      </c>
      <c r="B48" s="77">
        <f t="shared" si="16"/>
        <v>-5.8819990420188456E-3</v>
      </c>
    </row>
    <row r="53" spans="1:4" x14ac:dyDescent="0.35">
      <c r="A53" s="77" t="s">
        <v>160</v>
      </c>
    </row>
    <row r="54" spans="1:4" x14ac:dyDescent="0.35">
      <c r="A54" s="77">
        <v>100</v>
      </c>
      <c r="B54" s="77">
        <f t="shared" ref="B54:B74" si="17">(($H$6/$H$4)*((2*A54)^$H$8))+($H$7*((2*A54)^$H$9))</f>
        <v>1.6324579082891526E-2</v>
      </c>
      <c r="D54" s="77">
        <f t="shared" ref="D54:D74" si="18">$F$31</f>
        <v>6.8403753209863064E-4</v>
      </c>
    </row>
    <row r="55" spans="1:4" x14ac:dyDescent="0.35">
      <c r="A55" s="77">
        <v>300</v>
      </c>
      <c r="B55" s="77">
        <f t="shared" si="17"/>
        <v>1.0429704383290803E-2</v>
      </c>
      <c r="D55" s="77">
        <f t="shared" si="18"/>
        <v>6.8403753209863064E-4</v>
      </c>
    </row>
    <row r="56" spans="1:4" x14ac:dyDescent="0.35">
      <c r="A56" s="77">
        <v>1000</v>
      </c>
      <c r="B56" s="77">
        <f t="shared" si="17"/>
        <v>7.1838342465940126E-3</v>
      </c>
      <c r="D56" s="77">
        <f t="shared" si="18"/>
        <v>6.8403753209863064E-4</v>
      </c>
    </row>
    <row r="57" spans="1:4" x14ac:dyDescent="0.35">
      <c r="A57" s="77">
        <v>3000</v>
      </c>
      <c r="B57" s="77">
        <f t="shared" si="17"/>
        <v>5.5727002482666276E-3</v>
      </c>
      <c r="D57" s="77">
        <f t="shared" si="18"/>
        <v>6.8403753209863064E-4</v>
      </c>
    </row>
    <row r="58" spans="1:4" x14ac:dyDescent="0.35">
      <c r="A58" s="77">
        <v>10000</v>
      </c>
      <c r="B58" s="77">
        <f t="shared" si="17"/>
        <v>4.4922121445617599E-3</v>
      </c>
      <c r="D58" s="77">
        <f t="shared" si="18"/>
        <v>6.8403753209863064E-4</v>
      </c>
    </row>
    <row r="59" spans="1:4" x14ac:dyDescent="0.35">
      <c r="A59" s="77">
        <v>30000</v>
      </c>
      <c r="B59" s="77">
        <f t="shared" si="17"/>
        <v>3.8181834296745682E-3</v>
      </c>
      <c r="D59" s="77">
        <f t="shared" si="18"/>
        <v>6.8403753209863064E-4</v>
      </c>
    </row>
    <row r="60" spans="1:4" x14ac:dyDescent="0.35">
      <c r="A60" s="77">
        <v>100000</v>
      </c>
      <c r="B60" s="77">
        <f t="shared" si="17"/>
        <v>3.2605449920939636E-3</v>
      </c>
      <c r="D60" s="77">
        <f t="shared" si="18"/>
        <v>6.8403753209863064E-4</v>
      </c>
    </row>
    <row r="61" spans="1:4" x14ac:dyDescent="0.35">
      <c r="A61" s="77">
        <v>300000</v>
      </c>
      <c r="B61" s="77">
        <f t="shared" si="17"/>
        <v>2.8509226993331397E-3</v>
      </c>
      <c r="D61" s="77">
        <f t="shared" si="18"/>
        <v>6.8403753209863064E-4</v>
      </c>
    </row>
    <row r="62" spans="1:4" x14ac:dyDescent="0.35">
      <c r="A62" s="77">
        <v>1000000</v>
      </c>
      <c r="B62" s="77">
        <f t="shared" si="17"/>
        <v>2.4743496215541114E-3</v>
      </c>
      <c r="D62" s="77">
        <f t="shared" si="18"/>
        <v>6.8403753209863064E-4</v>
      </c>
    </row>
    <row r="63" spans="1:4" x14ac:dyDescent="0.35">
      <c r="A63" s="77">
        <v>3000000</v>
      </c>
      <c r="B63" s="77">
        <f t="shared" si="17"/>
        <v>2.179868844344175E-3</v>
      </c>
      <c r="D63" s="77">
        <f t="shared" si="18"/>
        <v>6.8403753209863064E-4</v>
      </c>
    </row>
    <row r="64" spans="1:4" x14ac:dyDescent="0.35">
      <c r="A64" s="77">
        <v>10000000</v>
      </c>
      <c r="B64" s="77">
        <f t="shared" si="17"/>
        <v>1.8998908686624939E-3</v>
      </c>
      <c r="D64" s="77">
        <f t="shared" si="18"/>
        <v>6.8403753209863064E-4</v>
      </c>
    </row>
    <row r="65" spans="1:4" x14ac:dyDescent="0.35">
      <c r="A65" s="77">
        <f>1.25*10^8</f>
        <v>125000000</v>
      </c>
      <c r="B65" s="77">
        <f t="shared" si="17"/>
        <v>1.4266690072412855E-3</v>
      </c>
      <c r="D65" s="77">
        <f t="shared" si="18"/>
        <v>6.8403753209863064E-4</v>
      </c>
    </row>
    <row r="66" spans="1:4" x14ac:dyDescent="0.35">
      <c r="A66" s="77">
        <f>2*10^9</f>
        <v>2000000000</v>
      </c>
      <c r="B66" s="77">
        <f t="shared" si="17"/>
        <v>1.0426867378532476E-3</v>
      </c>
      <c r="D66" s="77">
        <f t="shared" si="18"/>
        <v>6.8403753209863064E-4</v>
      </c>
    </row>
    <row r="67" spans="1:4" x14ac:dyDescent="0.35">
      <c r="A67" s="77">
        <f>3*10^9</f>
        <v>3000000000</v>
      </c>
      <c r="B67" s="77">
        <f t="shared" si="17"/>
        <v>9.9597926292882815E-4</v>
      </c>
      <c r="D67" s="77">
        <f t="shared" si="18"/>
        <v>6.8403753209863064E-4</v>
      </c>
    </row>
    <row r="68" spans="1:4" x14ac:dyDescent="0.35">
      <c r="A68" s="77">
        <f>4*10^9</f>
        <v>4000000000</v>
      </c>
      <c r="B68" s="77">
        <f t="shared" si="17"/>
        <v>9.6411580416651493E-4</v>
      </c>
      <c r="D68" s="77">
        <f t="shared" si="18"/>
        <v>6.8403753209863064E-4</v>
      </c>
    </row>
    <row r="69" spans="1:4" x14ac:dyDescent="0.35">
      <c r="A69" s="77">
        <f>9*10^9</f>
        <v>9000000000</v>
      </c>
      <c r="B69" s="77">
        <f t="shared" si="17"/>
        <v>8.7968342329799846E-4</v>
      </c>
      <c r="D69" s="77">
        <f t="shared" si="18"/>
        <v>6.8403753209863064E-4</v>
      </c>
    </row>
    <row r="70" spans="1:4" x14ac:dyDescent="0.35">
      <c r="A70" s="77">
        <f>10*10^9</f>
        <v>10000000000</v>
      </c>
      <c r="B70" s="77">
        <f t="shared" si="17"/>
        <v>8.6927103504975522E-4</v>
      </c>
      <c r="D70" s="77">
        <f t="shared" si="18"/>
        <v>6.8403753209863064E-4</v>
      </c>
    </row>
    <row r="71" spans="1:4" x14ac:dyDescent="0.35">
      <c r="A71" s="77">
        <f>8.3*10^10</f>
        <v>83000000000</v>
      </c>
      <c r="B71" s="77">
        <f t="shared" si="17"/>
        <v>6.8437279788123616E-4</v>
      </c>
      <c r="D71" s="77">
        <f t="shared" si="18"/>
        <v>6.8403753209863064E-4</v>
      </c>
    </row>
    <row r="72" spans="1:4" x14ac:dyDescent="0.35">
      <c r="A72" s="77">
        <f>1*10^11</f>
        <v>100000000000</v>
      </c>
      <c r="B72" s="77">
        <f t="shared" si="17"/>
        <v>6.7011337917958363E-4</v>
      </c>
      <c r="D72" s="77">
        <f t="shared" si="18"/>
        <v>6.8403753209863064E-4</v>
      </c>
    </row>
    <row r="73" spans="1:4" x14ac:dyDescent="0.35">
      <c r="A73" s="77">
        <f>1*10^19</f>
        <v>1E+19</v>
      </c>
      <c r="B73" s="77">
        <f t="shared" si="17"/>
        <v>8.3588391418245919E-5</v>
      </c>
      <c r="D73" s="77">
        <f t="shared" si="18"/>
        <v>6.8403753209863064E-4</v>
      </c>
    </row>
    <row r="74" spans="1:4" x14ac:dyDescent="0.35">
      <c r="A74" s="77">
        <f>1*10^20</f>
        <v>1E+20</v>
      </c>
      <c r="B74" s="77">
        <f t="shared" si="17"/>
        <v>6.4438580913753619E-5</v>
      </c>
      <c r="D74" s="77">
        <f t="shared" si="18"/>
        <v>6.8403753209863064E-4</v>
      </c>
    </row>
    <row r="81" spans="7:8" x14ac:dyDescent="0.35">
      <c r="G81" s="77" t="s">
        <v>63</v>
      </c>
      <c r="H81" s="77">
        <f>A71</f>
        <v>83000000000</v>
      </c>
    </row>
    <row r="83" spans="7:8" x14ac:dyDescent="0.35">
      <c r="G83" s="77" t="s">
        <v>139</v>
      </c>
      <c r="H83" s="77">
        <f>H81/36</f>
        <v>2305555555.5555553</v>
      </c>
    </row>
    <row r="86" spans="7:8" x14ac:dyDescent="0.35">
      <c r="G86" s="77" t="s">
        <v>140</v>
      </c>
      <c r="H86" s="80">
        <f>H83/365</f>
        <v>6316590.563165905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DA37-B536-43D6-8AF1-106D5045B8F0}">
  <dimension ref="A1:J200"/>
  <sheetViews>
    <sheetView zoomScale="61" workbookViewId="0">
      <selection activeCell="B8" sqref="B8"/>
    </sheetView>
  </sheetViews>
  <sheetFormatPr defaultRowHeight="14.5" x14ac:dyDescent="0.35"/>
  <cols>
    <col min="1" max="1" width="15.81640625" customWidth="1"/>
    <col min="2" max="2" width="12.54296875" bestFit="1" customWidth="1"/>
    <col min="4" max="4" width="11.1796875" customWidth="1"/>
    <col min="5" max="7" width="8.90625" bestFit="1" customWidth="1"/>
    <col min="8" max="8" width="12.54296875" bestFit="1" customWidth="1"/>
    <col min="9" max="9" width="27.26953125" customWidth="1"/>
    <col min="10" max="10" width="12.453125" bestFit="1" customWidth="1"/>
  </cols>
  <sheetData>
    <row r="1" spans="1:10" x14ac:dyDescent="0.35">
      <c r="A1" t="s">
        <v>128</v>
      </c>
      <c r="B1">
        <f>(1.42*10^-8)/1000</f>
        <v>1.42E-11</v>
      </c>
      <c r="D1" t="s">
        <v>141</v>
      </c>
      <c r="E1" t="s">
        <v>142</v>
      </c>
      <c r="F1" t="s">
        <v>94</v>
      </c>
      <c r="G1" t="s">
        <v>91</v>
      </c>
      <c r="H1" t="s">
        <v>143</v>
      </c>
      <c r="I1" t="s">
        <v>144</v>
      </c>
      <c r="J1" t="s">
        <v>145</v>
      </c>
    </row>
    <row r="2" spans="1:10" x14ac:dyDescent="0.35">
      <c r="A2" s="65" t="s">
        <v>129</v>
      </c>
      <c r="B2">
        <f>B1/((1-$B$8)^($B$3*(1-$B$5)))</f>
        <v>2.4633292759533857E-11</v>
      </c>
      <c r="D2">
        <v>1E-4</v>
      </c>
      <c r="E2">
        <f>$B$9*$B$4*(SQRT(PI()*D2))</f>
        <v>0.88258808684384438</v>
      </c>
      <c r="F2">
        <f>D2/$B$7</f>
        <v>5.0000000000000001E-3</v>
      </c>
      <c r="G2">
        <f>(1- 0.5*F2 + 0.326*F2^2)/(SQRT(1-F2))</f>
        <v>1.0000113111503117</v>
      </c>
      <c r="H2">
        <f>$B$1*(E2^$B$3)</f>
        <v>9.069007969974675E-12</v>
      </c>
      <c r="I2">
        <f>(0.1/1000)/H2</f>
        <v>11026564.353132799</v>
      </c>
      <c r="J2">
        <f>I2</f>
        <v>11026564.353132799</v>
      </c>
    </row>
    <row r="3" spans="1:10" x14ac:dyDescent="0.35">
      <c r="A3" s="65" t="s">
        <v>130</v>
      </c>
      <c r="B3">
        <v>3.59</v>
      </c>
      <c r="D3">
        <f>D2+0.0001</f>
        <v>2.0000000000000001E-4</v>
      </c>
      <c r="E3">
        <f t="shared" ref="E3:E66" si="0">$B$9*$B$4*(SQRT(PI()*D3))</f>
        <v>1.2481680424034878</v>
      </c>
      <c r="F3">
        <f t="shared" ref="F3:F18" si="1">D3/$B$7</f>
        <v>0.01</v>
      </c>
      <c r="G3">
        <f t="shared" ref="G3:G66" si="2">(1- 0.5*F3 + 0.326*F3^2)/(SQRT(1-F3))</f>
        <v>1.0000453904156934</v>
      </c>
      <c r="H3">
        <f t="shared" ref="H3:H66" si="3">$B$1*(E3^$B$3)</f>
        <v>3.1470861072173882E-11</v>
      </c>
      <c r="I3">
        <f t="shared" ref="I3:I66" si="4">(0.1/1000)/H3</f>
        <v>3177542.5454888069</v>
      </c>
      <c r="J3">
        <f>J2+I3</f>
        <v>14204106.898621606</v>
      </c>
    </row>
    <row r="4" spans="1:10" x14ac:dyDescent="0.35">
      <c r="A4" s="65" t="s">
        <v>131</v>
      </c>
      <c r="B4">
        <f>Fatigue!$AP$24</f>
        <v>44.87813718738672</v>
      </c>
      <c r="D4">
        <f t="shared" ref="D4:D18" si="5">D3+0.0001</f>
        <v>3.0000000000000003E-4</v>
      </c>
      <c r="E4">
        <f t="shared" si="0"/>
        <v>1.5286874085685511</v>
      </c>
      <c r="F4">
        <f t="shared" si="1"/>
        <v>1.5000000000000001E-2</v>
      </c>
      <c r="G4">
        <f t="shared" si="2"/>
        <v>1.0001024592841554</v>
      </c>
      <c r="H4">
        <f t="shared" si="3"/>
        <v>6.5161704458390201E-11</v>
      </c>
      <c r="I4">
        <f t="shared" si="4"/>
        <v>1534643.7118423786</v>
      </c>
      <c r="J4">
        <f t="shared" ref="J4:J18" si="6">J3+I4</f>
        <v>15738750.610463984</v>
      </c>
    </row>
    <row r="5" spans="1:10" x14ac:dyDescent="0.35">
      <c r="A5" s="65" t="s">
        <v>132</v>
      </c>
      <c r="B5">
        <v>0.68</v>
      </c>
      <c r="D5">
        <f t="shared" si="5"/>
        <v>4.0000000000000002E-4</v>
      </c>
      <c r="E5">
        <f t="shared" si="0"/>
        <v>1.7651761736876888</v>
      </c>
      <c r="F5">
        <f t="shared" si="1"/>
        <v>0.02</v>
      </c>
      <c r="G5">
        <f t="shared" si="2"/>
        <v>1.0001827429984982</v>
      </c>
      <c r="H5">
        <f t="shared" si="3"/>
        <v>1.0920875799239539E-10</v>
      </c>
      <c r="I5">
        <f t="shared" si="4"/>
        <v>915677.47713936435</v>
      </c>
      <c r="J5">
        <f t="shared" si="6"/>
        <v>16654428.087603349</v>
      </c>
    </row>
    <row r="6" spans="1:10" x14ac:dyDescent="0.35">
      <c r="A6" s="65" t="s">
        <v>133</v>
      </c>
      <c r="B6">
        <f>0.1/1000</f>
        <v>1E-4</v>
      </c>
      <c r="C6" t="s">
        <v>130</v>
      </c>
      <c r="D6">
        <f t="shared" si="5"/>
        <v>5.0000000000000001E-4</v>
      </c>
      <c r="E6">
        <f t="shared" si="0"/>
        <v>1.9735269583143238</v>
      </c>
      <c r="F6">
        <f t="shared" si="1"/>
        <v>2.5000000000000001E-2</v>
      </c>
      <c r="G6">
        <f t="shared" si="2"/>
        <v>1.000286470641164</v>
      </c>
      <c r="H6">
        <f t="shared" si="3"/>
        <v>1.6300875908803603E-10</v>
      </c>
      <c r="I6">
        <f t="shared" si="4"/>
        <v>613463.96696384321</v>
      </c>
      <c r="J6">
        <f t="shared" si="6"/>
        <v>17267892.054567192</v>
      </c>
    </row>
    <row r="7" spans="1:10" x14ac:dyDescent="0.35">
      <c r="A7" s="65" t="s">
        <v>101</v>
      </c>
      <c r="B7">
        <f>20/1000</f>
        <v>0.02</v>
      </c>
      <c r="D7">
        <f t="shared" si="5"/>
        <v>6.0000000000000006E-4</v>
      </c>
      <c r="E7">
        <f t="shared" si="0"/>
        <v>2.1618904658266258</v>
      </c>
      <c r="F7">
        <f t="shared" si="1"/>
        <v>3.0000000000000002E-2</v>
      </c>
      <c r="G7">
        <f t="shared" si="2"/>
        <v>1.0004138752214649</v>
      </c>
      <c r="H7">
        <f t="shared" si="3"/>
        <v>2.2612119815369158E-10</v>
      </c>
      <c r="I7">
        <f t="shared" si="4"/>
        <v>442240.71346036001</v>
      </c>
      <c r="J7">
        <f t="shared" si="6"/>
        <v>17710132.768027551</v>
      </c>
    </row>
    <row r="8" spans="1:10" x14ac:dyDescent="0.35">
      <c r="A8" s="65" t="s">
        <v>134</v>
      </c>
      <c r="B8">
        <f>Fatigue!$AP$22</f>
        <v>0.38091108797984435</v>
      </c>
      <c r="D8">
        <f t="shared" si="5"/>
        <v>7.000000000000001E-4</v>
      </c>
      <c r="E8">
        <f t="shared" si="0"/>
        <v>2.3351085878970901</v>
      </c>
      <c r="F8">
        <f t="shared" si="1"/>
        <v>3.5000000000000003E-2</v>
      </c>
      <c r="G8">
        <f t="shared" si="2"/>
        <v>1.0005651937652695</v>
      </c>
      <c r="H8">
        <f t="shared" si="3"/>
        <v>2.9820214660157501E-10</v>
      </c>
      <c r="I8">
        <f t="shared" si="4"/>
        <v>335342.99179143412</v>
      </c>
      <c r="J8">
        <f t="shared" si="6"/>
        <v>18045475.759818986</v>
      </c>
    </row>
    <row r="9" spans="1:10" x14ac:dyDescent="0.35">
      <c r="A9" s="65" t="s">
        <v>91</v>
      </c>
      <c r="B9">
        <f>Fatigue!AY37</f>
        <v>1.1095536409666098</v>
      </c>
      <c r="D9">
        <f t="shared" si="5"/>
        <v>8.0000000000000015E-4</v>
      </c>
      <c r="E9">
        <f t="shared" si="0"/>
        <v>2.4963360848069756</v>
      </c>
      <c r="F9">
        <f t="shared" si="1"/>
        <v>4.0000000000000008E-2</v>
      </c>
      <c r="G9">
        <f t="shared" si="2"/>
        <v>1.0007406674072292</v>
      </c>
      <c r="H9">
        <f t="shared" si="3"/>
        <v>3.7897129013692242E-10</v>
      </c>
      <c r="I9">
        <f t="shared" si="4"/>
        <v>263872.23149244359</v>
      </c>
      <c r="J9">
        <f t="shared" si="6"/>
        <v>18309347.991311431</v>
      </c>
    </row>
    <row r="10" spans="1:10" x14ac:dyDescent="0.35">
      <c r="D10">
        <f t="shared" si="5"/>
        <v>9.0000000000000019E-4</v>
      </c>
      <c r="E10">
        <f t="shared" si="0"/>
        <v>2.6477642605315332</v>
      </c>
      <c r="F10">
        <f t="shared" si="1"/>
        <v>4.5000000000000005E-2</v>
      </c>
      <c r="G10">
        <f t="shared" si="2"/>
        <v>1.0009405414856332</v>
      </c>
      <c r="H10">
        <f t="shared" si="3"/>
        <v>4.6819318518411731E-10</v>
      </c>
      <c r="I10">
        <f t="shared" si="4"/>
        <v>213587.04732251694</v>
      </c>
      <c r="J10">
        <f t="shared" si="6"/>
        <v>18522935.038633946</v>
      </c>
    </row>
    <row r="11" spans="1:10" x14ac:dyDescent="0.35">
      <c r="A11" s="65" t="s">
        <v>135</v>
      </c>
      <c r="B11">
        <f>Fatigue!AW37</f>
        <v>8.3000000000000001E-3</v>
      </c>
      <c r="D11">
        <f t="shared" si="5"/>
        <v>1.0000000000000002E-3</v>
      </c>
      <c r="E11">
        <f t="shared" si="0"/>
        <v>2.7909885901570384</v>
      </c>
      <c r="F11">
        <f t="shared" si="1"/>
        <v>5.000000000000001E-2</v>
      </c>
      <c r="G11">
        <f t="shared" si="2"/>
        <v>1.0011650656399746</v>
      </c>
      <c r="H11">
        <f t="shared" si="3"/>
        <v>5.6566561941408998E-10</v>
      </c>
      <c r="I11">
        <f t="shared" si="4"/>
        <v>176782.88474307288</v>
      </c>
      <c r="J11">
        <f t="shared" si="6"/>
        <v>18699717.923377018</v>
      </c>
    </row>
    <row r="12" spans="1:10" x14ac:dyDescent="0.35">
      <c r="A12" s="65" t="s">
        <v>100</v>
      </c>
      <c r="B12">
        <f>$I$84+$J$83</f>
        <v>20426189.337674815</v>
      </c>
      <c r="D12">
        <f t="shared" si="5"/>
        <v>1.1000000000000003E-3</v>
      </c>
      <c r="E12">
        <f t="shared" si="0"/>
        <v>2.9272135284986391</v>
      </c>
      <c r="F12">
        <f t="shared" si="1"/>
        <v>5.5000000000000014E-2</v>
      </c>
      <c r="G12">
        <f t="shared" si="2"/>
        <v>1.0014144939113301</v>
      </c>
      <c r="H12">
        <f t="shared" si="3"/>
        <v>6.7121190907319927E-10</v>
      </c>
      <c r="I12">
        <f t="shared" si="4"/>
        <v>148984.24573258648</v>
      </c>
      <c r="J12">
        <f t="shared" si="6"/>
        <v>18848702.169109605</v>
      </c>
    </row>
    <row r="13" spans="1:10" x14ac:dyDescent="0.35">
      <c r="D13">
        <f t="shared" si="5"/>
        <v>1.2000000000000003E-3</v>
      </c>
      <c r="E13">
        <f t="shared" si="0"/>
        <v>3.0573748171371022</v>
      </c>
      <c r="F13">
        <f t="shared" si="1"/>
        <v>6.0000000000000019E-2</v>
      </c>
      <c r="G13">
        <f t="shared" si="2"/>
        <v>1.001689084845639</v>
      </c>
      <c r="H13">
        <f t="shared" si="3"/>
        <v>7.846755495340245E-10</v>
      </c>
      <c r="I13">
        <f t="shared" si="4"/>
        <v>127441.20810108648</v>
      </c>
      <c r="J13">
        <f t="shared" si="6"/>
        <v>18976143.377210692</v>
      </c>
    </row>
    <row r="14" spans="1:10" x14ac:dyDescent="0.35">
      <c r="A14" s="65" t="s">
        <v>136</v>
      </c>
      <c r="B14">
        <f>1.53*10^5/1000</f>
        <v>153</v>
      </c>
      <c r="C14" t="s">
        <v>138</v>
      </c>
      <c r="D14">
        <f t="shared" si="5"/>
        <v>1.3000000000000004E-3</v>
      </c>
      <c r="E14">
        <f t="shared" si="0"/>
        <v>3.1822166022291452</v>
      </c>
      <c r="F14">
        <f t="shared" si="1"/>
        <v>6.5000000000000016E-2</v>
      </c>
      <c r="G14">
        <f t="shared" si="2"/>
        <v>1.0019891015999913</v>
      </c>
      <c r="H14">
        <f t="shared" si="3"/>
        <v>9.0591635639720174E-10</v>
      </c>
      <c r="I14">
        <f t="shared" si="4"/>
        <v>110385.46692952601</v>
      </c>
      <c r="J14">
        <f t="shared" si="6"/>
        <v>19086528.844140217</v>
      </c>
    </row>
    <row r="15" spans="1:10" x14ac:dyDescent="0.35">
      <c r="A15" s="65" t="s">
        <v>137</v>
      </c>
      <c r="B15">
        <v>1000</v>
      </c>
      <c r="D15">
        <f t="shared" si="5"/>
        <v>1.4000000000000004E-3</v>
      </c>
      <c r="E15">
        <f t="shared" si="0"/>
        <v>3.3023422346179516</v>
      </c>
      <c r="F15">
        <f t="shared" si="1"/>
        <v>7.0000000000000021E-2</v>
      </c>
      <c r="G15">
        <f t="shared" si="2"/>
        <v>1.0023148120520227</v>
      </c>
      <c r="H15">
        <f t="shared" si="3"/>
        <v>1.0348075950746365E-9</v>
      </c>
      <c r="I15">
        <f t="shared" si="4"/>
        <v>96636.322033167336</v>
      </c>
      <c r="J15">
        <f t="shared" si="6"/>
        <v>19183165.166173384</v>
      </c>
    </row>
    <row r="16" spans="1:10" x14ac:dyDescent="0.35">
      <c r="A16" s="65" t="s">
        <v>146</v>
      </c>
      <c r="B16">
        <f>36</f>
        <v>36</v>
      </c>
      <c r="D16">
        <f t="shared" si="5"/>
        <v>1.5000000000000005E-3</v>
      </c>
      <c r="E16">
        <f t="shared" si="0"/>
        <v>3.4182489619072749</v>
      </c>
      <c r="F16">
        <f t="shared" si="1"/>
        <v>7.5000000000000025E-2</v>
      </c>
      <c r="G16">
        <f t="shared" si="2"/>
        <v>1.0026664889125276</v>
      </c>
      <c r="H16">
        <f t="shared" si="3"/>
        <v>1.1712337908391094E-9</v>
      </c>
      <c r="I16">
        <f t="shared" si="4"/>
        <v>85380.050321427974</v>
      </c>
      <c r="J16">
        <f t="shared" si="6"/>
        <v>19268545.21649481</v>
      </c>
    </row>
    <row r="17" spans="1:10" x14ac:dyDescent="0.35">
      <c r="A17" s="65" t="s">
        <v>147</v>
      </c>
      <c r="B17">
        <f>B12/B16</f>
        <v>567394.14826874482</v>
      </c>
      <c r="D17">
        <f t="shared" si="5"/>
        <v>1.6000000000000005E-3</v>
      </c>
      <c r="E17">
        <f t="shared" si="0"/>
        <v>3.530352347375378</v>
      </c>
      <c r="F17">
        <f t="shared" si="1"/>
        <v>8.0000000000000029E-2</v>
      </c>
      <c r="G17">
        <f t="shared" si="2"/>
        <v>1.0030444098414024</v>
      </c>
      <c r="H17">
        <f t="shared" si="3"/>
        <v>1.3150890220548445E-9</v>
      </c>
      <c r="I17">
        <f t="shared" si="4"/>
        <v>76040.479635172262</v>
      </c>
      <c r="J17">
        <f t="shared" si="6"/>
        <v>19344585.696129981</v>
      </c>
    </row>
    <row r="18" spans="1:10" x14ac:dyDescent="0.35">
      <c r="A18" s="65" t="s">
        <v>152</v>
      </c>
      <c r="B18">
        <f>B17/365</f>
        <v>1554.5045158047803</v>
      </c>
      <c r="C18" t="s">
        <v>140</v>
      </c>
      <c r="D18">
        <f t="shared" si="5"/>
        <v>1.7000000000000006E-3</v>
      </c>
      <c r="E18">
        <f t="shared" si="0"/>
        <v>3.6390039059689832</v>
      </c>
      <c r="F18">
        <f t="shared" si="1"/>
        <v>8.500000000000002E-2</v>
      </c>
      <c r="G18">
        <f t="shared" si="2"/>
        <v>1.0034488575670375</v>
      </c>
      <c r="H18">
        <f t="shared" si="3"/>
        <v>1.4662755656016141E-9</v>
      </c>
      <c r="I18">
        <f t="shared" si="4"/>
        <v>68200.004382511775</v>
      </c>
      <c r="J18">
        <f t="shared" si="6"/>
        <v>19412785.700512495</v>
      </c>
    </row>
    <row r="19" spans="1:10" x14ac:dyDescent="0.35">
      <c r="A19" s="65"/>
      <c r="D19">
        <f t="shared" ref="D19:D20" si="7">D18+0.0001</f>
        <v>1.8000000000000006E-3</v>
      </c>
      <c r="E19">
        <f t="shared" si="0"/>
        <v>3.7445041272104636</v>
      </c>
      <c r="F19">
        <f t="shared" ref="F19:F20" si="8">D19/$B$7</f>
        <v>9.0000000000000024E-2</v>
      </c>
      <c r="G19">
        <f t="shared" si="2"/>
        <v>1.0038801200092797</v>
      </c>
      <c r="H19">
        <f t="shared" si="3"/>
        <v>1.6247028048326955E-9</v>
      </c>
      <c r="I19">
        <f t="shared" si="4"/>
        <v>61549.718325437098</v>
      </c>
      <c r="J19">
        <f t="shared" ref="J19:J20" si="9">J18+I19</f>
        <v>19474335.418837931</v>
      </c>
    </row>
    <row r="20" spans="1:10" x14ac:dyDescent="0.35">
      <c r="D20">
        <f t="shared" si="7"/>
        <v>1.9000000000000006E-3</v>
      </c>
      <c r="E20">
        <f t="shared" si="0"/>
        <v>3.8471122793252177</v>
      </c>
      <c r="F20">
        <f t="shared" si="8"/>
        <v>9.5000000000000029E-2</v>
      </c>
      <c r="G20">
        <f t="shared" si="2"/>
        <v>1.0043384904060906</v>
      </c>
      <c r="H20">
        <f t="shared" si="3"/>
        <v>1.7902863370674922E-9</v>
      </c>
      <c r="I20">
        <f t="shared" si="4"/>
        <v>55856.986633658307</v>
      </c>
      <c r="J20">
        <f t="shared" si="9"/>
        <v>19530192.405471589</v>
      </c>
    </row>
    <row r="21" spans="1:10" x14ac:dyDescent="0.35">
      <c r="D21">
        <f t="shared" ref="D21:D84" si="10">D20+0.0001</f>
        <v>2.0000000000000005E-3</v>
      </c>
      <c r="E21">
        <f t="shared" si="0"/>
        <v>3.9470539166286476</v>
      </c>
      <c r="F21">
        <f t="shared" ref="F21:F84" si="11">D21/$B$7</f>
        <v>0.10000000000000002</v>
      </c>
      <c r="G21">
        <f t="shared" si="2"/>
        <v>1.0048242674440364</v>
      </c>
      <c r="H21">
        <f t="shared" si="3"/>
        <v>1.962947235334245E-9</v>
      </c>
      <c r="I21">
        <f t="shared" si="4"/>
        <v>50943.80439776431</v>
      </c>
      <c r="J21">
        <f t="shared" ref="J21:J84" si="12">J20+I21</f>
        <v>19581136.209869355</v>
      </c>
    </row>
    <row r="22" spans="1:10" x14ac:dyDescent="0.35">
      <c r="D22">
        <f t="shared" si="10"/>
        <v>2.1000000000000003E-3</v>
      </c>
      <c r="E22">
        <f t="shared" si="0"/>
        <v>4.0445267154281748</v>
      </c>
      <c r="F22">
        <f t="shared" si="11"/>
        <v>0.10500000000000001</v>
      </c>
      <c r="G22">
        <f t="shared" si="2"/>
        <v>1.0053377553927465</v>
      </c>
      <c r="H22">
        <f t="shared" si="3"/>
        <v>2.1426114311556423E-9</v>
      </c>
      <c r="I22">
        <f t="shared" si="4"/>
        <v>46672.018335150882</v>
      </c>
      <c r="J22">
        <f t="shared" si="12"/>
        <v>19627808.228204507</v>
      </c>
    </row>
    <row r="23" spans="1:10" x14ac:dyDescent="0.35">
      <c r="D23">
        <f t="shared" si="10"/>
        <v>2.2000000000000001E-3</v>
      </c>
      <c r="E23">
        <f t="shared" si="0"/>
        <v>4.1397050719647766</v>
      </c>
      <c r="F23">
        <f t="shared" si="11"/>
        <v>0.11</v>
      </c>
      <c r="G23">
        <f t="shared" si="2"/>
        <v>1.0058792642434833</v>
      </c>
      <c r="H23">
        <f t="shared" si="3"/>
        <v>2.3292091935927829E-9</v>
      </c>
      <c r="I23">
        <f t="shared" si="4"/>
        <v>42933.026486019902</v>
      </c>
      <c r="J23">
        <f t="shared" si="12"/>
        <v>19670741.254690528</v>
      </c>
    </row>
    <row r="24" spans="1:10" x14ac:dyDescent="0.35">
      <c r="D24">
        <f t="shared" si="10"/>
        <v>2.3E-3</v>
      </c>
      <c r="E24">
        <f t="shared" si="0"/>
        <v>4.2327437689859728</v>
      </c>
      <c r="F24">
        <f t="shared" si="11"/>
        <v>0.11499999999999999</v>
      </c>
      <c r="G24">
        <f t="shared" si="2"/>
        <v>1.0064491098519754</v>
      </c>
      <c r="H24">
        <f t="shared" si="3"/>
        <v>2.5226746857559802E-9</v>
      </c>
      <c r="I24">
        <f t="shared" si="4"/>
        <v>39640.46595648642</v>
      </c>
      <c r="J24">
        <f t="shared" si="12"/>
        <v>19710381.720647015</v>
      </c>
    </row>
    <row r="25" spans="1:10" x14ac:dyDescent="0.35">
      <c r="D25">
        <f t="shared" si="10"/>
        <v>2.3999999999999998E-3</v>
      </c>
      <c r="E25">
        <f t="shared" si="0"/>
        <v>4.3237809316532507</v>
      </c>
      <c r="F25">
        <f t="shared" si="11"/>
        <v>0.11999999999999998</v>
      </c>
      <c r="G25">
        <f t="shared" si="2"/>
        <v>1.0070476140856679</v>
      </c>
      <c r="H25">
        <f t="shared" si="3"/>
        <v>2.7229455843322991E-9</v>
      </c>
      <c r="I25">
        <f t="shared" si="4"/>
        <v>36724.935149418816</v>
      </c>
      <c r="J25">
        <f t="shared" si="12"/>
        <v>19747106.655796435</v>
      </c>
    </row>
    <row r="26" spans="1:10" x14ac:dyDescent="0.35">
      <c r="D26">
        <f t="shared" si="10"/>
        <v>2.4999999999999996E-3</v>
      </c>
      <c r="E26">
        <f t="shared" si="0"/>
        <v>4.4129404342192213</v>
      </c>
      <c r="F26">
        <f t="shared" si="11"/>
        <v>0.12499999999999997</v>
      </c>
      <c r="G26">
        <f t="shared" si="2"/>
        <v>1.007675104975557</v>
      </c>
      <c r="H26">
        <f t="shared" si="3"/>
        <v>2.9299627508757805E-9</v>
      </c>
      <c r="I26">
        <f t="shared" si="4"/>
        <v>34130.126729464224</v>
      </c>
      <c r="J26">
        <f t="shared" si="12"/>
        <v>19781236.782525901</v>
      </c>
    </row>
    <row r="27" spans="1:10" x14ac:dyDescent="0.35">
      <c r="D27">
        <f t="shared" si="10"/>
        <v>2.5999999999999994E-3</v>
      </c>
      <c r="E27">
        <f t="shared" si="0"/>
        <v>4.5003338772812853</v>
      </c>
      <c r="F27">
        <f t="shared" si="11"/>
        <v>0.12999999999999998</v>
      </c>
      <c r="G27">
        <f t="shared" si="2"/>
        <v>1.0083319168727736</v>
      </c>
      <c r="H27">
        <f t="shared" si="3"/>
        <v>3.1436699459936547E-9</v>
      </c>
      <c r="I27">
        <f t="shared" si="4"/>
        <v>31809.955153670529</v>
      </c>
      <c r="J27">
        <f t="shared" si="12"/>
        <v>19813046.737679571</v>
      </c>
    </row>
    <row r="28" spans="1:10" x14ac:dyDescent="0.35">
      <c r="D28">
        <f t="shared" si="10"/>
        <v>2.6999999999999993E-3</v>
      </c>
      <c r="E28">
        <f t="shared" si="0"/>
        <v>4.5860622257056525</v>
      </c>
      <c r="F28">
        <f t="shared" si="11"/>
        <v>0.13499999999999995</v>
      </c>
      <c r="G28">
        <f t="shared" si="2"/>
        <v>1.0090183906100969</v>
      </c>
      <c r="H28">
        <f t="shared" si="3"/>
        <v>3.3640135793689221E-9</v>
      </c>
      <c r="I28">
        <f t="shared" si="4"/>
        <v>29726.396056569927</v>
      </c>
      <c r="J28">
        <f t="shared" si="12"/>
        <v>19842773.133736141</v>
      </c>
    </row>
    <row r="29" spans="1:10" x14ac:dyDescent="0.35">
      <c r="D29">
        <f t="shared" si="10"/>
        <v>2.7999999999999991E-3</v>
      </c>
      <c r="E29">
        <f t="shared" si="0"/>
        <v>4.6702171757941784</v>
      </c>
      <c r="F29">
        <f t="shared" si="11"/>
        <v>0.13999999999999996</v>
      </c>
      <c r="G29">
        <f t="shared" si="2"/>
        <v>1.0097348736685841</v>
      </c>
      <c r="H29">
        <f t="shared" si="3"/>
        <v>3.5909424899441477E-9</v>
      </c>
      <c r="I29">
        <f t="shared" si="4"/>
        <v>27847.842253122624</v>
      </c>
      <c r="J29">
        <f t="shared" si="12"/>
        <v>19870620.975989264</v>
      </c>
    </row>
    <row r="30" spans="1:10" x14ac:dyDescent="0.35">
      <c r="D30">
        <f t="shared" si="10"/>
        <v>2.8999999999999989E-3</v>
      </c>
      <c r="E30">
        <f t="shared" si="0"/>
        <v>4.7528823044676409</v>
      </c>
      <c r="F30">
        <f t="shared" si="11"/>
        <v>0.14499999999999993</v>
      </c>
      <c r="G30">
        <f t="shared" si="2"/>
        <v>1.0104817203495045</v>
      </c>
      <c r="H30">
        <f t="shared" si="3"/>
        <v>3.8244077516636845E-9</v>
      </c>
      <c r="I30">
        <f t="shared" si="4"/>
        <v>26147.839480896942</v>
      </c>
      <c r="J30">
        <f t="shared" si="12"/>
        <v>19896768.815470159</v>
      </c>
    </row>
    <row r="31" spans="1:10" x14ac:dyDescent="0.35">
      <c r="D31">
        <f t="shared" si="10"/>
        <v>2.9999999999999988E-3</v>
      </c>
      <c r="E31">
        <f t="shared" si="0"/>
        <v>4.8341340414970198</v>
      </c>
      <c r="F31">
        <f t="shared" si="11"/>
        <v>0.14999999999999994</v>
      </c>
      <c r="G31">
        <f t="shared" si="2"/>
        <v>1.011259291951784</v>
      </c>
      <c r="H31">
        <f t="shared" si="3"/>
        <v>4.0643625010107971E-9</v>
      </c>
      <c r="I31">
        <f t="shared" si="4"/>
        <v>24604.104573627537</v>
      </c>
      <c r="J31">
        <f t="shared" si="12"/>
        <v>19921372.920043785</v>
      </c>
    </row>
    <row r="32" spans="1:10" x14ac:dyDescent="0.35">
      <c r="D32">
        <f t="shared" si="10"/>
        <v>3.0999999999999986E-3</v>
      </c>
      <c r="E32">
        <f t="shared" si="0"/>
        <v>4.9140424969874834</v>
      </c>
      <c r="F32">
        <f t="shared" si="11"/>
        <v>0.15499999999999992</v>
      </c>
      <c r="G32">
        <f t="shared" si="2"/>
        <v>1.0120679569551698</v>
      </c>
      <c r="H32">
        <f t="shared" si="3"/>
        <v>4.3107617832391344E-9</v>
      </c>
      <c r="I32">
        <f t="shared" si="4"/>
        <v>23197.75599496462</v>
      </c>
      <c r="J32">
        <f t="shared" si="12"/>
        <v>19944570.67603875</v>
      </c>
    </row>
    <row r="33" spans="4:10" x14ac:dyDescent="0.35">
      <c r="D33">
        <f t="shared" si="10"/>
        <v>3.1999999999999984E-3</v>
      </c>
      <c r="E33">
        <f t="shared" si="0"/>
        <v>4.9926721696139493</v>
      </c>
      <c r="F33">
        <f t="shared" si="11"/>
        <v>0.15999999999999992</v>
      </c>
      <c r="G33">
        <f t="shared" si="2"/>
        <v>1.0129080912093322</v>
      </c>
      <c r="H33">
        <f t="shared" si="3"/>
        <v>4.563562414726221E-9</v>
      </c>
      <c r="I33">
        <f t="shared" si="4"/>
        <v>21912.705669875064</v>
      </c>
      <c r="J33">
        <f t="shared" si="12"/>
        <v>19966483.381708626</v>
      </c>
    </row>
    <row r="34" spans="4:10" x14ac:dyDescent="0.35">
      <c r="D34">
        <f t="shared" si="10"/>
        <v>3.2999999999999982E-3</v>
      </c>
      <c r="E34">
        <f t="shared" si="0"/>
        <v>5.0700825559626086</v>
      </c>
      <c r="F34">
        <f t="shared" si="11"/>
        <v>0.1649999999999999</v>
      </c>
      <c r="G34">
        <f t="shared" si="2"/>
        <v>1.0137800781291395</v>
      </c>
      <c r="H34">
        <f t="shared" si="3"/>
        <v>4.8227228593009757E-9</v>
      </c>
      <c r="I34">
        <f t="shared" si="4"/>
        <v>20735.174489063298</v>
      </c>
      <c r="J34">
        <f t="shared" si="12"/>
        <v>19987218.556197688</v>
      </c>
    </row>
    <row r="35" spans="4:10" x14ac:dyDescent="0.35">
      <c r="D35">
        <f t="shared" si="10"/>
        <v>3.3999999999999981E-3</v>
      </c>
      <c r="E35">
        <f t="shared" si="0"/>
        <v>5.1463286773500014</v>
      </c>
      <c r="F35">
        <f t="shared" si="11"/>
        <v>0.1699999999999999</v>
      </c>
      <c r="G35">
        <f t="shared" si="2"/>
        <v>1.0146843088963353</v>
      </c>
      <c r="H35">
        <f t="shared" si="3"/>
        <v>5.0882031167407187E-9</v>
      </c>
      <c r="I35">
        <f t="shared" si="4"/>
        <v>19653.303475836015</v>
      </c>
      <c r="J35">
        <f t="shared" si="12"/>
        <v>20006871.859673522</v>
      </c>
    </row>
    <row r="36" spans="4:10" x14ac:dyDescent="0.35">
      <c r="D36">
        <f t="shared" si="10"/>
        <v>3.4999999999999979E-3</v>
      </c>
      <c r="E36">
        <f t="shared" si="0"/>
        <v>5.2214615373814341</v>
      </c>
      <c r="F36">
        <f t="shared" si="11"/>
        <v>0.17499999999999988</v>
      </c>
      <c r="G36">
        <f t="shared" si="2"/>
        <v>1.0156211826678843</v>
      </c>
      <c r="H36">
        <f t="shared" si="3"/>
        <v>5.3599646219129963E-9</v>
      </c>
      <c r="I36">
        <f t="shared" si="4"/>
        <v>18656.839560315893</v>
      </c>
      <c r="J36">
        <f t="shared" si="12"/>
        <v>20025528.699233837</v>
      </c>
    </row>
    <row r="37" spans="4:10" x14ac:dyDescent="0.35">
      <c r="D37">
        <f t="shared" si="10"/>
        <v>3.5999999999999977E-3</v>
      </c>
      <c r="E37">
        <f t="shared" si="0"/>
        <v>5.2955285210630638</v>
      </c>
      <c r="F37">
        <f t="shared" si="11"/>
        <v>0.17999999999999988</v>
      </c>
      <c r="G37">
        <f t="shared" si="2"/>
        <v>1.016591106791233</v>
      </c>
      <c r="H37">
        <f t="shared" si="3"/>
        <v>5.6379701532673487E-9</v>
      </c>
      <c r="I37">
        <f t="shared" si="4"/>
        <v>17736.879990761823</v>
      </c>
      <c r="J37">
        <f t="shared" si="12"/>
        <v>20043265.579224598</v>
      </c>
    </row>
    <row r="38" spans="4:10" x14ac:dyDescent="0.35">
      <c r="D38">
        <f t="shared" si="10"/>
        <v>3.6999999999999976E-3</v>
      </c>
      <c r="E38">
        <f t="shared" si="0"/>
        <v>5.3685737443413251</v>
      </c>
      <c r="F38">
        <f t="shared" si="11"/>
        <v>0.18499999999999989</v>
      </c>
      <c r="G38">
        <f t="shared" si="2"/>
        <v>1.0175944970267716</v>
      </c>
      <c r="H38">
        <f t="shared" si="3"/>
        <v>5.9221837495713673E-9</v>
      </c>
      <c r="I38">
        <f t="shared" si="4"/>
        <v>16885.663165591199</v>
      </c>
      <c r="J38">
        <f t="shared" si="12"/>
        <v>20060151.242390189</v>
      </c>
    </row>
    <row r="39" spans="4:10" x14ac:dyDescent="0.35">
      <c r="D39">
        <f t="shared" si="10"/>
        <v>3.7999999999999974E-3</v>
      </c>
      <c r="E39">
        <f t="shared" si="0"/>
        <v>5.4406383613937912</v>
      </c>
      <c r="F39">
        <f t="shared" si="11"/>
        <v>0.18999999999999986</v>
      </c>
      <c r="G39">
        <f t="shared" si="2"/>
        <v>1.0186317777777776</v>
      </c>
      <c r="H39">
        <f t="shared" si="3"/>
        <v>6.2125706339432534E-9</v>
      </c>
      <c r="I39">
        <f t="shared" si="4"/>
        <v>16096.396466486181</v>
      </c>
      <c r="J39">
        <f t="shared" si="12"/>
        <v>20076247.638856675</v>
      </c>
    </row>
    <row r="40" spans="4:10" x14ac:dyDescent="0.35">
      <c r="D40">
        <f t="shared" si="10"/>
        <v>3.8999999999999972E-3</v>
      </c>
      <c r="E40">
        <f t="shared" si="0"/>
        <v>5.5117608357500769</v>
      </c>
      <c r="F40">
        <f t="shared" si="11"/>
        <v>0.19499999999999987</v>
      </c>
      <c r="G40">
        <f t="shared" si="2"/>
        <v>1.0197033823281436</v>
      </c>
      <c r="H40">
        <f t="shared" si="3"/>
        <v>6.5090971443639471E-9</v>
      </c>
      <c r="I40">
        <f t="shared" si="4"/>
        <v>15363.113774786312</v>
      </c>
      <c r="J40">
        <f t="shared" si="12"/>
        <v>20091610.752631463</v>
      </c>
    </row>
    <row r="41" spans="4:10" x14ac:dyDescent="0.35">
      <c r="D41">
        <f t="shared" si="10"/>
        <v>3.9999999999999975E-3</v>
      </c>
      <c r="E41">
        <f t="shared" si="0"/>
        <v>5.581977180314075</v>
      </c>
      <c r="F41">
        <f t="shared" si="11"/>
        <v>0.19999999999999987</v>
      </c>
      <c r="G41">
        <f t="shared" si="2"/>
        <v>1.0208097530882039</v>
      </c>
      <c r="H41">
        <f t="shared" si="3"/>
        <v>6.8117306699625997E-9</v>
      </c>
      <c r="I41">
        <f t="shared" si="4"/>
        <v>14680.556945823735</v>
      </c>
      <c r="J41">
        <f t="shared" si="12"/>
        <v>20106291.309577286</v>
      </c>
    </row>
    <row r="42" spans="4:10" x14ac:dyDescent="0.35">
      <c r="D42">
        <f t="shared" si="10"/>
        <v>4.0999999999999977E-3</v>
      </c>
      <c r="E42">
        <f t="shared" si="0"/>
        <v>5.6513211705393065</v>
      </c>
      <c r="F42">
        <f t="shared" si="11"/>
        <v>0.20499999999999988</v>
      </c>
      <c r="G42">
        <f t="shared" si="2"/>
        <v>1.0219513418489878</v>
      </c>
      <c r="H42">
        <f t="shared" si="3"/>
        <v>7.120439592461672E-9</v>
      </c>
      <c r="I42">
        <f t="shared" si="4"/>
        <v>14044.076731704719</v>
      </c>
      <c r="J42">
        <f t="shared" si="12"/>
        <v>20120335.38630899</v>
      </c>
    </row>
    <row r="43" spans="4:10" x14ac:dyDescent="0.35">
      <c r="D43">
        <f t="shared" si="10"/>
        <v>4.199999999999998E-3</v>
      </c>
      <c r="E43">
        <f t="shared" si="0"/>
        <v>5.719824534338831</v>
      </c>
      <c r="F43">
        <f t="shared" si="11"/>
        <v>0.20999999999999991</v>
      </c>
      <c r="G43">
        <f t="shared" si="2"/>
        <v>1.0231286100452444</v>
      </c>
      <c r="H43">
        <f t="shared" si="3"/>
        <v>7.4351932322471081E-9</v>
      </c>
      <c r="I43">
        <f t="shared" si="4"/>
        <v>13449.549578118686</v>
      </c>
      <c r="J43">
        <f t="shared" si="12"/>
        <v>20133784.935887109</v>
      </c>
    </row>
    <row r="44" spans="4:10" x14ac:dyDescent="0.35">
      <c r="D44">
        <f t="shared" si="10"/>
        <v>4.2999999999999983E-3</v>
      </c>
      <c r="E44">
        <f t="shared" si="0"/>
        <v>5.7875171217598229</v>
      </c>
      <c r="F44">
        <f t="shared" si="11"/>
        <v>0.21499999999999991</v>
      </c>
      <c r="G44">
        <f t="shared" si="2"/>
        <v>1.0243420290276024</v>
      </c>
      <c r="H44">
        <f t="shared" si="3"/>
        <v>7.7559617985955312E-9</v>
      </c>
      <c r="I44">
        <f t="shared" si="4"/>
        <v>12893.307444875278</v>
      </c>
      <c r="J44">
        <f t="shared" si="12"/>
        <v>20146678.243331984</v>
      </c>
    </row>
    <row r="45" spans="4:10" x14ac:dyDescent="0.35">
      <c r="D45">
        <f t="shared" si="10"/>
        <v>4.3999999999999985E-3</v>
      </c>
      <c r="E45">
        <f t="shared" si="0"/>
        <v>5.8544270569972756</v>
      </c>
      <c r="F45">
        <f t="shared" si="11"/>
        <v>0.21999999999999992</v>
      </c>
      <c r="G45">
        <f t="shared" si="2"/>
        <v>1.0255920803442373</v>
      </c>
      <c r="H45">
        <f t="shared" si="3"/>
        <v>8.0827163436480355E-9</v>
      </c>
      <c r="I45">
        <f t="shared" si="4"/>
        <v>12372.078364297297</v>
      </c>
      <c r="J45">
        <f t="shared" si="12"/>
        <v>20159050.321696281</v>
      </c>
    </row>
    <row r="46" spans="4:10" x14ac:dyDescent="0.35">
      <c r="D46">
        <f t="shared" si="10"/>
        <v>4.4999999999999988E-3</v>
      </c>
      <c r="E46">
        <f t="shared" si="0"/>
        <v>5.9205808749429707</v>
      </c>
      <c r="F46">
        <f t="shared" si="11"/>
        <v>0.22499999999999992</v>
      </c>
      <c r="G46">
        <f t="shared" si="2"/>
        <v>1.02687925603245</v>
      </c>
      <c r="H46">
        <f t="shared" si="3"/>
        <v>8.4154287197689042E-9</v>
      </c>
      <c r="I46">
        <f t="shared" si="4"/>
        <v>11882.935894292275</v>
      </c>
      <c r="J46">
        <f t="shared" si="12"/>
        <v>20170933.257590573</v>
      </c>
    </row>
    <row r="47" spans="4:10" x14ac:dyDescent="0.35">
      <c r="D47">
        <f t="shared" si="10"/>
        <v>4.5999999999999991E-3</v>
      </c>
      <c r="E47">
        <f t="shared" si="0"/>
        <v>5.9860036441501725</v>
      </c>
      <c r="F47">
        <f t="shared" si="11"/>
        <v>0.22999999999999995</v>
      </c>
      <c r="G47">
        <f t="shared" si="2"/>
        <v>1.0282040589205661</v>
      </c>
      <c r="H47">
        <f t="shared" si="3"/>
        <v>8.754071539969989E-9</v>
      </c>
      <c r="I47">
        <f t="shared" si="4"/>
        <v>11423.255972196775</v>
      </c>
      <c r="J47">
        <f t="shared" si="12"/>
        <v>20182356.513562769</v>
      </c>
    </row>
    <row r="48" spans="4:10" x14ac:dyDescent="0.35">
      <c r="D48">
        <f t="shared" si="10"/>
        <v>4.6999999999999993E-3</v>
      </c>
      <c r="E48">
        <f t="shared" si="0"/>
        <v>6.0507190778301565</v>
      </c>
      <c r="F48">
        <f t="shared" si="11"/>
        <v>0.23499999999999996</v>
      </c>
      <c r="G48">
        <f t="shared" si="2"/>
        <v>1.0295670029405963</v>
      </c>
      <c r="H48">
        <f t="shared" si="3"/>
        <v>9.0986181411178959E-9</v>
      </c>
      <c r="I48">
        <f t="shared" si="4"/>
        <v>10990.679952605811</v>
      </c>
      <c r="J48">
        <f t="shared" si="12"/>
        <v>20193347.193515375</v>
      </c>
    </row>
    <row r="49" spans="4:10" x14ac:dyDescent="0.35">
      <c r="D49">
        <f t="shared" si="10"/>
        <v>4.7999999999999996E-3</v>
      </c>
      <c r="E49">
        <f t="shared" si="0"/>
        <v>6.1147496342742036</v>
      </c>
      <c r="F49">
        <f t="shared" si="11"/>
        <v>0.23999999999999996</v>
      </c>
      <c r="G49">
        <f t="shared" si="2"/>
        <v>1.030968613452111</v>
      </c>
      <c r="H49">
        <f t="shared" si="3"/>
        <v>9.4490425496726568E-9</v>
      </c>
      <c r="I49">
        <f t="shared" si="4"/>
        <v>10583.08283345219</v>
      </c>
      <c r="J49">
        <f t="shared" si="12"/>
        <v>20203930.276348829</v>
      </c>
    </row>
    <row r="50" spans="4:10" x14ac:dyDescent="0.35">
      <c r="D50">
        <f t="shared" si="10"/>
        <v>4.8999999999999998E-3</v>
      </c>
      <c r="E50">
        <f t="shared" si="0"/>
        <v>6.1781166079069099</v>
      </c>
      <c r="F50">
        <f t="shared" si="11"/>
        <v>0.245</v>
      </c>
      <c r="G50">
        <f t="shared" si="2"/>
        <v>1.0324094275778155</v>
      </c>
      <c r="H50">
        <f t="shared" si="3"/>
        <v>9.8053194497341996E-9</v>
      </c>
      <c r="I50">
        <f t="shared" si="4"/>
        <v>10198.545851834617</v>
      </c>
      <c r="J50">
        <f t="shared" si="12"/>
        <v>20214128.822200663</v>
      </c>
    </row>
    <row r="51" spans="4:10" x14ac:dyDescent="0.35">
      <c r="D51">
        <f t="shared" si="10"/>
        <v>5.0000000000000001E-3</v>
      </c>
      <c r="E51">
        <f t="shared" si="0"/>
        <v>6.2408402120174378</v>
      </c>
      <c r="F51">
        <f t="shared" si="11"/>
        <v>0.25</v>
      </c>
      <c r="G51">
        <f t="shared" si="2"/>
        <v>1.0338899945513225</v>
      </c>
      <c r="H51">
        <f t="shared" si="3"/>
        <v>1.016742415319694E-8</v>
      </c>
      <c r="I51">
        <f t="shared" si="4"/>
        <v>9835.3327738920998</v>
      </c>
      <c r="J51">
        <f t="shared" si="12"/>
        <v>20223964.154974554</v>
      </c>
    </row>
    <row r="52" spans="4:10" x14ac:dyDescent="0.35">
      <c r="D52">
        <f t="shared" si="10"/>
        <v>5.1000000000000004E-3</v>
      </c>
      <c r="E52">
        <f t="shared" si="0"/>
        <v>6.3029396540798759</v>
      </c>
      <c r="F52">
        <f t="shared" si="11"/>
        <v>0.255</v>
      </c>
      <c r="G52">
        <f t="shared" si="2"/>
        <v>1.0354108760776546</v>
      </c>
      <c r="H52">
        <f t="shared" si="3"/>
        <v>1.0535332571833443E-8</v>
      </c>
      <c r="I52">
        <f t="shared" si="4"/>
        <v>9491.8693186158434</v>
      </c>
      <c r="J52">
        <f t="shared" si="12"/>
        <v>20233456.024293169</v>
      </c>
    </row>
    <row r="53" spans="4:10" x14ac:dyDescent="0.35">
      <c r="D53">
        <f t="shared" si="10"/>
        <v>5.2000000000000006E-3</v>
      </c>
      <c r="E53">
        <f t="shared" si="0"/>
        <v>6.3644332044582903</v>
      </c>
      <c r="F53">
        <f t="shared" si="11"/>
        <v>0.26</v>
      </c>
      <c r="G53">
        <f t="shared" si="2"/>
        <v>1.0369726467070357</v>
      </c>
      <c r="H53">
        <f t="shared" si="3"/>
        <v>1.0909021191146986E-8</v>
      </c>
      <c r="I53">
        <f t="shared" si="4"/>
        <v>9166.7252494800505</v>
      </c>
      <c r="J53">
        <f t="shared" si="12"/>
        <v>20242622.74954265</v>
      </c>
    </row>
    <row r="54" spans="4:10" x14ac:dyDescent="0.35">
      <c r="D54">
        <f t="shared" si="10"/>
        <v>5.3000000000000009E-3</v>
      </c>
      <c r="E54">
        <f t="shared" si="0"/>
        <v>6.4253382591930439</v>
      </c>
      <c r="F54">
        <f t="shared" si="11"/>
        <v>0.26500000000000001</v>
      </c>
      <c r="G54">
        <f t="shared" si="2"/>
        <v>1.0385758942225487</v>
      </c>
      <c r="H54">
        <f t="shared" si="3"/>
        <v>1.1288467045848772E-8</v>
      </c>
      <c r="I54">
        <f t="shared" si="4"/>
        <v>8858.5987445278552</v>
      </c>
      <c r="J54">
        <f t="shared" si="12"/>
        <v>20251481.348287176</v>
      </c>
    </row>
    <row r="55" spans="4:10" x14ac:dyDescent="0.35">
      <c r="D55">
        <f t="shared" si="10"/>
        <v>5.4000000000000012E-3</v>
      </c>
      <c r="E55">
        <f t="shared" si="0"/>
        <v>6.4856713974798774</v>
      </c>
      <c r="F55">
        <f t="shared" si="11"/>
        <v>0.27000000000000007</v>
      </c>
      <c r="G55">
        <f t="shared" si="2"/>
        <v>1.0402212200422787</v>
      </c>
      <c r="H55">
        <f t="shared" si="3"/>
        <v>1.167364769682978E-8</v>
      </c>
      <c r="I55">
        <f t="shared" si="4"/>
        <v>8566.3027184859329</v>
      </c>
      <c r="J55">
        <f t="shared" si="12"/>
        <v>20260047.651005663</v>
      </c>
    </row>
    <row r="56" spans="4:10" x14ac:dyDescent="0.35">
      <c r="D56">
        <f t="shared" si="10"/>
        <v>5.5000000000000014E-3</v>
      </c>
      <c r="E56">
        <f t="shared" si="0"/>
        <v>6.545448434379975</v>
      </c>
      <c r="F56">
        <f t="shared" si="11"/>
        <v>0.27500000000000008</v>
      </c>
      <c r="G56">
        <f t="shared" si="2"/>
        <v>1.0419092396365848</v>
      </c>
      <c r="H56">
        <f t="shared" si="3"/>
        <v>1.2064541209509973E-8</v>
      </c>
      <c r="I56">
        <f t="shared" si="4"/>
        <v>8288.7528222933324</v>
      </c>
      <c r="J56">
        <f t="shared" si="12"/>
        <v>20268336.403827958</v>
      </c>
    </row>
    <row r="57" spans="4:10" x14ac:dyDescent="0.35">
      <c r="D57">
        <f t="shared" si="10"/>
        <v>5.6000000000000017E-3</v>
      </c>
      <c r="E57">
        <f t="shared" si="0"/>
        <v>6.6046844692359032</v>
      </c>
      <c r="F57">
        <f t="shared" si="11"/>
        <v>0.28000000000000008</v>
      </c>
      <c r="G57">
        <f t="shared" si="2"/>
        <v>1.0436405829611819</v>
      </c>
      <c r="H57">
        <f t="shared" si="3"/>
        <v>1.2461126133458912E-8</v>
      </c>
      <c r="I57">
        <f t="shared" si="4"/>
        <v>8024.9568882457324</v>
      </c>
      <c r="J57">
        <f t="shared" si="12"/>
        <v>20276361.360716205</v>
      </c>
    </row>
    <row r="58" spans="4:10" x14ac:dyDescent="0.35">
      <c r="D58">
        <f t="shared" si="10"/>
        <v>5.7000000000000019E-3</v>
      </c>
      <c r="E58">
        <f t="shared" si="0"/>
        <v>6.6633939302133882</v>
      </c>
      <c r="F58">
        <f t="shared" si="11"/>
        <v>0.28500000000000009</v>
      </c>
      <c r="G58">
        <f t="shared" si="2"/>
        <v>1.0454158949067438</v>
      </c>
      <c r="H58">
        <f t="shared" si="3"/>
        <v>1.2863381483191222E-8</v>
      </c>
      <c r="I58">
        <f t="shared" si="4"/>
        <v>7774.0056244675279</v>
      </c>
      <c r="J58">
        <f t="shared" si="12"/>
        <v>20284135.366340674</v>
      </c>
    </row>
    <row r="59" spans="4:10" x14ac:dyDescent="0.35">
      <c r="D59">
        <f t="shared" si="10"/>
        <v>5.8000000000000022E-3</v>
      </c>
      <c r="E59">
        <f t="shared" si="0"/>
        <v>6.7215906153412304</v>
      </c>
      <c r="F59">
        <f t="shared" si="11"/>
        <v>0.29000000000000009</v>
      </c>
      <c r="G59">
        <f t="shared" si="2"/>
        <v>1.0472358357657823</v>
      </c>
      <c r="H59">
        <f t="shared" si="3"/>
        <v>1.327128672005005E-8</v>
      </c>
      <c r="I59">
        <f t="shared" si="4"/>
        <v>7535.0643919795348</v>
      </c>
      <c r="J59">
        <f t="shared" si="12"/>
        <v>20291670.430732653</v>
      </c>
    </row>
    <row r="60" spans="4:10" x14ac:dyDescent="0.35">
      <c r="D60">
        <f t="shared" si="10"/>
        <v>5.9000000000000025E-3</v>
      </c>
      <c r="E60">
        <f t="shared" si="0"/>
        <v>6.7792877303800863</v>
      </c>
      <c r="F60">
        <f t="shared" si="11"/>
        <v>0.2950000000000001</v>
      </c>
      <c r="G60">
        <f t="shared" si="2"/>
        <v>1.0491010817175936</v>
      </c>
      <c r="H60">
        <f t="shared" si="3"/>
        <v>1.3684821735098644E-8</v>
      </c>
      <c r="I60">
        <f t="shared" si="4"/>
        <v>7307.3659223138702</v>
      </c>
      <c r="J60">
        <f t="shared" si="12"/>
        <v>20298977.796654966</v>
      </c>
    </row>
    <row r="61" spans="4:10" x14ac:dyDescent="0.35">
      <c r="D61">
        <f t="shared" si="10"/>
        <v>6.0000000000000027E-3</v>
      </c>
      <c r="E61">
        <f t="shared" si="0"/>
        <v>6.8364979238145498</v>
      </c>
      <c r="F61">
        <f t="shared" si="11"/>
        <v>0.30000000000000016</v>
      </c>
      <c r="G61">
        <f t="shared" si="2"/>
        <v>1.0510123253321058</v>
      </c>
      <c r="H61">
        <f t="shared" si="3"/>
        <v>1.4103966832948018E-8</v>
      </c>
      <c r="I61">
        <f t="shared" si="4"/>
        <v>7090.2038543079843</v>
      </c>
      <c r="J61">
        <f t="shared" si="12"/>
        <v>20306068.000509273</v>
      </c>
    </row>
    <row r="62" spans="4:10" x14ac:dyDescent="0.35">
      <c r="D62">
        <f t="shared" si="10"/>
        <v>6.100000000000003E-3</v>
      </c>
      <c r="E62">
        <f t="shared" si="0"/>
        <v>6.8932333192312107</v>
      </c>
      <c r="F62">
        <f t="shared" si="11"/>
        <v>0.30500000000000016</v>
      </c>
      <c r="G62">
        <f t="shared" si="2"/>
        <v>1.0529702760935065</v>
      </c>
      <c r="H62">
        <f t="shared" si="3"/>
        <v>1.4528702716454457E-8</v>
      </c>
      <c r="I62">
        <f t="shared" si="4"/>
        <v>6882.9269860925142</v>
      </c>
      <c r="J62">
        <f t="shared" si="12"/>
        <v>20312950.927495364</v>
      </c>
    </row>
    <row r="63" spans="4:10" x14ac:dyDescent="0.35">
      <c r="D63">
        <f t="shared" si="10"/>
        <v>6.2000000000000033E-3</v>
      </c>
      <c r="E63">
        <f t="shared" si="0"/>
        <v>6.9495055453174519</v>
      </c>
      <c r="F63">
        <f t="shared" si="11"/>
        <v>0.31000000000000016</v>
      </c>
      <c r="G63">
        <f t="shared" si="2"/>
        <v>1.0549756609445782</v>
      </c>
      <c r="H63">
        <f t="shared" si="3"/>
        <v>1.4959010472226366E-8</v>
      </c>
      <c r="I63">
        <f t="shared" si="4"/>
        <v>6684.9341529417952</v>
      </c>
      <c r="J63">
        <f t="shared" si="12"/>
        <v>20319635.861648306</v>
      </c>
    </row>
    <row r="64" spans="4:10" x14ac:dyDescent="0.35">
      <c r="D64">
        <f t="shared" si="10"/>
        <v>6.3000000000000035E-3</v>
      </c>
      <c r="E64">
        <f t="shared" si="0"/>
        <v>7.0053257636912711</v>
      </c>
      <c r="F64">
        <f t="shared" si="11"/>
        <v>0.31500000000000017</v>
      </c>
      <c r="G64">
        <f t="shared" si="2"/>
        <v>1.057029224852716</v>
      </c>
      <c r="H64">
        <f t="shared" si="3"/>
        <v>1.5394871556885651E-8</v>
      </c>
      <c r="I64">
        <f t="shared" si="4"/>
        <v>6495.6696540461289</v>
      </c>
      <c r="J64">
        <f t="shared" si="12"/>
        <v>20326131.531302352</v>
      </c>
    </row>
    <row r="65" spans="4:10" x14ac:dyDescent="0.35">
      <c r="D65">
        <f t="shared" si="10"/>
        <v>6.4000000000000038E-3</v>
      </c>
      <c r="E65">
        <f t="shared" si="0"/>
        <v>7.0607046947507559</v>
      </c>
      <c r="F65">
        <f t="shared" si="11"/>
        <v>0.32000000000000017</v>
      </c>
      <c r="G65">
        <f t="shared" si="2"/>
        <v>1.0591317313986628</v>
      </c>
      <c r="H65">
        <f t="shared" si="3"/>
        <v>1.5836267784032449E-8</v>
      </c>
      <c r="I65">
        <f t="shared" si="4"/>
        <v>6314.6191617717532</v>
      </c>
      <c r="J65">
        <f t="shared" si="12"/>
        <v>20332446.150464125</v>
      </c>
    </row>
    <row r="66" spans="4:10" x14ac:dyDescent="0.35">
      <c r="D66">
        <f t="shared" si="10"/>
        <v>6.500000000000004E-3</v>
      </c>
      <c r="E66">
        <f t="shared" si="0"/>
        <v>7.1156526417127788</v>
      </c>
      <c r="F66">
        <f t="shared" si="11"/>
        <v>0.32500000000000018</v>
      </c>
      <c r="G66">
        <f t="shared" si="2"/>
        <v>1.0612839633890447</v>
      </c>
      <c r="H66">
        <f t="shared" si="3"/>
        <v>1.628318131186684E-8</v>
      </c>
      <c r="I66">
        <f t="shared" si="4"/>
        <v>6141.30605590703</v>
      </c>
      <c r="J66">
        <f t="shared" si="12"/>
        <v>20338587.456520032</v>
      </c>
    </row>
    <row r="67" spans="4:10" x14ac:dyDescent="0.35">
      <c r="D67">
        <f t="shared" si="10"/>
        <v>6.6000000000000043E-3</v>
      </c>
      <c r="E67">
        <f t="shared" ref="E67:E130" si="13">$B$9*$B$4*(SQRT(PI()*D67))</f>
        <v>7.1701795129935713</v>
      </c>
      <c r="F67">
        <f t="shared" si="11"/>
        <v>0.33000000000000018</v>
      </c>
      <c r="G67">
        <f t="shared" ref="G67:G130" si="14">(1- 0.5*F67 + 0.326*F67^2)/(SQRT(1-F67))</f>
        <v>1.0634867234938581</v>
      </c>
      <c r="H67">
        <f t="shared" ref="H67:H130" si="15">$B$1*(E67^$B$3)</f>
        <v>1.6735594631424964E-8</v>
      </c>
      <c r="I67">
        <f t="shared" ref="I67:I130" si="16">(0.1/1000)/H67</f>
        <v>5975.2881330088385</v>
      </c>
      <c r="J67">
        <f t="shared" si="12"/>
        <v>20344562.744653042</v>
      </c>
    </row>
    <row r="68" spans="4:10" x14ac:dyDescent="0.35">
      <c r="D68">
        <f t="shared" si="10"/>
        <v>6.7000000000000046E-3</v>
      </c>
      <c r="E68">
        <f t="shared" si="13"/>
        <v>7.2242948430688649</v>
      </c>
      <c r="F68">
        <f t="shared" si="11"/>
        <v>0.33500000000000024</v>
      </c>
      <c r="G68">
        <f t="shared" si="14"/>
        <v>1.0657408349101207</v>
      </c>
      <c r="H68">
        <f t="shared" si="15"/>
        <v>1.7193490555389946E-8</v>
      </c>
      <c r="I68">
        <f t="shared" si="16"/>
        <v>5816.1546474721645</v>
      </c>
      <c r="J68">
        <f t="shared" si="12"/>
        <v>20350378.899300516</v>
      </c>
    </row>
    <row r="69" spans="4:10" x14ac:dyDescent="0.35">
      <c r="D69">
        <f t="shared" si="10"/>
        <v>6.8000000000000048E-3</v>
      </c>
      <c r="E69">
        <f t="shared" si="13"/>
        <v>7.2780078119379681</v>
      </c>
      <c r="F69">
        <f t="shared" si="11"/>
        <v>0.34000000000000025</v>
      </c>
      <c r="G69">
        <f t="shared" si="14"/>
        <v>1.0680471420529694</v>
      </c>
      <c r="H69">
        <f t="shared" si="15"/>
        <v>1.7656852207441234E-8</v>
      </c>
      <c r="I69">
        <f t="shared" si="16"/>
        <v>5663.5236465227026</v>
      </c>
      <c r="J69">
        <f t="shared" si="12"/>
        <v>20356042.422947038</v>
      </c>
    </row>
    <row r="70" spans="4:10" x14ac:dyDescent="0.35">
      <c r="D70">
        <f t="shared" si="10"/>
        <v>6.9000000000000051E-3</v>
      </c>
      <c r="E70">
        <f t="shared" si="13"/>
        <v>7.3313272633042903</v>
      </c>
      <c r="F70">
        <f t="shared" si="11"/>
        <v>0.34500000000000025</v>
      </c>
      <c r="G70">
        <f t="shared" si="14"/>
        <v>1.0704065112755543</v>
      </c>
      <c r="H70">
        <f t="shared" si="15"/>
        <v>1.8125663012109234E-8</v>
      </c>
      <c r="I70">
        <f t="shared" si="16"/>
        <v>5517.0395661219609</v>
      </c>
      <c r="J70">
        <f t="shared" si="12"/>
        <v>20361559.46251316</v>
      </c>
    </row>
    <row r="71" spans="4:10" x14ac:dyDescent="0.35">
      <c r="D71">
        <f t="shared" si="10"/>
        <v>7.0000000000000053E-3</v>
      </c>
      <c r="E71">
        <f t="shared" si="13"/>
        <v>7.3842617215743003</v>
      </c>
      <c r="F71">
        <f t="shared" si="11"/>
        <v>0.35000000000000026</v>
      </c>
      <c r="G71">
        <f t="shared" si="14"/>
        <v>1.0728198316191702</v>
      </c>
      <c r="H71">
        <f t="shared" si="15"/>
        <v>1.8599906685103784E-8</v>
      </c>
      <c r="I71">
        <f t="shared" si="16"/>
        <v>5376.3710588982467</v>
      </c>
      <c r="J71">
        <f t="shared" si="12"/>
        <v>20366935.83357206</v>
      </c>
    </row>
    <row r="72" spans="4:10" x14ac:dyDescent="0.35">
      <c r="D72">
        <f t="shared" si="10"/>
        <v>7.1000000000000056E-3</v>
      </c>
      <c r="E72">
        <f t="shared" si="13"/>
        <v>7.436819407767417</v>
      </c>
      <c r="F72">
        <f t="shared" si="11"/>
        <v>0.35500000000000026</v>
      </c>
      <c r="G72">
        <f t="shared" si="14"/>
        <v>1.0752880155951317</v>
      </c>
      <c r="H72">
        <f t="shared" si="15"/>
        <v>1.9079567224088238E-8</v>
      </c>
      <c r="I72">
        <f t="shared" si="16"/>
        <v>5241.2090287744322</v>
      </c>
      <c r="J72">
        <f t="shared" si="12"/>
        <v>20372177.042600833</v>
      </c>
    </row>
    <row r="73" spans="4:10" x14ac:dyDescent="0.35">
      <c r="D73">
        <f t="shared" si="10"/>
        <v>7.2000000000000059E-3</v>
      </c>
      <c r="E73">
        <f t="shared" si="13"/>
        <v>7.489008254420928</v>
      </c>
      <c r="F73">
        <f t="shared" si="11"/>
        <v>0.36000000000000026</v>
      </c>
      <c r="G73">
        <f t="shared" si="14"/>
        <v>1.0778120000000002</v>
      </c>
      <c r="H73">
        <f t="shared" si="15"/>
        <v>1.9564628899872441E-8</v>
      </c>
      <c r="I73">
        <f t="shared" si="16"/>
        <v>5111.2648500402674</v>
      </c>
      <c r="J73">
        <f t="shared" si="12"/>
        <v>20377288.307450872</v>
      </c>
    </row>
    <row r="74" spans="4:10" x14ac:dyDescent="0.35">
      <c r="D74">
        <f t="shared" si="10"/>
        <v>7.3000000000000061E-3</v>
      </c>
      <c r="E74">
        <f t="shared" si="13"/>
        <v>7.5408359195664429</v>
      </c>
      <c r="F74">
        <f t="shared" si="11"/>
        <v>0.36500000000000032</v>
      </c>
      <c r="G74">
        <f t="shared" si="14"/>
        <v>1.0803927467658638</v>
      </c>
      <c r="H74">
        <f t="shared" si="15"/>
        <v>2.0055076247999777E-8</v>
      </c>
      <c r="I74">
        <f t="shared" si="16"/>
        <v>4986.2687512830398</v>
      </c>
      <c r="J74">
        <f t="shared" si="12"/>
        <v>20382274.576202154</v>
      </c>
    </row>
    <row r="75" spans="4:10" x14ac:dyDescent="0.35">
      <c r="D75">
        <f t="shared" si="10"/>
        <v>7.4000000000000064E-3</v>
      </c>
      <c r="E75">
        <f t="shared" si="13"/>
        <v>7.5923097998476168</v>
      </c>
      <c r="F75">
        <f t="shared" si="11"/>
        <v>0.37000000000000033</v>
      </c>
      <c r="G75">
        <f t="shared" si="14"/>
        <v>1.0830312438474607</v>
      </c>
      <c r="H75">
        <f t="shared" si="15"/>
        <v>2.0550894060705884E-8</v>
      </c>
      <c r="I75">
        <f t="shared" si="16"/>
        <v>4865.9683469053507</v>
      </c>
      <c r="J75">
        <f t="shared" si="12"/>
        <v>20387140.544549059</v>
      </c>
    </row>
    <row r="76" spans="4:10" x14ac:dyDescent="0.35">
      <c r="D76">
        <f t="shared" si="10"/>
        <v>7.5000000000000067E-3</v>
      </c>
      <c r="E76">
        <f t="shared" si="13"/>
        <v>7.6434370428427583</v>
      </c>
      <c r="F76">
        <f t="shared" si="11"/>
        <v>0.37500000000000033</v>
      </c>
      <c r="G76">
        <f t="shared" si="14"/>
        <v>1.085728506148061</v>
      </c>
      <c r="H76">
        <f t="shared" si="15"/>
        <v>2.1052067379227699E-8</v>
      </c>
      <c r="I76">
        <f t="shared" si="16"/>
        <v>4750.1273009733513</v>
      </c>
      <c r="J76">
        <f t="shared" si="12"/>
        <v>20391890.671850033</v>
      </c>
    </row>
    <row r="77" spans="4:10" x14ac:dyDescent="0.35">
      <c r="D77">
        <f t="shared" si="10"/>
        <v>7.6000000000000069E-3</v>
      </c>
      <c r="E77">
        <f t="shared" si="13"/>
        <v>7.6942245586504381</v>
      </c>
      <c r="F77">
        <f t="shared" si="11"/>
        <v>0.38000000000000034</v>
      </c>
      <c r="G77">
        <f t="shared" si="14"/>
        <v>1.0884855764861208</v>
      </c>
      <c r="H77">
        <f t="shared" si="15"/>
        <v>2.1558581486442568E-8</v>
      </c>
      <c r="I77">
        <f t="shared" si="16"/>
        <v>4638.5241098950073</v>
      </c>
      <c r="J77">
        <f t="shared" si="12"/>
        <v>20396529.195959929</v>
      </c>
    </row>
    <row r="78" spans="4:10" x14ac:dyDescent="0.35">
      <c r="D78">
        <f t="shared" si="10"/>
        <v>7.7000000000000072E-3</v>
      </c>
      <c r="E78">
        <f t="shared" si="13"/>
        <v>7.7446790307912829</v>
      </c>
      <c r="F78">
        <f t="shared" si="11"/>
        <v>0.38500000000000034</v>
      </c>
      <c r="G78">
        <f t="shared" si="14"/>
        <v>1.0913035266048579</v>
      </c>
      <c r="H78">
        <f t="shared" si="15"/>
        <v>2.2070421899819793E-8</v>
      </c>
      <c r="I78">
        <f t="shared" si="16"/>
        <v>4530.9509919616221</v>
      </c>
      <c r="J78">
        <f t="shared" si="12"/>
        <v>20401060.146951891</v>
      </c>
    </row>
    <row r="79" spans="4:10" x14ac:dyDescent="0.35">
      <c r="D79">
        <f t="shared" si="10"/>
        <v>7.8000000000000074E-3</v>
      </c>
      <c r="E79">
        <f t="shared" si="13"/>
        <v>7.7948069264746316</v>
      </c>
      <c r="F79">
        <f t="shared" si="11"/>
        <v>0.39000000000000035</v>
      </c>
      <c r="G79">
        <f t="shared" si="14"/>
        <v>1.0941834582270196</v>
      </c>
      <c r="H79">
        <f t="shared" si="15"/>
        <v>2.2587574364667182E-8</v>
      </c>
      <c r="I79">
        <f t="shared" si="16"/>
        <v>4427.2128731284183</v>
      </c>
      <c r="J79">
        <f t="shared" si="12"/>
        <v>20405487.359825019</v>
      </c>
    </row>
    <row r="80" spans="4:10" x14ac:dyDescent="0.35">
      <c r="D80">
        <f t="shared" si="10"/>
        <v>7.9000000000000077E-3</v>
      </c>
      <c r="E80">
        <f t="shared" si="13"/>
        <v>7.8446145062747075</v>
      </c>
      <c r="F80">
        <f t="shared" si="11"/>
        <v>0.39500000000000035</v>
      </c>
      <c r="G80">
        <f t="shared" si="14"/>
        <v>1.0971265041572622</v>
      </c>
      <c r="H80">
        <f t="shared" si="15"/>
        <v>2.3110024847656159E-8</v>
      </c>
      <c r="I80">
        <f t="shared" si="16"/>
        <v>4327.1264595867406</v>
      </c>
      <c r="J80">
        <f t="shared" si="12"/>
        <v>20409814.486284606</v>
      </c>
    </row>
    <row r="81" spans="4:10" x14ac:dyDescent="0.35">
      <c r="D81">
        <f t="shared" si="10"/>
        <v>8.0000000000000071E-3</v>
      </c>
      <c r="E81">
        <f t="shared" si="13"/>
        <v>7.8941078332572978</v>
      </c>
      <c r="F81">
        <f t="shared" si="11"/>
        <v>0.40000000000000036</v>
      </c>
      <c r="G81">
        <f t="shared" si="14"/>
        <v>1.1001338294347043</v>
      </c>
      <c r="H81">
        <f t="shared" si="15"/>
        <v>2.3637759530611374E-8</v>
      </c>
      <c r="I81">
        <f t="shared" si="16"/>
        <v>4230.5193887135538</v>
      </c>
      <c r="J81">
        <f t="shared" si="12"/>
        <v>20414045.005673319</v>
      </c>
    </row>
    <row r="82" spans="4:10" x14ac:dyDescent="0.35">
      <c r="D82">
        <f t="shared" si="10"/>
        <v>8.1000000000000065E-3</v>
      </c>
      <c r="E82">
        <f t="shared" si="13"/>
        <v>7.9432927815946019</v>
      </c>
      <c r="F82">
        <f t="shared" si="11"/>
        <v>0.4050000000000003</v>
      </c>
      <c r="G82">
        <f t="shared" si="14"/>
        <v>1.103206632538382</v>
      </c>
      <c r="H82">
        <f t="shared" si="15"/>
        <v>2.4170764804550211E-8</v>
      </c>
      <c r="I82">
        <f t="shared" si="16"/>
        <v>4137.2294508932846</v>
      </c>
      <c r="J82">
        <f t="shared" si="12"/>
        <v>20418182.235124212</v>
      </c>
    </row>
    <row r="83" spans="4:10" x14ac:dyDescent="0.35">
      <c r="D83">
        <f t="shared" si="10"/>
        <v>8.2000000000000059E-3</v>
      </c>
      <c r="E83">
        <f t="shared" si="13"/>
        <v>7.9921750447028863</v>
      </c>
      <c r="F83">
        <f t="shared" si="11"/>
        <v>0.41000000000000031</v>
      </c>
      <c r="G83">
        <f t="shared" si="14"/>
        <v>1.1063461466485072</v>
      </c>
      <c r="H83">
        <f t="shared" si="15"/>
        <v>2.4709027263959274E-8</v>
      </c>
      <c r="I83">
        <f t="shared" si="16"/>
        <v>4047.1038755079026</v>
      </c>
      <c r="J83">
        <f t="shared" si="12"/>
        <v>20422229.338999718</v>
      </c>
    </row>
    <row r="84" spans="4:10" x14ac:dyDescent="0.35">
      <c r="D84">
        <f t="shared" si="10"/>
        <v>8.3000000000000053E-3</v>
      </c>
      <c r="E84">
        <f t="shared" si="13"/>
        <v>8.0407601429348858</v>
      </c>
      <c r="F84">
        <f t="shared" si="11"/>
        <v>0.41500000000000026</v>
      </c>
      <c r="G84">
        <f t="shared" si="14"/>
        <v>1.10955364096661</v>
      </c>
      <c r="H84">
        <f t="shared" si="15"/>
        <v>2.5252533701295798E-8</v>
      </c>
      <c r="I84">
        <f t="shared" si="16"/>
        <v>3959.9986750980415</v>
      </c>
      <c r="J84">
        <f t="shared" si="12"/>
        <v>20426189.337674815</v>
      </c>
    </row>
    <row r="85" spans="4:10" x14ac:dyDescent="0.35">
      <c r="D85">
        <f t="shared" ref="D85:D148" si="17">D84+0.0001</f>
        <v>8.4000000000000047E-3</v>
      </c>
      <c r="E85">
        <f t="shared" si="13"/>
        <v>8.0890534308563531</v>
      </c>
      <c r="F85">
        <f t="shared" ref="F85:F148" si="18">D85/$B$7</f>
        <v>0.42000000000000021</v>
      </c>
      <c r="G85">
        <f t="shared" si="14"/>
        <v>1.1128304220978518</v>
      </c>
      <c r="H85">
        <f t="shared" si="15"/>
        <v>2.5801271101702466E-8</v>
      </c>
      <c r="I85">
        <f t="shared" si="16"/>
        <v>3875.7780423229469</v>
      </c>
      <c r="J85">
        <f t="shared" ref="J85:J148" si="19">J84+I85</f>
        <v>20430065.115717139</v>
      </c>
    </row>
    <row r="86" spans="4:10" x14ac:dyDescent="0.35">
      <c r="D86">
        <f t="shared" si="17"/>
        <v>8.5000000000000041E-3</v>
      </c>
      <c r="E86">
        <f t="shared" si="13"/>
        <v>8.1370601041338997</v>
      </c>
      <c r="F86">
        <f t="shared" si="18"/>
        <v>0.42500000000000021</v>
      </c>
      <c r="G86">
        <f t="shared" si="14"/>
        <v>1.1161778354990031</v>
      </c>
      <c r="H86">
        <f t="shared" si="15"/>
        <v>2.6355226637924666E-8</v>
      </c>
      <c r="I86">
        <f t="shared" si="16"/>
        <v>3794.3137949002466</v>
      </c>
      <c r="J86">
        <f t="shared" si="19"/>
        <v>20433859.429512039</v>
      </c>
    </row>
    <row r="87" spans="4:10" x14ac:dyDescent="0.35">
      <c r="D87">
        <f t="shared" si="17"/>
        <v>8.6000000000000035E-3</v>
      </c>
      <c r="E87">
        <f t="shared" si="13"/>
        <v>8.1847852060592441</v>
      </c>
      <c r="F87">
        <f t="shared" si="18"/>
        <v>0.43000000000000016</v>
      </c>
      <c r="G87">
        <f t="shared" si="14"/>
        <v>1.1195972669958119</v>
      </c>
      <c r="H87">
        <f t="shared" si="15"/>
        <v>2.6914387665420672E-8</v>
      </c>
      <c r="I87">
        <f t="shared" si="16"/>
        <v>3715.4848641969652</v>
      </c>
      <c r="J87">
        <f t="shared" si="19"/>
        <v>20437574.914376236</v>
      </c>
    </row>
    <row r="88" spans="4:10" x14ac:dyDescent="0.35">
      <c r="D88">
        <f t="shared" si="17"/>
        <v>8.7000000000000029E-3</v>
      </c>
      <c r="E88">
        <f t="shared" si="13"/>
        <v>8.2322336337330064</v>
      </c>
      <c r="F88">
        <f t="shared" si="18"/>
        <v>0.43500000000000011</v>
      </c>
      <c r="G88">
        <f t="shared" si="14"/>
        <v>1.1230901443737367</v>
      </c>
      <c r="H88">
        <f t="shared" si="15"/>
        <v>2.7478741717654687E-8</v>
      </c>
      <c r="I88">
        <f t="shared" si="16"/>
        <v>3639.176823578915</v>
      </c>
      <c r="J88">
        <f t="shared" si="19"/>
        <v>20441214.091199815</v>
      </c>
    </row>
    <row r="89" spans="4:10" x14ac:dyDescent="0.35">
      <c r="D89">
        <f t="shared" si="17"/>
        <v>8.8000000000000023E-3</v>
      </c>
      <c r="E89">
        <f t="shared" si="13"/>
        <v>8.2794101439295549</v>
      </c>
      <c r="F89">
        <f t="shared" si="18"/>
        <v>0.44000000000000011</v>
      </c>
      <c r="G89">
        <f t="shared" si="14"/>
        <v>1.1266579390462752</v>
      </c>
      <c r="H89">
        <f t="shared" si="15"/>
        <v>2.8048276501563928E-8</v>
      </c>
      <c r="I89">
        <f t="shared" si="16"/>
        <v>3565.281453012778</v>
      </c>
      <c r="J89">
        <f t="shared" si="19"/>
        <v>20444779.372652829</v>
      </c>
    </row>
    <row r="90" spans="4:10" x14ac:dyDescent="0.35">
      <c r="D90">
        <f t="shared" si="17"/>
        <v>8.9000000000000017E-3</v>
      </c>
      <c r="E90">
        <f t="shared" si="13"/>
        <v>8.3263193586627633</v>
      </c>
      <c r="F90">
        <f t="shared" si="18"/>
        <v>0.44500000000000006</v>
      </c>
      <c r="G90">
        <f t="shared" si="14"/>
        <v>1.1303021678054175</v>
      </c>
      <c r="H90">
        <f t="shared" si="15"/>
        <v>2.8622979893192177E-8</v>
      </c>
      <c r="I90">
        <f t="shared" si="16"/>
        <v>3493.6963367599774</v>
      </c>
      <c r="J90">
        <f t="shared" si="19"/>
        <v>20448273.06898959</v>
      </c>
    </row>
    <row r="91" spans="4:10" x14ac:dyDescent="0.35">
      <c r="D91">
        <f t="shared" si="17"/>
        <v>9.0000000000000011E-3</v>
      </c>
      <c r="E91">
        <f t="shared" si="13"/>
        <v>8.3729657704711151</v>
      </c>
      <c r="F91">
        <f t="shared" si="18"/>
        <v>0.45000000000000007</v>
      </c>
      <c r="G91">
        <f t="shared" si="14"/>
        <v>1.1340243946590471</v>
      </c>
      <c r="H91">
        <f t="shared" si="15"/>
        <v>2.920283993348051E-8</v>
      </c>
      <c r="I91">
        <f t="shared" si="16"/>
        <v>3424.3244913092126</v>
      </c>
      <c r="J91">
        <f t="shared" si="19"/>
        <v>20451697.393480901</v>
      </c>
    </row>
    <row r="92" spans="4:10" x14ac:dyDescent="0.35">
      <c r="D92">
        <f t="shared" si="17"/>
        <v>9.1000000000000004E-3</v>
      </c>
      <c r="E92">
        <f t="shared" si="13"/>
        <v>8.419353747439267</v>
      </c>
      <c r="F92">
        <f t="shared" si="18"/>
        <v>0.45500000000000002</v>
      </c>
      <c r="G92">
        <f t="shared" si="14"/>
        <v>1.1378262327604509</v>
      </c>
      <c r="H92">
        <f t="shared" si="15"/>
        <v>2.9787844824209289E-8</v>
      </c>
      <c r="I92">
        <f t="shared" si="16"/>
        <v>3357.0740209687015</v>
      </c>
      <c r="J92">
        <f t="shared" si="19"/>
        <v>20455054.467501868</v>
      </c>
    </row>
    <row r="93" spans="4:10" x14ac:dyDescent="0.35">
      <c r="D93">
        <f t="shared" si="17"/>
        <v>9.1999999999999998E-3</v>
      </c>
      <c r="E93">
        <f t="shared" si="13"/>
        <v>8.4654875379719456</v>
      </c>
      <c r="F93">
        <f t="shared" si="18"/>
        <v>0.45999999999999996</v>
      </c>
      <c r="G93">
        <f t="shared" si="14"/>
        <v>1.1417093464354551</v>
      </c>
      <c r="H93">
        <f t="shared" si="15"/>
        <v>3.0377982924083375E-8</v>
      </c>
      <c r="I93">
        <f t="shared" si="16"/>
        <v>3291.8577987849535</v>
      </c>
      <c r="J93">
        <f t="shared" si="19"/>
        <v>20458346.325300653</v>
      </c>
    </row>
    <row r="94" spans="4:10" x14ac:dyDescent="0.35">
      <c r="D94">
        <f t="shared" si="17"/>
        <v>9.2999999999999992E-3</v>
      </c>
      <c r="E94">
        <f t="shared" si="13"/>
        <v>8.5113712753349553</v>
      </c>
      <c r="F94">
        <f t="shared" si="18"/>
        <v>0.46499999999999997</v>
      </c>
      <c r="G94">
        <f t="shared" si="14"/>
        <v>1.14567545331309</v>
      </c>
      <c r="H94">
        <f t="shared" si="15"/>
        <v>3.097324274495438E-8</v>
      </c>
      <c r="I94">
        <f t="shared" si="16"/>
        <v>3228.5931706743963</v>
      </c>
      <c r="J94">
        <f t="shared" si="19"/>
        <v>20461574.918471325</v>
      </c>
    </row>
    <row r="95" spans="4:10" x14ac:dyDescent="0.35">
      <c r="D95">
        <f t="shared" si="17"/>
        <v>9.3999999999999986E-3</v>
      </c>
      <c r="E95">
        <f t="shared" si="13"/>
        <v>8.5570089819770345</v>
      </c>
      <c r="F95">
        <f t="shared" si="18"/>
        <v>0.46999999999999992</v>
      </c>
      <c r="G95">
        <f t="shared" si="14"/>
        <v>1.1497263265660962</v>
      </c>
      <c r="H95">
        <f t="shared" si="15"/>
        <v>3.1573612948173615E-8</v>
      </c>
      <c r="I95">
        <f t="shared" si="16"/>
        <v>3167.2016808511785</v>
      </c>
      <c r="J95">
        <f t="shared" si="19"/>
        <v>20464742.120152175</v>
      </c>
    </row>
    <row r="96" spans="4:10" x14ac:dyDescent="0.35">
      <c r="D96">
        <f t="shared" si="17"/>
        <v>9.499999999999998E-3</v>
      </c>
      <c r="E96">
        <f t="shared" si="13"/>
        <v>8.6024045736453427</v>
      </c>
      <c r="F96">
        <f t="shared" si="18"/>
        <v>0.47499999999999987</v>
      </c>
      <c r="G96">
        <f t="shared" si="14"/>
        <v>1.1538637972680454</v>
      </c>
      <c r="H96">
        <f t="shared" si="15"/>
        <v>3.2179082341070204E-8</v>
      </c>
      <c r="I96">
        <f t="shared" si="16"/>
        <v>3107.6088168110959</v>
      </c>
      <c r="J96">
        <f t="shared" si="19"/>
        <v>20467849.728968985</v>
      </c>
    </row>
    <row r="97" spans="4:10" x14ac:dyDescent="0.35">
      <c r="D97">
        <f t="shared" si="17"/>
        <v>9.5999999999999974E-3</v>
      </c>
      <c r="E97">
        <f t="shared" si="13"/>
        <v>8.6475618633064997</v>
      </c>
      <c r="F97">
        <f t="shared" si="18"/>
        <v>0.47999999999999987</v>
      </c>
      <c r="G97">
        <f t="shared" si="14"/>
        <v>1.1580897568743238</v>
      </c>
      <c r="H97">
        <f t="shared" si="15"/>
        <v>3.2789639873548108E-8</v>
      </c>
      <c r="I97">
        <f t="shared" si="16"/>
        <v>3049.7437722904515</v>
      </c>
      <c r="J97">
        <f t="shared" si="19"/>
        <v>20470899.472741276</v>
      </c>
    </row>
    <row r="98" spans="4:10" x14ac:dyDescent="0.35">
      <c r="D98">
        <f t="shared" si="17"/>
        <v>9.6999999999999968E-3</v>
      </c>
      <c r="E98">
        <f t="shared" si="13"/>
        <v>8.6924845648842926</v>
      </c>
      <c r="F98">
        <f t="shared" si="18"/>
        <v>0.48499999999999982</v>
      </c>
      <c r="G98">
        <f t="shared" si="14"/>
        <v>1.1624061598347588</v>
      </c>
      <c r="H98">
        <f t="shared" si="15"/>
        <v>3.3405274634797747E-8</v>
      </c>
      <c r="I98">
        <f t="shared" si="16"/>
        <v>2993.5392267612606</v>
      </c>
      <c r="J98">
        <f t="shared" si="19"/>
        <v>20473893.011968039</v>
      </c>
    </row>
    <row r="99" spans="4:10" x14ac:dyDescent="0.35">
      <c r="D99">
        <f t="shared" si="17"/>
        <v>9.7999999999999962E-3</v>
      </c>
      <c r="E99">
        <f t="shared" si="13"/>
        <v>8.737176296824412</v>
      </c>
      <c r="F99">
        <f t="shared" si="18"/>
        <v>0.48999999999999982</v>
      </c>
      <c r="G99">
        <f t="shared" si="14"/>
        <v>1.166815026346238</v>
      </c>
      <c r="H99">
        <f t="shared" si="15"/>
        <v>3.4025975850116165E-8</v>
      </c>
      <c r="I99">
        <f t="shared" si="16"/>
        <v>2938.9311401529899</v>
      </c>
      <c r="J99">
        <f t="shared" si="19"/>
        <v>20476831.943108194</v>
      </c>
    </row>
    <row r="100" spans="4:10" x14ac:dyDescent="0.35">
      <c r="D100">
        <f t="shared" si="17"/>
        <v>9.8999999999999956E-3</v>
      </c>
      <c r="E100">
        <f t="shared" si="13"/>
        <v>8.7816405854959125</v>
      </c>
      <c r="F100">
        <f t="shared" si="18"/>
        <v>0.49499999999999977</v>
      </c>
      <c r="G100">
        <f t="shared" si="14"/>
        <v>1.1713184452542849</v>
      </c>
      <c r="H100">
        <f t="shared" si="15"/>
        <v>3.465173287783209E-8</v>
      </c>
      <c r="I100">
        <f t="shared" si="16"/>
        <v>2885.8585616066971</v>
      </c>
      <c r="J100">
        <f t="shared" si="19"/>
        <v>20479717.801669799</v>
      </c>
    </row>
    <row r="101" spans="4:10" x14ac:dyDescent="0.35">
      <c r="D101">
        <f t="shared" si="17"/>
        <v>9.999999999999995E-3</v>
      </c>
      <c r="E101">
        <f t="shared" si="13"/>
        <v>8.8258808684384409</v>
      </c>
      <c r="F101">
        <f t="shared" si="18"/>
        <v>0.49999999999999972</v>
      </c>
      <c r="G101">
        <f t="shared" si="14"/>
        <v>1.1759185771132283</v>
      </c>
      <c r="H101">
        <f t="shared" si="15"/>
        <v>3.5282535206330813E-8</v>
      </c>
      <c r="I101">
        <f t="shared" si="16"/>
        <v>2834.2634511722054</v>
      </c>
      <c r="J101">
        <f t="shared" si="19"/>
        <v>20482552.065120973</v>
      </c>
    </row>
    <row r="102" spans="4:10" x14ac:dyDescent="0.35">
      <c r="D102">
        <f t="shared" si="17"/>
        <v>1.0099999999999994E-2</v>
      </c>
      <c r="E102">
        <f t="shared" si="13"/>
        <v>8.869900497463675</v>
      </c>
      <c r="F102">
        <f t="shared" si="18"/>
        <v>0.50499999999999967</v>
      </c>
      <c r="G102">
        <f t="shared" si="14"/>
        <v>1.1806176574153262</v>
      </c>
      <c r="H102">
        <f t="shared" si="15"/>
        <v>3.5918372451174591E-8</v>
      </c>
      <c r="I102">
        <f t="shared" si="16"/>
        <v>2784.0905134533687</v>
      </c>
      <c r="J102">
        <f t="shared" si="19"/>
        <v>20485336.155634426</v>
      </c>
    </row>
    <row r="103" spans="4:10" x14ac:dyDescent="0.35">
      <c r="D103">
        <f t="shared" si="17"/>
        <v>1.0199999999999994E-2</v>
      </c>
      <c r="E103">
        <f t="shared" si="13"/>
        <v>8.9137027416189412</v>
      </c>
      <c r="F103">
        <f t="shared" si="18"/>
        <v>0.50999999999999968</v>
      </c>
      <c r="G103">
        <f t="shared" si="14"/>
        <v>1.1854179999999996</v>
      </c>
      <c r="H103">
        <f t="shared" si="15"/>
        <v>3.6559234352315141E-8</v>
      </c>
      <c r="I103">
        <f t="shared" si="16"/>
        <v>2735.2870422918863</v>
      </c>
      <c r="J103">
        <f t="shared" si="19"/>
        <v>20488071.442676719</v>
      </c>
    </row>
    <row r="104" spans="4:10" x14ac:dyDescent="0.35">
      <c r="D104">
        <f t="shared" si="17"/>
        <v>1.0299999999999993E-2</v>
      </c>
      <c r="E104">
        <f t="shared" si="13"/>
        <v>8.9572907900203678</v>
      </c>
      <c r="F104">
        <f t="shared" si="18"/>
        <v>0.51499999999999968</v>
      </c>
      <c r="G104">
        <f t="shared" si="14"/>
        <v>1.1903220006551827</v>
      </c>
      <c r="H104">
        <f t="shared" si="15"/>
        <v>3.7205110771394047E-8</v>
      </c>
      <c r="I104">
        <f t="shared" si="16"/>
        <v>2687.802775657563</v>
      </c>
      <c r="J104">
        <f t="shared" si="19"/>
        <v>20490759.245452378</v>
      </c>
    </row>
    <row r="105" spans="4:10" x14ac:dyDescent="0.35">
      <c r="D105">
        <f t="shared" si="17"/>
        <v>1.0399999999999993E-2</v>
      </c>
      <c r="E105">
        <f t="shared" si="13"/>
        <v>9.0006677545625671</v>
      </c>
      <c r="F105">
        <f t="shared" si="18"/>
        <v>0.51999999999999957</v>
      </c>
      <c r="G105">
        <f t="shared" si="14"/>
        <v>1.1953321409237401</v>
      </c>
      <c r="H105">
        <f t="shared" si="15"/>
        <v>3.7855991689126927E-8</v>
      </c>
      <c r="I105">
        <f t="shared" si="16"/>
        <v>2641.58975998302</v>
      </c>
      <c r="J105">
        <f t="shared" si="19"/>
        <v>20493400.835212361</v>
      </c>
    </row>
    <row r="106" spans="4:10" x14ac:dyDescent="0.35">
      <c r="D106">
        <f t="shared" si="17"/>
        <v>1.0499999999999992E-2</v>
      </c>
      <c r="E106">
        <f t="shared" si="13"/>
        <v>9.0438366725113433</v>
      </c>
      <c r="F106">
        <f t="shared" si="18"/>
        <v>0.52499999999999958</v>
      </c>
      <c r="G106">
        <f t="shared" si="14"/>
        <v>1.2004509921289117</v>
      </c>
      <c r="H106">
        <f t="shared" si="15"/>
        <v>3.8511867202769379E-8</v>
      </c>
      <c r="I106">
        <f t="shared" si="16"/>
        <v>2596.6022232442947</v>
      </c>
      <c r="J106">
        <f t="shared" si="19"/>
        <v>20495997.437435605</v>
      </c>
    </row>
    <row r="107" spans="4:10" x14ac:dyDescent="0.35">
      <c r="D107">
        <f t="shared" si="17"/>
        <v>1.0599999999999991E-2</v>
      </c>
      <c r="E107">
        <f t="shared" si="13"/>
        <v>9.0868005089855313</v>
      </c>
      <c r="F107">
        <f t="shared" si="18"/>
        <v>0.52999999999999958</v>
      </c>
      <c r="G107">
        <f t="shared" si="14"/>
        <v>1.2056812196338573</v>
      </c>
      <c r="H107">
        <f t="shared" si="15"/>
        <v>3.9172727523660052E-8</v>
      </c>
      <c r="I107">
        <f t="shared" si="16"/>
        <v>2552.7964561467084</v>
      </c>
      <c r="J107">
        <f t="shared" si="19"/>
        <v>20498550.233891752</v>
      </c>
    </row>
    <row r="108" spans="4:10" x14ac:dyDescent="0.35">
      <c r="D108">
        <f t="shared" si="17"/>
        <v>1.0699999999999991E-2</v>
      </c>
      <c r="E108">
        <f t="shared" si="13"/>
        <v>9.1295621593337319</v>
      </c>
      <c r="F108">
        <f t="shared" si="18"/>
        <v>0.53499999999999948</v>
      </c>
      <c r="G108">
        <f t="shared" si="14"/>
        <v>1.2110255873515896</v>
      </c>
      <c r="H108">
        <f t="shared" si="15"/>
        <v>3.9838562974838304E-8</v>
      </c>
      <c r="I108">
        <f t="shared" si="16"/>
        <v>2510.1307008277167</v>
      </c>
      <c r="J108">
        <f t="shared" si="19"/>
        <v>20501060.364592578</v>
      </c>
    </row>
    <row r="109" spans="4:10" x14ac:dyDescent="0.35">
      <c r="D109">
        <f t="shared" si="17"/>
        <v>1.079999999999999E-2</v>
      </c>
      <c r="E109">
        <f t="shared" si="13"/>
        <v>9.1721244514113014</v>
      </c>
      <c r="F109">
        <f t="shared" si="18"/>
        <v>0.53999999999999948</v>
      </c>
      <c r="G109">
        <f t="shared" si="14"/>
        <v>1.2164869625228922</v>
      </c>
      <c r="H109">
        <f t="shared" si="15"/>
        <v>4.0509363988733753E-8</v>
      </c>
      <c r="I109">
        <f t="shared" si="16"/>
        <v>2468.56504653619</v>
      </c>
      <c r="J109">
        <f t="shared" si="19"/>
        <v>20503528.929639116</v>
      </c>
    </row>
    <row r="110" spans="4:10" x14ac:dyDescent="0.35">
      <c r="D110">
        <f t="shared" si="17"/>
        <v>1.089999999999999E-2</v>
      </c>
      <c r="E110">
        <f t="shared" si="13"/>
        <v>9.2144901477626924</v>
      </c>
      <c r="F110">
        <f t="shared" si="18"/>
        <v>0.54499999999999948</v>
      </c>
      <c r="G110">
        <f t="shared" si="14"/>
        <v>1.2220683207812855</v>
      </c>
      <c r="H110">
        <f t="shared" si="15"/>
        <v>4.1185121104924469E-8</v>
      </c>
      <c r="I110">
        <f t="shared" si="16"/>
        <v>2428.0613317910843</v>
      </c>
      <c r="J110">
        <f t="shared" si="19"/>
        <v>20505956.990970906</v>
      </c>
    </row>
    <row r="111" spans="4:10" x14ac:dyDescent="0.35">
      <c r="D111">
        <f t="shared" si="17"/>
        <v>1.0999999999999989E-2</v>
      </c>
      <c r="E111">
        <f t="shared" si="13"/>
        <v>9.2566619477138961</v>
      </c>
      <c r="F111">
        <f t="shared" si="18"/>
        <v>0.54999999999999949</v>
      </c>
      <c r="G111">
        <f t="shared" si="14"/>
        <v>1.2277727515256591</v>
      </c>
      <c r="H111">
        <f t="shared" si="15"/>
        <v>4.1865824967961124E-8</v>
      </c>
      <c r="I111">
        <f t="shared" si="16"/>
        <v>2388.5830525620245</v>
      </c>
      <c r="J111">
        <f t="shared" si="19"/>
        <v>20508345.574023467</v>
      </c>
    </row>
    <row r="112" spans="4:10" x14ac:dyDescent="0.35">
      <c r="D112">
        <f t="shared" si="17"/>
        <v>1.1099999999999988E-2</v>
      </c>
      <c r="E112">
        <f t="shared" si="13"/>
        <v>9.2986424893794624</v>
      </c>
      <c r="F112">
        <f t="shared" si="18"/>
        <v>0.55499999999999938</v>
      </c>
      <c r="G112">
        <f t="shared" si="14"/>
        <v>1.2336034636229427</v>
      </c>
      <c r="H112">
        <f t="shared" si="15"/>
        <v>4.2551466325255468E-8</v>
      </c>
      <c r="I112">
        <f t="shared" si="16"/>
        <v>2350.0952760503874</v>
      </c>
      <c r="J112">
        <f t="shared" si="19"/>
        <v>20510695.669299517</v>
      </c>
    </row>
    <row r="113" spans="4:10" x14ac:dyDescent="0.35">
      <c r="D113">
        <f t="shared" si="17"/>
        <v>1.1199999999999988E-2</v>
      </c>
      <c r="E113">
        <f t="shared" si="13"/>
        <v>9.340434351588355</v>
      </c>
      <c r="F113">
        <f t="shared" si="18"/>
        <v>0.55999999999999939</v>
      </c>
      <c r="G113">
        <f t="shared" si="14"/>
        <v>1.2395637914650748</v>
      </c>
      <c r="H113">
        <f t="shared" si="15"/>
        <v>4.3242036025028939E-8</v>
      </c>
      <c r="I113">
        <f t="shared" si="16"/>
        <v>2312.5645596825962</v>
      </c>
      <c r="J113">
        <f t="shared" si="19"/>
        <v>20513008.2338592</v>
      </c>
    </row>
    <row r="114" spans="4:10" x14ac:dyDescent="0.35">
      <c r="D114">
        <f t="shared" si="17"/>
        <v>1.1299999999999987E-2</v>
      </c>
      <c r="E114">
        <f t="shared" si="13"/>
        <v>9.3820400557325705</v>
      </c>
      <c r="F114">
        <f t="shared" si="18"/>
        <v>0.56499999999999939</v>
      </c>
      <c r="G114">
        <f t="shared" si="14"/>
        <v>1.2456572014066074</v>
      </c>
      <c r="H114">
        <f t="shared" si="15"/>
        <v>4.3937525014321431E-8</v>
      </c>
      <c r="I114">
        <f t="shared" si="16"/>
        <v>2275.9588749572267</v>
      </c>
      <c r="J114">
        <f t="shared" si="19"/>
        <v>20515284.192734156</v>
      </c>
    </row>
    <row r="115" spans="4:10" x14ac:dyDescent="0.35">
      <c r="D115">
        <f t="shared" si="17"/>
        <v>1.1399999999999987E-2</v>
      </c>
      <c r="E115">
        <f t="shared" si="13"/>
        <v>9.423462067542328</v>
      </c>
      <c r="F115">
        <f t="shared" si="18"/>
        <v>0.56999999999999929</v>
      </c>
      <c r="G115">
        <f t="shared" si="14"/>
        <v>1.2518872986115885</v>
      </c>
      <c r="H115">
        <f t="shared" si="15"/>
        <v>4.4637924337055593E-8</v>
      </c>
      <c r="I115">
        <f t="shared" si="16"/>
        <v>2240.2475358153315</v>
      </c>
      <c r="J115">
        <f t="shared" si="19"/>
        <v>20517524.440269969</v>
      </c>
    </row>
    <row r="116" spans="4:10" x14ac:dyDescent="0.35">
      <c r="D116">
        <f t="shared" si="17"/>
        <v>1.1499999999999986E-2</v>
      </c>
      <c r="E116">
        <f t="shared" si="13"/>
        <v>9.4647027987912935</v>
      </c>
      <c r="F116">
        <f t="shared" si="18"/>
        <v>0.57499999999999929</v>
      </c>
      <c r="G116">
        <f t="shared" si="14"/>
        <v>1.2582578343408575</v>
      </c>
      <c r="H116">
        <f t="shared" si="15"/>
        <v>4.5343225132156483E-8</v>
      </c>
      <c r="I116">
        <f t="shared" si="16"/>
        <v>2205.4011312283578</v>
      </c>
      <c r="J116">
        <f t="shared" si="19"/>
        <v>20519729.841401197</v>
      </c>
    </row>
    <row r="117" spans="4:10" x14ac:dyDescent="0.35">
      <c r="D117">
        <f t="shared" si="17"/>
        <v>1.1599999999999985E-2</v>
      </c>
      <c r="E117">
        <f t="shared" si="13"/>
        <v>9.5057646089352765</v>
      </c>
      <c r="F117">
        <f t="shared" si="18"/>
        <v>0.57999999999999929</v>
      </c>
      <c r="G117">
        <f t="shared" si="14"/>
        <v>1.2647727137136793</v>
      </c>
      <c r="H117">
        <f t="shared" si="15"/>
        <v>4.6053418631723396E-8</v>
      </c>
      <c r="I117">
        <f t="shared" si="16"/>
        <v>2171.3914617212822</v>
      </c>
      <c r="J117">
        <f t="shared" si="19"/>
        <v>20521901.23286292</v>
      </c>
    </row>
    <row r="118" spans="4:10" x14ac:dyDescent="0.35">
      <c r="D118">
        <f t="shared" si="17"/>
        <v>1.1699999999999985E-2</v>
      </c>
      <c r="E118">
        <f t="shared" si="13"/>
        <v>9.5466498066874284</v>
      </c>
      <c r="F118">
        <f t="shared" si="18"/>
        <v>0.58499999999999919</v>
      </c>
      <c r="G118">
        <f t="shared" si="14"/>
        <v>1.271436003980682</v>
      </c>
      <c r="H118">
        <f t="shared" si="15"/>
        <v>4.6768496159252959E-8</v>
      </c>
      <c r="I118">
        <f t="shared" si="16"/>
        <v>2138.191479569638</v>
      </c>
      <c r="J118">
        <f t="shared" si="19"/>
        <v>20524039.424342491</v>
      </c>
    </row>
    <row r="119" spans="4:10" x14ac:dyDescent="0.35">
      <c r="D119">
        <f t="shared" si="17"/>
        <v>1.1799999999999984E-2</v>
      </c>
      <c r="E119">
        <f t="shared" si="13"/>
        <v>9.5873606515330287</v>
      </c>
      <c r="F119">
        <f t="shared" si="18"/>
        <v>0.58999999999999919</v>
      </c>
      <c r="G119">
        <f t="shared" si="14"/>
        <v>1.2782519433484332</v>
      </c>
      <c r="H119">
        <f t="shared" si="15"/>
        <v>4.7488449127910143E-8</v>
      </c>
      <c r="I119">
        <f t="shared" si="16"/>
        <v>2105.7752324286271</v>
      </c>
      <c r="J119">
        <f t="shared" si="19"/>
        <v>20526145.199574918</v>
      </c>
    </row>
    <row r="120" spans="4:10" x14ac:dyDescent="0.35">
      <c r="D120">
        <f t="shared" si="17"/>
        <v>1.1899999999999984E-2</v>
      </c>
      <c r="E120">
        <f t="shared" si="13"/>
        <v>9.6278993551865941</v>
      </c>
      <c r="F120">
        <f t="shared" si="18"/>
        <v>0.5949999999999992</v>
      </c>
      <c r="G120">
        <f t="shared" si="14"/>
        <v>1.2852249503997069</v>
      </c>
      <c r="H120">
        <f t="shared" si="15"/>
        <v>4.8213269038847114E-8</v>
      </c>
      <c r="I120">
        <f t="shared" si="16"/>
        <v>2074.1178101701944</v>
      </c>
      <c r="J120">
        <f t="shared" si="19"/>
        <v>20528219.317385089</v>
      </c>
    </row>
    <row r="121" spans="4:10" x14ac:dyDescent="0.35">
      <c r="D121">
        <f t="shared" si="17"/>
        <v>1.1999999999999983E-2</v>
      </c>
      <c r="E121">
        <f t="shared" si="13"/>
        <v>9.6682680829940342</v>
      </c>
      <c r="F121">
        <f t="shared" si="18"/>
        <v>0.59999999999999909</v>
      </c>
      <c r="G121">
        <f t="shared" si="14"/>
        <v>1.292359634157612</v>
      </c>
      <c r="H121">
        <f t="shared" si="15"/>
        <v>4.8942947479567982E-8</v>
      </c>
      <c r="I121">
        <f t="shared" si="16"/>
        <v>2043.1952947203804</v>
      </c>
      <c r="J121">
        <f t="shared" si="19"/>
        <v>20530262.512679808</v>
      </c>
    </row>
    <row r="122" spans="4:10" x14ac:dyDescent="0.35">
      <c r="D122">
        <f t="shared" si="17"/>
        <v>1.2099999999999982E-2</v>
      </c>
      <c r="E122">
        <f t="shared" si="13"/>
        <v>9.7084689552822816</v>
      </c>
      <c r="F122">
        <f t="shared" si="18"/>
        <v>0.60499999999999909</v>
      </c>
      <c r="G122">
        <f t="shared" si="14"/>
        <v>1.299660804846297</v>
      </c>
      <c r="H122">
        <f t="shared" si="15"/>
        <v>4.9677476122335481E-8</v>
      </c>
      <c r="I122">
        <f t="shared" si="16"/>
        <v>2012.9847127044166</v>
      </c>
      <c r="J122">
        <f t="shared" si="19"/>
        <v>20532275.497392513</v>
      </c>
    </row>
    <row r="123" spans="4:10" x14ac:dyDescent="0.35">
      <c r="D123">
        <f t="shared" si="17"/>
        <v>1.2199999999999982E-2</v>
      </c>
      <c r="E123">
        <f t="shared" si="13"/>
        <v>9.7485040486588748</v>
      </c>
      <c r="F123">
        <f t="shared" si="18"/>
        <v>0.6099999999999991</v>
      </c>
      <c r="G123">
        <f t="shared" si="14"/>
        <v>1.3071334854060002</v>
      </c>
      <c r="H123">
        <f t="shared" si="15"/>
        <v>5.0416846722622129E-8</v>
      </c>
      <c r="I123">
        <f t="shared" si="16"/>
        <v>1983.4639907205824</v>
      </c>
      <c r="J123">
        <f t="shared" si="19"/>
        <v>20534258.961383235</v>
      </c>
    </row>
    <row r="124" spans="4:10" x14ac:dyDescent="0.35">
      <c r="D124">
        <f t="shared" si="17"/>
        <v>1.2299999999999981E-2</v>
      </c>
      <c r="E124">
        <f t="shared" si="13"/>
        <v>9.7883753972636924</v>
      </c>
      <c r="F124">
        <f t="shared" si="18"/>
        <v>0.61499999999999899</v>
      </c>
      <c r="G124">
        <f t="shared" si="14"/>
        <v>1.314782923825812</v>
      </c>
      <c r="H124">
        <f t="shared" si="15"/>
        <v>5.1161051117601145E-8</v>
      </c>
      <c r="I124">
        <f t="shared" si="16"/>
        <v>1954.6119130769109</v>
      </c>
      <c r="J124">
        <f t="shared" si="19"/>
        <v>20536213.573296312</v>
      </c>
    </row>
    <row r="125" spans="4:10" x14ac:dyDescent="0.35">
      <c r="D125">
        <f t="shared" si="17"/>
        <v>1.239999999999998E-2</v>
      </c>
      <c r="E125">
        <f t="shared" si="13"/>
        <v>9.8280849939749615</v>
      </c>
      <c r="F125">
        <f t="shared" si="18"/>
        <v>0.619999999999999</v>
      </c>
      <c r="G125">
        <f t="shared" si="14"/>
        <v>1.3226146063637483</v>
      </c>
      <c r="H125">
        <f t="shared" si="15"/>
        <v>5.191008122467698E-8</v>
      </c>
      <c r="I125">
        <f t="shared" si="16"/>
        <v>1926.4080818363673</v>
      </c>
      <c r="J125">
        <f t="shared" si="19"/>
        <v>20538139.981378149</v>
      </c>
    </row>
    <row r="126" spans="4:10" x14ac:dyDescent="0.35">
      <c r="D126">
        <f t="shared" si="17"/>
        <v>1.249999999999998E-2</v>
      </c>
      <c r="E126">
        <f t="shared" si="13"/>
        <v>9.8676347915716107</v>
      </c>
      <c r="F126">
        <f t="shared" si="18"/>
        <v>0.624999999999999</v>
      </c>
      <c r="G126">
        <f t="shared" si="14"/>
        <v>1.3306342717306519</v>
      </c>
      <c r="H126">
        <f t="shared" si="15"/>
        <v>5.2663929040053734E-8</v>
      </c>
      <c r="I126">
        <f t="shared" si="16"/>
        <v>1898.8328790270216</v>
      </c>
      <c r="J126">
        <f t="shared" si="19"/>
        <v>20540038.814257175</v>
      </c>
    </row>
    <row r="127" spans="4:10" x14ac:dyDescent="0.35">
      <c r="D127">
        <f t="shared" si="17"/>
        <v>1.2599999999999979E-2</v>
      </c>
      <c r="E127">
        <f t="shared" si="13"/>
        <v>9.9070267038538447</v>
      </c>
      <c r="F127">
        <f t="shared" si="18"/>
        <v>0.62999999999999901</v>
      </c>
      <c r="G127">
        <f t="shared" si="14"/>
        <v>1.3388479263221735</v>
      </c>
      <c r="H127">
        <f t="shared" si="15"/>
        <v>5.3422586637340996E-8</v>
      </c>
      <c r="I127">
        <f t="shared" si="16"/>
        <v>1871.8674308836744</v>
      </c>
      <c r="J127">
        <f t="shared" si="19"/>
        <v>20541910.681688059</v>
      </c>
    </row>
    <row r="128" spans="4:10" x14ac:dyDescent="0.35">
      <c r="D128">
        <f t="shared" si="17"/>
        <v>1.2699999999999979E-2</v>
      </c>
      <c r="E128">
        <f t="shared" si="13"/>
        <v>9.9462626067237849</v>
      </c>
      <c r="F128">
        <f t="shared" si="18"/>
        <v>0.6349999999999989</v>
      </c>
      <c r="G128">
        <f t="shared" si="14"/>
        <v>1.3472618605916922</v>
      </c>
      <c r="H128">
        <f t="shared" si="15"/>
        <v>5.418604616619447E-8</v>
      </c>
      <c r="I128">
        <f t="shared" si="16"/>
        <v>1845.4935739966925</v>
      </c>
      <c r="J128">
        <f t="shared" si="19"/>
        <v>20543756.175262056</v>
      </c>
    </row>
    <row r="129" spans="4:10" x14ac:dyDescent="0.35">
      <c r="D129">
        <f t="shared" si="17"/>
        <v>1.2799999999999978E-2</v>
      </c>
      <c r="E129">
        <f t="shared" si="13"/>
        <v>9.9853443392278916</v>
      </c>
      <c r="F129">
        <f t="shared" si="18"/>
        <v>0.6399999999999989</v>
      </c>
      <c r="G129">
        <f t="shared" si="14"/>
        <v>1.355882666666665</v>
      </c>
      <c r="H129">
        <f t="shared" si="15"/>
        <v>5.4954299850992227E-8</v>
      </c>
      <c r="I129">
        <f t="shared" si="16"/>
        <v>1819.6938232522027</v>
      </c>
      <c r="J129">
        <f t="shared" si="19"/>
        <v>20545575.869085308</v>
      </c>
    </row>
    <row r="130" spans="4:10" x14ac:dyDescent="0.35">
      <c r="D130">
        <f t="shared" si="17"/>
        <v>1.2899999999999977E-2</v>
      </c>
      <c r="E130">
        <f t="shared" si="13"/>
        <v>10.0242737045628</v>
      </c>
      <c r="F130">
        <f t="shared" si="18"/>
        <v>0.64499999999999891</v>
      </c>
      <c r="G130">
        <f t="shared" si="14"/>
        <v>1.3647172573216797</v>
      </c>
      <c r="H130">
        <f t="shared" si="15"/>
        <v>5.572733998954207E-8</v>
      </c>
      <c r="I130">
        <f t="shared" si="16"/>
        <v>1794.4513414558501</v>
      </c>
      <c r="J130">
        <f t="shared" si="19"/>
        <v>20547370.320426766</v>
      </c>
    </row>
    <row r="131" spans="4:10" x14ac:dyDescent="0.35">
      <c r="D131">
        <f t="shared" si="17"/>
        <v>1.2999999999999977E-2</v>
      </c>
      <c r="E131">
        <f t="shared" ref="E131:E194" si="20">$B$9*$B$4*(SQRT(PI()*D131))</f>
        <v>10.063052471046142</v>
      </c>
      <c r="F131">
        <f t="shared" si="18"/>
        <v>0.6499999999999988</v>
      </c>
      <c r="G131">
        <f t="shared" ref="G131:G194" si="21">(1- 0.5*F131 + 0.326*F131^2)/(SQRT(1-F131))</f>
        <v>1.3737728864335597</v>
      </c>
      <c r="H131">
        <f t="shared" ref="H131:H194" si="22">$B$1*(E131^$B$3)</f>
        <v>5.6505158951823965E-8</v>
      </c>
      <c r="I131">
        <f t="shared" ref="I131:I194" si="23">(0.1/1000)/H131</f>
        <v>1769.7499105393108</v>
      </c>
      <c r="J131">
        <f t="shared" si="19"/>
        <v>20549140.070337307</v>
      </c>
    </row>
    <row r="132" spans="4:10" x14ac:dyDescent="0.35">
      <c r="D132">
        <f t="shared" si="17"/>
        <v>1.3099999999999976E-2</v>
      </c>
      <c r="E132">
        <f t="shared" si="20"/>
        <v>10.101682373053833</v>
      </c>
      <c r="F132">
        <f t="shared" si="18"/>
        <v>0.65499999999999881</v>
      </c>
      <c r="G132">
        <f t="shared" si="21"/>
        <v>1.383057171057434</v>
      </c>
      <c r="H132">
        <f t="shared" si="22"/>
        <v>5.7287749178761062E-8</v>
      </c>
      <c r="I132">
        <f t="shared" si="23"/>
        <v>1745.5739042558534</v>
      </c>
      <c r="J132">
        <f t="shared" si="19"/>
        <v>20550885.644241564</v>
      </c>
    </row>
    <row r="133" spans="4:10" x14ac:dyDescent="0.35">
      <c r="D133">
        <f t="shared" si="17"/>
        <v>1.3199999999999976E-2</v>
      </c>
      <c r="E133">
        <f t="shared" si="20"/>
        <v>10.14016511192521</v>
      </c>
      <c r="F133">
        <f t="shared" si="18"/>
        <v>0.65999999999999881</v>
      </c>
      <c r="G133">
        <f t="shared" si="21"/>
        <v>1.3925781152779375</v>
      </c>
      <c r="H133">
        <f t="shared" si="22"/>
        <v>5.8075103181022262E-8</v>
      </c>
      <c r="I133">
        <f t="shared" si="23"/>
        <v>1721.9082622771462</v>
      </c>
      <c r="J133">
        <f t="shared" si="19"/>
        <v>20552607.552503843</v>
      </c>
    </row>
    <row r="134" spans="4:10" x14ac:dyDescent="0.35">
      <c r="D134">
        <f t="shared" si="17"/>
        <v>1.3299999999999975E-2</v>
      </c>
      <c r="E134">
        <f t="shared" si="20"/>
        <v>10.178502356837368</v>
      </c>
      <c r="F134">
        <f t="shared" si="18"/>
        <v>0.6649999999999987</v>
      </c>
      <c r="G134">
        <f t="shared" si="21"/>
        <v>1.4023441360068845</v>
      </c>
      <c r="H134">
        <f t="shared" si="22"/>
        <v>5.8867213537853446E-8</v>
      </c>
      <c r="I134">
        <f t="shared" si="23"/>
        <v>1698.738465609501</v>
      </c>
      <c r="J134">
        <f t="shared" si="19"/>
        <v>20554306.290969454</v>
      </c>
    </row>
    <row r="135" spans="4:10" x14ac:dyDescent="0.35">
      <c r="D135">
        <f t="shared" si="17"/>
        <v>1.3399999999999974E-2</v>
      </c>
      <c r="E135">
        <f t="shared" si="20"/>
        <v>10.216695745649988</v>
      </c>
      <c r="F135">
        <f t="shared" si="18"/>
        <v>0.66999999999999871</v>
      </c>
      <c r="G135">
        <f t="shared" si="21"/>
        <v>1.4123640909181396</v>
      </c>
      <c r="H135">
        <f t="shared" si="22"/>
        <v>5.9664072895937606E-8</v>
      </c>
      <c r="I135">
        <f t="shared" si="23"/>
        <v>1676.0505132529895</v>
      </c>
      <c r="J135">
        <f t="shared" si="19"/>
        <v>20555982.341482706</v>
      </c>
    </row>
    <row r="136" spans="4:10" x14ac:dyDescent="0.35">
      <c r="D136">
        <f t="shared" si="17"/>
        <v>1.3499999999999974E-2</v>
      </c>
      <c r="E136">
        <f t="shared" si="20"/>
        <v>10.254746885721813</v>
      </c>
      <c r="F136">
        <f t="shared" si="18"/>
        <v>0.67499999999999871</v>
      </c>
      <c r="G136">
        <f t="shared" si="21"/>
        <v>1.4226473087323019</v>
      </c>
      <c r="H136">
        <f t="shared" si="22"/>
        <v>6.0465673968280749E-8</v>
      </c>
      <c r="I136">
        <f t="shared" si="23"/>
        <v>1653.8309000319468</v>
      </c>
      <c r="J136">
        <f t="shared" si="19"/>
        <v>20557636.172382738</v>
      </c>
    </row>
    <row r="137" spans="4:10" x14ac:dyDescent="0.35">
      <c r="D137">
        <f t="shared" si="17"/>
        <v>1.3599999999999973E-2</v>
      </c>
      <c r="E137">
        <f t="shared" si="20"/>
        <v>10.292657354699996</v>
      </c>
      <c r="F137">
        <f t="shared" si="18"/>
        <v>0.67999999999999861</v>
      </c>
      <c r="G137">
        <f t="shared" si="21"/>
        <v>1.4332036220886379</v>
      </c>
      <c r="H137">
        <f t="shared" si="22"/>
        <v>6.1272009533126415E-8</v>
      </c>
      <c r="I137">
        <f t="shared" si="23"/>
        <v>1632.066595529815</v>
      </c>
      <c r="J137">
        <f t="shared" si="19"/>
        <v>20559268.238978267</v>
      </c>
    </row>
    <row r="138" spans="4:10" x14ac:dyDescent="0.35">
      <c r="D138">
        <f t="shared" si="17"/>
        <v>1.3699999999999973E-2</v>
      </c>
      <c r="E138">
        <f t="shared" si="20"/>
        <v>10.330428701283338</v>
      </c>
      <c r="F138">
        <f t="shared" si="18"/>
        <v>0.68499999999999861</v>
      </c>
      <c r="G138">
        <f t="shared" si="21"/>
        <v>1.4440434032698071</v>
      </c>
      <c r="H138">
        <f t="shared" si="22"/>
        <v>6.2083072432894092E-8</v>
      </c>
      <c r="I138">
        <f t="shared" si="23"/>
        <v>1610.7450240657872</v>
      </c>
      <c r="J138">
        <f t="shared" si="19"/>
        <v>20560878.984002333</v>
      </c>
    </row>
    <row r="139" spans="4:10" x14ac:dyDescent="0.35">
      <c r="D139">
        <f t="shared" si="17"/>
        <v>1.3799999999999972E-2</v>
      </c>
      <c r="E139">
        <f t="shared" si="20"/>
        <v>10.36806244596054</v>
      </c>
      <c r="F139">
        <f t="shared" si="18"/>
        <v>0.68999999999999861</v>
      </c>
      <c r="G139">
        <f t="shared" si="21"/>
        <v>1.4551776030769015</v>
      </c>
      <c r="H139">
        <f t="shared" si="22"/>
        <v>6.2898855573143867E-8</v>
      </c>
      <c r="I139">
        <f t="shared" si="23"/>
        <v>1589.8540456544863</v>
      </c>
      <c r="J139">
        <f t="shared" si="19"/>
        <v>20562468.838047989</v>
      </c>
    </row>
    <row r="140" spans="4:10" x14ac:dyDescent="0.35">
      <c r="D140">
        <f t="shared" si="17"/>
        <v>1.3899999999999971E-2</v>
      </c>
      <c r="E140">
        <f t="shared" si="20"/>
        <v>10.405560081724381</v>
      </c>
      <c r="F140">
        <f t="shared" si="18"/>
        <v>0.69499999999999851</v>
      </c>
      <c r="G140">
        <f t="shared" si="21"/>
        <v>1.4666177931887259</v>
      </c>
      <c r="H140">
        <f t="shared" si="22"/>
        <v>6.3719351921564123E-8</v>
      </c>
      <c r="I140">
        <f t="shared" si="23"/>
        <v>1569.3819378937792</v>
      </c>
      <c r="J140">
        <f t="shared" si="19"/>
        <v>20564038.219985884</v>
      </c>
    </row>
    <row r="141" spans="4:10" x14ac:dyDescent="0.35">
      <c r="D141">
        <f t="shared" si="17"/>
        <v>1.3999999999999971E-2</v>
      </c>
      <c r="E141">
        <f t="shared" si="20"/>
        <v>10.442923074762859</v>
      </c>
      <c r="F141">
        <f t="shared" si="18"/>
        <v>0.69999999999999851</v>
      </c>
      <c r="G141">
        <f t="shared" si="21"/>
        <v>1.4783762123807738</v>
      </c>
      <c r="H141">
        <f t="shared" si="22"/>
        <v>6.4544554506983269E-8</v>
      </c>
      <c r="I141">
        <f t="shared" si="23"/>
        <v>1549.3173787291491</v>
      </c>
      <c r="J141">
        <f t="shared" si="19"/>
        <v>20565587.537364613</v>
      </c>
    </row>
    <row r="142" spans="4:10" x14ac:dyDescent="0.35">
      <c r="D142">
        <f t="shared" si="17"/>
        <v>1.409999999999997E-2</v>
      </c>
      <c r="E142">
        <f t="shared" si="20"/>
        <v>10.480152865128126</v>
      </c>
      <c r="F142">
        <f t="shared" si="18"/>
        <v>0.70499999999999852</v>
      </c>
      <c r="G142">
        <f t="shared" si="21"/>
        <v>1.490465817026841</v>
      </c>
      <c r="H142">
        <f t="shared" si="22"/>
        <v>6.5374456418404246E-8</v>
      </c>
      <c r="I142">
        <f t="shared" si="23"/>
        <v>1529.6494300463194</v>
      </c>
      <c r="J142">
        <f t="shared" si="19"/>
        <v>20567117.186794661</v>
      </c>
    </row>
    <row r="143" spans="4:10" x14ac:dyDescent="0.35">
      <c r="D143">
        <f t="shared" si="17"/>
        <v>1.419999999999997E-2</v>
      </c>
      <c r="E143">
        <f t="shared" si="20"/>
        <v>10.517250867384115</v>
      </c>
      <c r="F143">
        <f t="shared" si="18"/>
        <v>0.70999999999999841</v>
      </c>
      <c r="G143">
        <f t="shared" si="21"/>
        <v>1.5029003363606495</v>
      </c>
      <c r="H143">
        <f t="shared" si="22"/>
        <v>6.6209050804060216E-8</v>
      </c>
      <c r="I143">
        <f t="shared" si="23"/>
        <v>1510.3675220468133</v>
      </c>
      <c r="J143">
        <f t="shared" si="19"/>
        <v>20568627.554316707</v>
      </c>
    </row>
    <row r="144" spans="4:10" x14ac:dyDescent="0.35">
      <c r="D144">
        <f t="shared" si="17"/>
        <v>1.4299999999999969E-2</v>
      </c>
      <c r="E144">
        <f t="shared" si="20"/>
        <v>10.554218471233698</v>
      </c>
      <c r="F144">
        <f t="shared" si="18"/>
        <v>0.71499999999999841</v>
      </c>
      <c r="G144">
        <f t="shared" si="21"/>
        <v>1.515694333037328</v>
      </c>
      <c r="H144">
        <f t="shared" si="22"/>
        <v>6.7048330870492979E-8</v>
      </c>
      <c r="I144">
        <f t="shared" si="23"/>
        <v>1491.4614383638384</v>
      </c>
      <c r="J144">
        <f t="shared" si="19"/>
        <v>20570119.015755072</v>
      </c>
    </row>
    <row r="145" spans="4:10" x14ac:dyDescent="0.35">
      <c r="D145">
        <f t="shared" si="17"/>
        <v>1.4399999999999968E-2</v>
      </c>
      <c r="E145">
        <f t="shared" si="20"/>
        <v>10.591057042126121</v>
      </c>
      <c r="F145">
        <f t="shared" si="18"/>
        <v>0.71999999999999842</v>
      </c>
      <c r="G145">
        <f t="shared" si="21"/>
        <v>1.5288632696065361</v>
      </c>
      <c r="H145">
        <f t="shared" si="22"/>
        <v>6.7892289881650575E-8</v>
      </c>
      <c r="I145">
        <f t="shared" si="23"/>
        <v>1472.921301878599</v>
      </c>
      <c r="J145">
        <f t="shared" si="19"/>
        <v>20571591.937056951</v>
      </c>
    </row>
    <row r="146" spans="4:10" x14ac:dyDescent="0.35">
      <c r="D146">
        <f t="shared" si="17"/>
        <v>1.4499999999999968E-2</v>
      </c>
      <c r="E146">
        <f t="shared" si="20"/>
        <v>10.627767921845487</v>
      </c>
      <c r="F146">
        <f t="shared" si="18"/>
        <v>0.72499999999999842</v>
      </c>
      <c r="G146">
        <f t="shared" si="21"/>
        <v>1.54242358159201</v>
      </c>
      <c r="H146">
        <f t="shared" si="22"/>
        <v>6.874092115800645E-8</v>
      </c>
      <c r="I146">
        <f t="shared" si="23"/>
        <v>1454.7375611994214</v>
      </c>
      <c r="J146">
        <f t="shared" si="19"/>
        <v>20573046.674618151</v>
      </c>
    </row>
    <row r="147" spans="4:10" x14ac:dyDescent="0.35">
      <c r="D147">
        <f t="shared" si="17"/>
        <v>1.4599999999999967E-2</v>
      </c>
      <c r="E147">
        <f t="shared" si="20"/>
        <v>10.664352429081037</v>
      </c>
      <c r="F147">
        <f t="shared" si="18"/>
        <v>0.72999999999999832</v>
      </c>
      <c r="G147">
        <f t="shared" si="21"/>
        <v>1.5563927579682881</v>
      </c>
      <c r="H147">
        <f t="shared" si="22"/>
        <v>6.9594218075696917E-8</v>
      </c>
      <c r="I147">
        <f t="shared" si="23"/>
        <v>1436.9009777684553</v>
      </c>
      <c r="J147">
        <f t="shared" si="19"/>
        <v>20574483.575595919</v>
      </c>
    </row>
    <row r="148" spans="4:10" x14ac:dyDescent="0.35">
      <c r="D148">
        <f t="shared" si="17"/>
        <v>1.4699999999999967E-2</v>
      </c>
      <c r="E148">
        <f t="shared" si="20"/>
        <v>10.700811859979845</v>
      </c>
      <c r="F148">
        <f t="shared" si="18"/>
        <v>0.73499999999999832</v>
      </c>
      <c r="G148">
        <f t="shared" si="21"/>
        <v>1.5707894299366876</v>
      </c>
      <c r="H148">
        <f t="shared" si="22"/>
        <v>7.0452174065678654E-8</v>
      </c>
      <c r="I148">
        <f t="shared" si="23"/>
        <v>1419.4026135627207</v>
      </c>
      <c r="J148">
        <f t="shared" si="19"/>
        <v>20575902.978209481</v>
      </c>
    </row>
    <row r="149" spans="4:10" x14ac:dyDescent="0.35">
      <c r="D149">
        <f t="shared" ref="D149:D200" si="24">D148+0.0001</f>
        <v>1.4799999999999966E-2</v>
      </c>
      <c r="E149">
        <f t="shared" si="20"/>
        <v>10.737147488682643</v>
      </c>
      <c r="F149">
        <f t="shared" ref="F149:F200" si="25">D149/$B$7</f>
        <v>0.73999999999999833</v>
      </c>
      <c r="G149">
        <f t="shared" si="21"/>
        <v>1.5856334690319971</v>
      </c>
      <c r="H149">
        <f t="shared" si="22"/>
        <v>7.1314782612903714E-8</v>
      </c>
      <c r="I149">
        <f t="shared" si="23"/>
        <v>1402.2338193583162</v>
      </c>
      <c r="J149">
        <f t="shared" ref="J149:J200" si="26">J148+I149</f>
        <v>20577305.212028839</v>
      </c>
    </row>
    <row r="150" spans="4:10" x14ac:dyDescent="0.35">
      <c r="D150">
        <f t="shared" si="24"/>
        <v>1.4899999999999965E-2</v>
      </c>
      <c r="E150">
        <f t="shared" si="20"/>
        <v>10.77336056784338</v>
      </c>
      <c r="F150">
        <f t="shared" si="25"/>
        <v>0.74499999999999822</v>
      </c>
      <c r="G150">
        <f t="shared" si="21"/>
        <v>1.6009460957422104</v>
      </c>
      <c r="H150">
        <f t="shared" si="22"/>
        <v>7.2182037255513159E-8</v>
      </c>
      <c r="I150">
        <f t="shared" si="23"/>
        <v>1385.3862235283773</v>
      </c>
      <c r="J150">
        <f t="shared" si="26"/>
        <v>20578690.598252367</v>
      </c>
    </row>
    <row r="151" spans="4:10" x14ac:dyDescent="0.35">
      <c r="D151">
        <f t="shared" si="24"/>
        <v>1.4999999999999965E-2</v>
      </c>
      <c r="E151">
        <f t="shared" si="20"/>
        <v>10.809452329133114</v>
      </c>
      <c r="F151">
        <f t="shared" si="25"/>
        <v>0.74999999999999822</v>
      </c>
      <c r="G151">
        <f t="shared" si="21"/>
        <v>1.6167499999999944</v>
      </c>
      <c r="H151">
        <f t="shared" si="22"/>
        <v>7.3053931584047814E-8</v>
      </c>
      <c r="I151">
        <f t="shared" si="23"/>
        <v>1368.8517213471393</v>
      </c>
      <c r="J151">
        <f t="shared" si="26"/>
        <v>20580059.449973714</v>
      </c>
    </row>
    <row r="152" spans="4:10" x14ac:dyDescent="0.35">
      <c r="D152">
        <f t="shared" si="24"/>
        <v>1.5099999999999964E-2</v>
      </c>
      <c r="E152">
        <f t="shared" si="20"/>
        <v>10.845423983728805</v>
      </c>
      <c r="F152">
        <f t="shared" si="25"/>
        <v>0.75499999999999823</v>
      </c>
      <c r="G152">
        <f t="shared" si="21"/>
        <v>1.6330694751113566</v>
      </c>
      <c r="H152">
        <f t="shared" si="22"/>
        <v>7.3930459240675794E-8</v>
      </c>
      <c r="I152">
        <f t="shared" si="23"/>
        <v>1352.6224647740455</v>
      </c>
      <c r="J152">
        <f t="shared" si="26"/>
        <v>20581412.072438486</v>
      </c>
    </row>
    <row r="153" spans="4:10" x14ac:dyDescent="0.35">
      <c r="D153">
        <f t="shared" si="24"/>
        <v>1.5199999999999964E-2</v>
      </c>
      <c r="E153">
        <f t="shared" si="20"/>
        <v>10.881276722787574</v>
      </c>
      <c r="F153">
        <f t="shared" si="25"/>
        <v>0.75999999999999812</v>
      </c>
      <c r="G153">
        <f t="shared" si="21"/>
        <v>1.6499305669302105</v>
      </c>
      <c r="H153">
        <f t="shared" si="22"/>
        <v>7.4811613918436628E-8</v>
      </c>
      <c r="I153">
        <f t="shared" si="23"/>
        <v>1336.69085269334</v>
      </c>
      <c r="J153">
        <f t="shared" si="26"/>
        <v>20582748.76329118</v>
      </c>
    </row>
    <row r="154" spans="4:10" x14ac:dyDescent="0.35">
      <c r="D154">
        <f t="shared" si="24"/>
        <v>1.5299999999999963E-2</v>
      </c>
      <c r="E154">
        <f t="shared" si="20"/>
        <v>10.917011717906934</v>
      </c>
      <c r="F154">
        <f t="shared" si="25"/>
        <v>0.76499999999999813</v>
      </c>
      <c r="G154">
        <f t="shared" si="21"/>
        <v>1.6673612403744582</v>
      </c>
      <c r="H154">
        <f t="shared" si="22"/>
        <v>7.5697389360500916E-8</v>
      </c>
      <c r="I154">
        <f t="shared" si="23"/>
        <v>1321.0495215860146</v>
      </c>
      <c r="J154">
        <f t="shared" si="26"/>
        <v>20584069.812812768</v>
      </c>
    </row>
    <row r="155" spans="4:10" x14ac:dyDescent="0.35">
      <c r="D155">
        <f t="shared" si="24"/>
        <v>1.5399999999999962E-2</v>
      </c>
      <c r="E155">
        <f t="shared" si="20"/>
        <v>10.952630121571531</v>
      </c>
      <c r="F155">
        <f t="shared" si="25"/>
        <v>0.76999999999999813</v>
      </c>
      <c r="G155">
        <f t="shared" si="21"/>
        <v>1.6853915657188761</v>
      </c>
      <c r="H155">
        <f t="shared" si="22"/>
        <v>7.6587779359447143E-8</v>
      </c>
      <c r="I155">
        <f t="shared" si="23"/>
        <v>1305.6913366122419</v>
      </c>
      <c r="J155">
        <f t="shared" si="26"/>
        <v>20585375.504149381</v>
      </c>
    </row>
    <row r="156" spans="4:10" x14ac:dyDescent="0.35">
      <c r="D156">
        <f t="shared" si="24"/>
        <v>1.5499999999999962E-2</v>
      </c>
      <c r="E156">
        <f t="shared" si="20"/>
        <v>10.988133067586809</v>
      </c>
      <c r="F156">
        <f t="shared" si="25"/>
        <v>0.77499999999999802</v>
      </c>
      <c r="G156">
        <f t="shared" si="21"/>
        <v>1.7040539275035436</v>
      </c>
      <c r="H156">
        <f t="shared" si="22"/>
        <v>7.7482777756551198E-8</v>
      </c>
      <c r="I156">
        <f t="shared" si="23"/>
        <v>1290.6093830837779</v>
      </c>
      <c r="J156">
        <f t="shared" si="26"/>
        <v>20586666.113532465</v>
      </c>
    </row>
    <row r="157" spans="4:10" x14ac:dyDescent="0.35">
      <c r="D157">
        <f t="shared" si="24"/>
        <v>1.5599999999999961E-2</v>
      </c>
      <c r="E157">
        <f t="shared" si="20"/>
        <v>11.023521671500145</v>
      </c>
      <c r="F157">
        <f t="shared" si="25"/>
        <v>0.77999999999999803</v>
      </c>
      <c r="G157">
        <f t="shared" si="21"/>
        <v>1.7233832593774718</v>
      </c>
      <c r="H157">
        <f t="shared" si="22"/>
        <v>7.8382378441091773E-8</v>
      </c>
      <c r="I157">
        <f t="shared" si="23"/>
        <v>1275.7969583068334</v>
      </c>
      <c r="J157">
        <f t="shared" si="26"/>
        <v>20587941.910490774</v>
      </c>
    </row>
    <row r="158" spans="4:10" x14ac:dyDescent="0.35">
      <c r="D158">
        <f t="shared" si="24"/>
        <v>1.5699999999999961E-2</v>
      </c>
      <c r="E158">
        <f t="shared" si="20"/>
        <v>11.058797031009838</v>
      </c>
      <c r="F158">
        <f t="shared" si="25"/>
        <v>0.78499999999999803</v>
      </c>
      <c r="G158">
        <f t="shared" si="21"/>
        <v>1.743417308772492</v>
      </c>
      <c r="H158">
        <f t="shared" si="22"/>
        <v>7.9286575349671341E-8</v>
      </c>
      <c r="I158">
        <f t="shared" si="23"/>
        <v>1261.2475637770692</v>
      </c>
      <c r="J158">
        <f t="shared" si="26"/>
        <v>20589203.158054549</v>
      </c>
    </row>
    <row r="159" spans="4:10" x14ac:dyDescent="0.35">
      <c r="D159">
        <f t="shared" si="24"/>
        <v>1.579999999999996E-2</v>
      </c>
      <c r="E159">
        <f t="shared" si="20"/>
        <v>11.093960226362391</v>
      </c>
      <c r="F159">
        <f t="shared" si="25"/>
        <v>0.78999999999999793</v>
      </c>
      <c r="G159">
        <f t="shared" si="21"/>
        <v>1.7641969359936274</v>
      </c>
      <c r="H159">
        <f t="shared" si="22"/>
        <v>8.0195362465548565E-8</v>
      </c>
      <c r="I159">
        <f t="shared" si="23"/>
        <v>1246.9548977094453</v>
      </c>
      <c r="J159">
        <f t="shared" si="26"/>
        <v>20590450.112952258</v>
      </c>
    </row>
    <row r="160" spans="4:10" x14ac:dyDescent="0.35">
      <c r="D160">
        <f t="shared" si="24"/>
        <v>1.5899999999999959E-2</v>
      </c>
      <c r="E160">
        <f t="shared" si="20"/>
        <v>11.1290123207385</v>
      </c>
      <c r="F160">
        <f t="shared" si="25"/>
        <v>0.79499999999999793</v>
      </c>
      <c r="G160">
        <f t="shared" si="21"/>
        <v>1.7857664531456976</v>
      </c>
      <c r="H160">
        <f t="shared" si="22"/>
        <v>8.1108733817986069E-8</v>
      </c>
      <c r="I160">
        <f t="shared" si="23"/>
        <v>1232.9128478864843</v>
      </c>
      <c r="J160">
        <f t="shared" si="26"/>
        <v>20591683.025800146</v>
      </c>
    </row>
    <row r="161" spans="4:10" x14ac:dyDescent="0.35">
      <c r="D161">
        <f t="shared" si="24"/>
        <v>1.5999999999999959E-2</v>
      </c>
      <c r="E161">
        <f t="shared" si="20"/>
        <v>11.163954360628139</v>
      </c>
      <c r="F161">
        <f t="shared" si="25"/>
        <v>0.79999999999999793</v>
      </c>
      <c r="G161">
        <f t="shared" si="21"/>
        <v>1.8081740093254204</v>
      </c>
      <c r="H161">
        <f t="shared" si="22"/>
        <v>8.2026683481611008E-8</v>
      </c>
      <c r="I161">
        <f t="shared" si="23"/>
        <v>1219.1154848095048</v>
      </c>
      <c r="J161">
        <f t="shared" si="26"/>
        <v>20592902.141284958</v>
      </c>
    </row>
    <row r="162" spans="4:10" x14ac:dyDescent="0.35">
      <c r="D162">
        <f t="shared" si="24"/>
        <v>1.6099999999999958E-2</v>
      </c>
      <c r="E162">
        <f t="shared" si="20"/>
        <v>11.198787376195099</v>
      </c>
      <c r="F162">
        <f t="shared" si="25"/>
        <v>0.80499999999999794</v>
      </c>
      <c r="G162">
        <f t="shared" si="21"/>
        <v>1.831472029736394</v>
      </c>
      <c r="H162">
        <f t="shared" si="22"/>
        <v>8.2949205575787427E-8</v>
      </c>
      <c r="I162">
        <f t="shared" si="23"/>
        <v>1205.5570551382066</v>
      </c>
      <c r="J162">
        <f t="shared" si="26"/>
        <v>20594107.698340096</v>
      </c>
    </row>
    <row r="163" spans="4:10" x14ac:dyDescent="0.35">
      <c r="D163">
        <f t="shared" si="24"/>
        <v>1.6199999999999957E-2</v>
      </c>
      <c r="E163">
        <f t="shared" si="20"/>
        <v>11.233512381631375</v>
      </c>
      <c r="F163">
        <f t="shared" si="25"/>
        <v>0.80999999999999783</v>
      </c>
      <c r="G163">
        <f t="shared" si="21"/>
        <v>1.8557177178853022</v>
      </c>
      <c r="H163">
        <f t="shared" si="22"/>
        <v>8.3876294264003041E-8</v>
      </c>
      <c r="I163">
        <f t="shared" si="23"/>
        <v>1192.231975404721</v>
      </c>
      <c r="J163">
        <f t="shared" si="26"/>
        <v>20595299.930315502</v>
      </c>
    </row>
    <row r="164" spans="4:10" x14ac:dyDescent="0.35">
      <c r="D164">
        <f t="shared" si="24"/>
        <v>1.6299999999999957E-2</v>
      </c>
      <c r="E164">
        <f t="shared" si="20"/>
        <v>11.268130375501698</v>
      </c>
      <c r="F164">
        <f t="shared" si="25"/>
        <v>0.81499999999999784</v>
      </c>
      <c r="G164">
        <f t="shared" si="21"/>
        <v>1.8809736318611265</v>
      </c>
      <c r="H164">
        <f t="shared" si="22"/>
        <v>8.4807943753266988E-8</v>
      </c>
      <c r="I164">
        <f t="shared" si="23"/>
        <v>1179.1348259890783</v>
      </c>
      <c r="J164">
        <f t="shared" si="26"/>
        <v>20596479.065141492</v>
      </c>
    </row>
    <row r="165" spans="4:10" x14ac:dyDescent="0.35">
      <c r="D165">
        <f t="shared" si="24"/>
        <v>1.6399999999999956E-2</v>
      </c>
      <c r="E165">
        <f t="shared" si="20"/>
        <v>11.302642341078601</v>
      </c>
      <c r="F165">
        <f t="shared" si="25"/>
        <v>0.81999999999999784</v>
      </c>
      <c r="G165">
        <f t="shared" si="21"/>
        <v>1.9073083479747521</v>
      </c>
      <c r="H165">
        <f t="shared" si="22"/>
        <v>8.5744148293519043E-8</v>
      </c>
      <c r="I165">
        <f t="shared" si="23"/>
        <v>1166.2603453436891</v>
      </c>
      <c r="J165">
        <f t="shared" si="26"/>
        <v>20597645.325486835</v>
      </c>
    </row>
    <row r="166" spans="4:10" x14ac:dyDescent="0.35">
      <c r="D166">
        <f t="shared" si="24"/>
        <v>1.6499999999999956E-2</v>
      </c>
      <c r="E166">
        <f t="shared" si="20"/>
        <v>11.337049246668261</v>
      </c>
      <c r="F166">
        <f t="shared" si="25"/>
        <v>0.82499999999999774</v>
      </c>
      <c r="G166">
        <f t="shared" si="21"/>
        <v>1.9347972278607004</v>
      </c>
      <c r="H166">
        <f t="shared" si="22"/>
        <v>8.6684902177051459E-8</v>
      </c>
      <c r="I166">
        <f t="shared" si="23"/>
        <v>1153.6034244550779</v>
      </c>
      <c r="J166">
        <f t="shared" si="26"/>
        <v>20598798.928911291</v>
      </c>
    </row>
    <row r="167" spans="4:10" x14ac:dyDescent="0.35">
      <c r="D167">
        <f t="shared" si="24"/>
        <v>1.6599999999999955E-2</v>
      </c>
      <c r="E167">
        <f t="shared" si="20"/>
        <v>11.371352045927523</v>
      </c>
      <c r="F167">
        <f t="shared" si="25"/>
        <v>0.82999999999999774</v>
      </c>
      <c r="G167">
        <f t="shared" si="21"/>
        <v>1.9635233086678818</v>
      </c>
      <c r="H167">
        <f t="shared" si="22"/>
        <v>8.7630199737941528E-8</v>
      </c>
      <c r="I167">
        <f t="shared" si="23"/>
        <v>1141.1591015317827</v>
      </c>
      <c r="J167">
        <f t="shared" si="26"/>
        <v>20599940.088012822</v>
      </c>
    </row>
    <row r="168" spans="4:10" x14ac:dyDescent="0.35">
      <c r="D168">
        <f t="shared" si="24"/>
        <v>1.6699999999999954E-2</v>
      </c>
      <c r="E168">
        <f t="shared" si="20"/>
        <v>11.405551678172289</v>
      </c>
      <c r="F168">
        <f t="shared" si="25"/>
        <v>0.83499999999999774</v>
      </c>
      <c r="G168">
        <f t="shared" si="21"/>
        <v>1.993578340392598</v>
      </c>
      <c r="H168">
        <f t="shared" si="22"/>
        <v>8.8580035351495179E-8</v>
      </c>
      <c r="I168">
        <f t="shared" si="23"/>
        <v>1128.9225569078762</v>
      </c>
      <c r="J168">
        <f t="shared" si="26"/>
        <v>20601069.010569729</v>
      </c>
    </row>
    <row r="169" spans="4:10" x14ac:dyDescent="0.35">
      <c r="D169">
        <f t="shared" si="24"/>
        <v>1.6799999999999954E-2</v>
      </c>
      <c r="E169">
        <f t="shared" si="20"/>
        <v>11.43964906867765</v>
      </c>
      <c r="F169">
        <f t="shared" si="25"/>
        <v>0.83999999999999764</v>
      </c>
      <c r="G169">
        <f t="shared" si="21"/>
        <v>2.0250639999999849</v>
      </c>
      <c r="H169">
        <f t="shared" si="22"/>
        <v>8.9534403433701667E-8</v>
      </c>
      <c r="I169">
        <f t="shared" si="23"/>
        <v>1116.8891081521294</v>
      </c>
      <c r="J169">
        <f t="shared" si="26"/>
        <v>20602185.89967788</v>
      </c>
    </row>
    <row r="170" spans="4:10" x14ac:dyDescent="0.35">
      <c r="D170">
        <f t="shared" si="24"/>
        <v>1.6899999999999953E-2</v>
      </c>
      <c r="E170">
        <f t="shared" si="20"/>
        <v>11.473645128969961</v>
      </c>
      <c r="F170">
        <f t="shared" si="25"/>
        <v>0.84499999999999764</v>
      </c>
      <c r="G170">
        <f t="shared" si="21"/>
        <v>2.0580933190943322</v>
      </c>
      <c r="H170">
        <f t="shared" si="22"/>
        <v>9.0493298440697132E-8</v>
      </c>
      <c r="I170">
        <f t="shared" si="23"/>
        <v>1105.0542053733723</v>
      </c>
      <c r="J170">
        <f t="shared" si="26"/>
        <v>20603290.953883253</v>
      </c>
    </row>
    <row r="171" spans="4:10" x14ac:dyDescent="0.35">
      <c r="D171">
        <f t="shared" si="24"/>
        <v>1.6999999999999953E-2</v>
      </c>
      <c r="E171">
        <f t="shared" si="20"/>
        <v>11.507540757111173</v>
      </c>
      <c r="F171">
        <f t="shared" si="25"/>
        <v>0.84999999999999765</v>
      </c>
      <c r="G171">
        <f t="shared" si="21"/>
        <v>2.0927923710121359</v>
      </c>
      <c r="H171">
        <f t="shared" si="22"/>
        <v>9.1456714868240963E-8</v>
      </c>
      <c r="I171">
        <f t="shared" si="23"/>
        <v>1093.4134267130314</v>
      </c>
      <c r="J171">
        <f t="shared" si="26"/>
        <v>20604384.367309965</v>
      </c>
    </row>
    <row r="172" spans="4:10" x14ac:dyDescent="0.35">
      <c r="D172">
        <f t="shared" si="24"/>
        <v>1.7099999999999952E-2</v>
      </c>
      <c r="E172">
        <f t="shared" si="20"/>
        <v>11.541336837975635</v>
      </c>
      <c r="F172">
        <f t="shared" si="25"/>
        <v>0.85499999999999754</v>
      </c>
      <c r="G172">
        <f t="shared" si="21"/>
        <v>2.129302274973742</v>
      </c>
      <c r="H172">
        <f t="shared" si="22"/>
        <v>9.2424647251199928E-8</v>
      </c>
      <c r="I172">
        <f t="shared" si="23"/>
        <v>1081.9624740163856</v>
      </c>
      <c r="J172">
        <f t="shared" si="26"/>
        <v>20605466.32978398</v>
      </c>
    </row>
    <row r="173" spans="4:10" x14ac:dyDescent="0.35">
      <c r="D173">
        <f t="shared" si="24"/>
        <v>1.7199999999999951E-2</v>
      </c>
      <c r="E173">
        <f t="shared" si="20"/>
        <v>11.575034243519632</v>
      </c>
      <c r="F173">
        <f t="shared" si="25"/>
        <v>0.85999999999999754</v>
      </c>
      <c r="G173">
        <f t="shared" si="21"/>
        <v>2.1677815902308781</v>
      </c>
      <c r="H173">
        <f t="shared" si="22"/>
        <v>9.3397090163043064E-8</v>
      </c>
      <c r="I173">
        <f t="shared" si="23"/>
        <v>1070.697168674423</v>
      </c>
      <c r="J173">
        <f t="shared" si="26"/>
        <v>20606537.026952654</v>
      </c>
    </row>
    <row r="174" spans="4:10" x14ac:dyDescent="0.35">
      <c r="D174">
        <f t="shared" si="24"/>
        <v>1.7299999999999951E-2</v>
      </c>
      <c r="E174">
        <f t="shared" si="20"/>
        <v>11.60863383304387</v>
      </c>
      <c r="F174">
        <f t="shared" si="25"/>
        <v>0.86499999999999755</v>
      </c>
      <c r="G174">
        <f t="shared" si="21"/>
        <v>2.2084091932225118</v>
      </c>
      <c r="H174">
        <f t="shared" si="22"/>
        <v>9.4374038215344681E-8</v>
      </c>
      <c r="I174">
        <f t="shared" si="23"/>
        <v>1059.613447628657</v>
      </c>
      <c r="J174">
        <f t="shared" si="26"/>
        <v>20607596.640400283</v>
      </c>
    </row>
    <row r="175" spans="4:10" x14ac:dyDescent="0.35">
      <c r="D175">
        <f t="shared" si="24"/>
        <v>1.739999999999995E-2</v>
      </c>
      <c r="E175">
        <f t="shared" si="20"/>
        <v>11.642136453449146</v>
      </c>
      <c r="F175">
        <f t="shared" si="25"/>
        <v>0.86999999999999744</v>
      </c>
      <c r="G175">
        <f t="shared" si="21"/>
        <v>2.2513877573285375</v>
      </c>
      <c r="H175">
        <f t="shared" si="22"/>
        <v>9.5355486057299011E-8</v>
      </c>
      <c r="I175">
        <f t="shared" si="23"/>
        <v>1048.7073595315755</v>
      </c>
      <c r="J175">
        <f t="shared" si="26"/>
        <v>20608645.347759813</v>
      </c>
    </row>
    <row r="176" spans="4:10" x14ac:dyDescent="0.35">
      <c r="D176">
        <f t="shared" si="24"/>
        <v>1.749999999999995E-2</v>
      </c>
      <c r="E176">
        <f t="shared" si="20"/>
        <v>11.675542939485432</v>
      </c>
      <c r="F176">
        <f t="shared" si="25"/>
        <v>0.87499999999999745</v>
      </c>
      <c r="G176">
        <f t="shared" si="21"/>
        <v>2.2969479903368271</v>
      </c>
      <c r="H176">
        <f t="shared" si="22"/>
        <v>9.6341428375241386E-8</v>
      </c>
      <c r="I176">
        <f t="shared" si="23"/>
        <v>1037.9750610558606</v>
      </c>
      <c r="J176">
        <f t="shared" si="26"/>
        <v>20609683.322820868</v>
      </c>
    </row>
    <row r="177" spans="4:10" x14ac:dyDescent="0.35">
      <c r="D177">
        <f t="shared" si="24"/>
        <v>1.7599999999999949E-2</v>
      </c>
      <c r="E177">
        <f t="shared" si="20"/>
        <v>11.708854113994537</v>
      </c>
      <c r="F177">
        <f t="shared" si="25"/>
        <v>0.87999999999999745</v>
      </c>
      <c r="G177">
        <f t="shared" si="21"/>
        <v>2.3453538327214538</v>
      </c>
      <c r="H177">
        <f t="shared" si="22"/>
        <v>9.7331859892179399E-8</v>
      </c>
      <c r="I177">
        <f t="shared" si="23"/>
        <v>1027.4128133457664</v>
      </c>
      <c r="J177">
        <f t="shared" si="26"/>
        <v>20610710.735634215</v>
      </c>
    </row>
    <row r="178" spans="4:10" x14ac:dyDescent="0.35">
      <c r="D178">
        <f t="shared" si="24"/>
        <v>1.7699999999999948E-2</v>
      </c>
      <c r="E178">
        <f t="shared" si="20"/>
        <v>11.74207078814659</v>
      </c>
      <c r="F178">
        <f t="shared" si="25"/>
        <v>0.88499999999999746</v>
      </c>
      <c r="G178">
        <f t="shared" si="21"/>
        <v>2.3969088853604896</v>
      </c>
      <c r="H178">
        <f t="shared" si="22"/>
        <v>9.8326775367332456E-8</v>
      </c>
      <c r="I178">
        <f t="shared" si="23"/>
        <v>1017.0169786044204</v>
      </c>
      <c r="J178">
        <f t="shared" si="26"/>
        <v>20611727.752612818</v>
      </c>
    </row>
    <row r="179" spans="4:10" x14ac:dyDescent="0.35">
      <c r="D179">
        <f t="shared" si="24"/>
        <v>1.7799999999999948E-2</v>
      </c>
      <c r="E179">
        <f t="shared" si="20"/>
        <v>11.775193761670511</v>
      </c>
      <c r="F179">
        <f t="shared" si="25"/>
        <v>0.88999999999999735</v>
      </c>
      <c r="G179">
        <f t="shared" si="21"/>
        <v>2.4519644258971098</v>
      </c>
      <c r="H179">
        <f t="shared" si="22"/>
        <v>9.9326169595679245E-8</v>
      </c>
      <c r="I179">
        <f t="shared" si="23"/>
        <v>1006.7840168111151</v>
      </c>
      <c r="J179">
        <f t="shared" si="26"/>
        <v>20612734.536629628</v>
      </c>
    </row>
    <row r="180" spans="4:10" x14ac:dyDescent="0.35">
      <c r="D180">
        <f t="shared" si="24"/>
        <v>1.7899999999999947E-2</v>
      </c>
      <c r="E180">
        <f t="shared" si="20"/>
        <v>11.808223823078677</v>
      </c>
      <c r="F180">
        <f t="shared" si="25"/>
        <v>0.89499999999999735</v>
      </c>
      <c r="G180">
        <f t="shared" si="21"/>
        <v>2.5109294997711511</v>
      </c>
      <c r="H180">
        <f t="shared" si="22"/>
        <v>1.0033003740751512E-7</v>
      </c>
      <c r="I180">
        <f t="shared" si="23"/>
        <v>996.71048256291795</v>
      </c>
      <c r="J180">
        <f t="shared" si="26"/>
        <v>20613731.247112192</v>
      </c>
    </row>
    <row r="181" spans="4:10" x14ac:dyDescent="0.35">
      <c r="D181">
        <f t="shared" si="24"/>
        <v>1.7999999999999947E-2</v>
      </c>
      <c r="E181">
        <f t="shared" si="20"/>
        <v>11.841161749885924</v>
      </c>
      <c r="F181">
        <f t="shared" si="25"/>
        <v>0.89999999999999736</v>
      </c>
      <c r="G181">
        <f t="shared" si="21"/>
        <v>2.5742837520366364</v>
      </c>
      <c r="H181">
        <f t="shared" si="22"/>
        <v>1.0133837366801397E-7</v>
      </c>
      <c r="I181">
        <f t="shared" si="23"/>
        <v>986.79302203528061</v>
      </c>
      <c r="J181">
        <f t="shared" si="26"/>
        <v>20614718.040134229</v>
      </c>
    </row>
    <row r="182" spans="4:10" x14ac:dyDescent="0.35">
      <c r="D182">
        <f t="shared" si="24"/>
        <v>1.8099999999999946E-2</v>
      </c>
      <c r="E182">
        <f t="shared" si="20"/>
        <v>11.874008308823106</v>
      </c>
      <c r="F182">
        <f t="shared" si="25"/>
        <v>0.90499999999999725</v>
      </c>
      <c r="G182">
        <f t="shared" si="21"/>
        <v>2.6425939257411919</v>
      </c>
      <c r="H182">
        <f t="shared" si="22"/>
        <v>1.0235117327680213E-7</v>
      </c>
      <c r="I182">
        <f t="shared" si="23"/>
        <v>977.02837005645722</v>
      </c>
      <c r="J182">
        <f t="shared" si="26"/>
        <v>20615695.068504285</v>
      </c>
    </row>
    <row r="183" spans="4:10" x14ac:dyDescent="0.35">
      <c r="D183">
        <f t="shared" si="24"/>
        <v>1.8199999999999945E-2</v>
      </c>
      <c r="E183">
        <f t="shared" si="20"/>
        <v>11.906764256045335</v>
      </c>
      <c r="F183">
        <f t="shared" si="25"/>
        <v>0.90999999999999726</v>
      </c>
      <c r="G183">
        <f t="shared" si="21"/>
        <v>2.7165353333332911</v>
      </c>
      <c r="H183">
        <f t="shared" si="22"/>
        <v>1.0336843116753551E-7</v>
      </c>
      <c r="I183">
        <f t="shared" si="23"/>
        <v>967.41334729095297</v>
      </c>
      <c r="J183">
        <f t="shared" si="26"/>
        <v>20616662.481851578</v>
      </c>
    </row>
    <row r="184" spans="4:10" x14ac:dyDescent="0.35">
      <c r="D184">
        <f t="shared" si="24"/>
        <v>1.8299999999999945E-2</v>
      </c>
      <c r="E184">
        <f t="shared" si="20"/>
        <v>11.939430337335091</v>
      </c>
      <c r="F184">
        <f t="shared" si="25"/>
        <v>0.91499999999999726</v>
      </c>
      <c r="G184">
        <f t="shared" si="21"/>
        <v>2.7969201760036837</v>
      </c>
      <c r="H184">
        <f t="shared" si="22"/>
        <v>1.043901423074893E-7</v>
      </c>
      <c r="I184">
        <f t="shared" si="23"/>
        <v>957.94485752727701</v>
      </c>
      <c r="J184">
        <f t="shared" si="26"/>
        <v>20617620.426709104</v>
      </c>
    </row>
    <row r="185" spans="4:10" x14ac:dyDescent="0.35">
      <c r="D185">
        <f t="shared" si="24"/>
        <v>1.8399999999999944E-2</v>
      </c>
      <c r="E185">
        <f t="shared" si="20"/>
        <v>11.972007288300329</v>
      </c>
      <c r="F185">
        <f t="shared" si="25"/>
        <v>0.91999999999999715</v>
      </c>
      <c r="G185">
        <f t="shared" si="21"/>
        <v>2.8847354519455846</v>
      </c>
      <c r="H185">
        <f t="shared" si="22"/>
        <v>1.0541630169714841E-7</v>
      </c>
      <c r="I185">
        <f t="shared" si="23"/>
        <v>948.61988506569935</v>
      </c>
      <c r="J185">
        <f t="shared" si="26"/>
        <v>20618569.046594169</v>
      </c>
    </row>
    <row r="186" spans="4:10" x14ac:dyDescent="0.35">
      <c r="D186">
        <f t="shared" si="24"/>
        <v>1.8499999999999944E-2</v>
      </c>
      <c r="E186">
        <f t="shared" si="20"/>
        <v>12.004495834567766</v>
      </c>
      <c r="F186">
        <f t="shared" si="25"/>
        <v>0.92499999999999716</v>
      </c>
      <c r="G186">
        <f t="shared" si="21"/>
        <v>2.9811945438901652</v>
      </c>
      <c r="H186">
        <f t="shared" si="22"/>
        <v>1.0644690436981211E-7</v>
      </c>
      <c r="I186">
        <f t="shared" si="23"/>
        <v>939.43549220168381</v>
      </c>
      <c r="J186">
        <f t="shared" si="26"/>
        <v>20619508.482086372</v>
      </c>
    </row>
    <row r="187" spans="4:10" x14ac:dyDescent="0.35">
      <c r="D187">
        <f t="shared" si="24"/>
        <v>1.8599999999999943E-2</v>
      </c>
      <c r="E187">
        <f t="shared" si="20"/>
        <v>12.036896691971462</v>
      </c>
      <c r="F187">
        <f t="shared" si="25"/>
        <v>0.92999999999999716</v>
      </c>
      <c r="G187">
        <f t="shared" si="21"/>
        <v>3.0878087316198211</v>
      </c>
      <c r="H187">
        <f t="shared" si="22"/>
        <v>1.0748194539119973E-7</v>
      </c>
      <c r="I187">
        <f t="shared" si="23"/>
        <v>930.3888168011116</v>
      </c>
      <c r="J187">
        <f t="shared" si="26"/>
        <v>20620438.870903172</v>
      </c>
    </row>
    <row r="188" spans="4:10" x14ac:dyDescent="0.35">
      <c r="D188">
        <f t="shared" si="24"/>
        <v>1.8699999999999942E-2</v>
      </c>
      <c r="E188">
        <f t="shared" si="20"/>
        <v>12.069210566736841</v>
      </c>
      <c r="F188">
        <f t="shared" si="25"/>
        <v>0.93499999999999706</v>
      </c>
      <c r="G188">
        <f t="shared" si="21"/>
        <v>3.2064884153540731</v>
      </c>
      <c r="H188">
        <f t="shared" si="22"/>
        <v>1.0852141985906609E-7</v>
      </c>
      <c r="I188">
        <f t="shared" si="23"/>
        <v>921.47706996339866</v>
      </c>
      <c r="J188">
        <f t="shared" si="26"/>
        <v>20621360.347973134</v>
      </c>
    </row>
    <row r="189" spans="4:10" x14ac:dyDescent="0.35">
      <c r="D189">
        <f t="shared" si="24"/>
        <v>1.8799999999999942E-2</v>
      </c>
      <c r="E189">
        <f t="shared" si="20"/>
        <v>12.101438155660295</v>
      </c>
      <c r="F189">
        <f t="shared" si="25"/>
        <v>0.93999999999999706</v>
      </c>
      <c r="G189">
        <f t="shared" si="21"/>
        <v>3.339689837078005</v>
      </c>
      <c r="H189">
        <f t="shared" si="22"/>
        <v>1.0956532290282376E-7</v>
      </c>
      <c r="I189">
        <f t="shared" si="23"/>
        <v>912.69753376889628</v>
      </c>
      <c r="J189">
        <f t="shared" si="26"/>
        <v>20622273.045506902</v>
      </c>
    </row>
    <row r="190" spans="4:10" x14ac:dyDescent="0.35">
      <c r="D190">
        <f t="shared" si="24"/>
        <v>1.8899999999999941E-2</v>
      </c>
      <c r="E190">
        <f t="shared" si="20"/>
        <v>12.133580146284507</v>
      </c>
      <c r="F190">
        <f t="shared" si="25"/>
        <v>0.94499999999999706</v>
      </c>
      <c r="G190">
        <f t="shared" si="21"/>
        <v>3.4906336321486133</v>
      </c>
      <c r="H190">
        <f t="shared" si="22"/>
        <v>1.1061364968316983E-7</v>
      </c>
      <c r="I190">
        <f t="shared" si="23"/>
        <v>904.04755910712242</v>
      </c>
      <c r="J190">
        <f t="shared" si="26"/>
        <v>20623177.093066011</v>
      </c>
    </row>
    <row r="191" spans="4:10" x14ac:dyDescent="0.35">
      <c r="D191">
        <f t="shared" si="24"/>
        <v>1.8999999999999941E-2</v>
      </c>
      <c r="E191">
        <f t="shared" si="20"/>
        <v>12.165637217069568</v>
      </c>
      <c r="F191">
        <f t="shared" si="25"/>
        <v>0.94999999999999696</v>
      </c>
      <c r="G191">
        <f t="shared" si="21"/>
        <v>3.663640856374867</v>
      </c>
      <c r="H191">
        <f t="shared" si="22"/>
        <v>1.1166639539172089E-7</v>
      </c>
      <c r="I191">
        <f t="shared" si="23"/>
        <v>895.52456358248446</v>
      </c>
      <c r="J191">
        <f t="shared" si="26"/>
        <v>20624072.617629591</v>
      </c>
    </row>
    <row r="192" spans="4:10" x14ac:dyDescent="0.35">
      <c r="D192">
        <f t="shared" si="24"/>
        <v>1.909999999999994E-2</v>
      </c>
      <c r="E192">
        <f t="shared" si="20"/>
        <v>12.197610037560098</v>
      </c>
      <c r="F192">
        <f t="shared" si="25"/>
        <v>0.95499999999999696</v>
      </c>
      <c r="G192">
        <f t="shared" si="21"/>
        <v>3.8646692494556851</v>
      </c>
      <c r="H192">
        <f t="shared" si="22"/>
        <v>1.1272355525065261E-7</v>
      </c>
      <c r="I192">
        <f t="shared" si="23"/>
        <v>887.12602949436393</v>
      </c>
      <c r="J192">
        <f t="shared" si="26"/>
        <v>20624959.743659087</v>
      </c>
    </row>
    <row r="193" spans="4:10" x14ac:dyDescent="0.35">
      <c r="D193">
        <f t="shared" si="24"/>
        <v>1.9199999999999939E-2</v>
      </c>
      <c r="E193">
        <f t="shared" si="20"/>
        <v>12.229499268548388</v>
      </c>
      <c r="F193">
        <f t="shared" si="25"/>
        <v>0.95999999999999697</v>
      </c>
      <c r="G193">
        <f t="shared" si="21"/>
        <v>4.1022079999998429</v>
      </c>
      <c r="H193">
        <f t="shared" si="22"/>
        <v>1.1378512451234766E-7</v>
      </c>
      <c r="I193">
        <f t="shared" si="23"/>
        <v>878.84950188852031</v>
      </c>
      <c r="J193">
        <f t="shared" si="26"/>
        <v>20625838.593160976</v>
      </c>
    </row>
    <row r="194" spans="4:10" x14ac:dyDescent="0.35">
      <c r="D194">
        <f t="shared" si="24"/>
        <v>1.9299999999999939E-2</v>
      </c>
      <c r="E194">
        <f t="shared" si="20"/>
        <v>12.261305562233748</v>
      </c>
      <c r="F194">
        <f t="shared" si="25"/>
        <v>0.96499999999999697</v>
      </c>
      <c r="G194">
        <f t="shared" si="21"/>
        <v>4.3888537357927317</v>
      </c>
      <c r="H194">
        <f t="shared" si="22"/>
        <v>1.1485109845904638E-7</v>
      </c>
      <c r="I194">
        <f t="shared" si="23"/>
        <v>870.69258667698352</v>
      </c>
      <c r="J194">
        <f t="shared" si="26"/>
        <v>20626709.285747651</v>
      </c>
    </row>
    <row r="195" spans="4:10" x14ac:dyDescent="0.35">
      <c r="D195">
        <f t="shared" si="24"/>
        <v>1.9399999999999938E-2</v>
      </c>
      <c r="E195">
        <f t="shared" ref="E195:E200" si="27">$B$9*$B$4*(SQRT(PI()*D195))</f>
        <v>12.293029562378141</v>
      </c>
      <c r="F195">
        <f t="shared" si="25"/>
        <v>0.96999999999999686</v>
      </c>
      <c r="G195">
        <f t="shared" ref="G195:G200" si="28">(1- 0.5*F195 + 0.326*F195^2)/(SQRT(1-F195))</f>
        <v>4.744279996920814</v>
      </c>
      <c r="H195">
        <f t="shared" ref="H195:H200" si="29">$B$1*(E195^$B$3)</f>
        <v>1.1592147240250638E-7</v>
      </c>
      <c r="I195">
        <f t="shared" ref="I195:I200" si="30">(0.1/1000)/H195</f>
        <v>862.65294882363719</v>
      </c>
      <c r="J195">
        <f t="shared" si="26"/>
        <v>20627571.938696474</v>
      </c>
    </row>
    <row r="196" spans="4:10" x14ac:dyDescent="0.35">
      <c r="D196">
        <f t="shared" si="24"/>
        <v>1.9499999999999938E-2</v>
      </c>
      <c r="E196">
        <f t="shared" si="27"/>
        <v>12.32467190445821</v>
      </c>
      <c r="F196">
        <f t="shared" si="25"/>
        <v>0.97499999999999687</v>
      </c>
      <c r="G196">
        <f t="shared" si="28"/>
        <v>5.2013380125270725</v>
      </c>
      <c r="H196">
        <f t="shared" si="29"/>
        <v>1.1699624168366507E-7</v>
      </c>
      <c r="I196">
        <f t="shared" si="30"/>
        <v>854.72831059292002</v>
      </c>
      <c r="J196">
        <f t="shared" si="26"/>
        <v>20628426.667007066</v>
      </c>
    </row>
    <row r="197" spans="4:10" x14ac:dyDescent="0.35">
      <c r="D197">
        <f t="shared" si="24"/>
        <v>1.9599999999999937E-2</v>
      </c>
      <c r="E197">
        <f t="shared" si="27"/>
        <v>12.3562332158138</v>
      </c>
      <c r="F197">
        <f t="shared" si="25"/>
        <v>0.97999999999999687</v>
      </c>
      <c r="G197">
        <f t="shared" si="28"/>
        <v>5.8201280336950214</v>
      </c>
      <c r="H197">
        <f t="shared" si="29"/>
        <v>1.1807540167231032E-7</v>
      </c>
      <c r="I197">
        <f t="shared" si="30"/>
        <v>846.91644985909761</v>
      </c>
      <c r="J197">
        <f t="shared" si="26"/>
        <v>20629273.583456926</v>
      </c>
    </row>
    <row r="198" spans="4:10" x14ac:dyDescent="0.35">
      <c r="D198">
        <f t="shared" si="24"/>
        <v>1.9699999999999936E-2</v>
      </c>
      <c r="E198">
        <f t="shared" si="27"/>
        <v>12.38771411579307</v>
      </c>
      <c r="F198">
        <f t="shared" si="25"/>
        <v>0.98499999999999677</v>
      </c>
      <c r="G198">
        <f t="shared" si="28"/>
        <v>6.726244536659248</v>
      </c>
      <c r="H198">
        <f t="shared" si="29"/>
        <v>1.1915894776675431E-7</v>
      </c>
      <c r="I198">
        <f t="shared" si="30"/>
        <v>839.21519847375066</v>
      </c>
      <c r="J198">
        <f t="shared" si="26"/>
        <v>20630112.798655398</v>
      </c>
    </row>
    <row r="199" spans="4:10" x14ac:dyDescent="0.35">
      <c r="D199">
        <f t="shared" si="24"/>
        <v>1.9799999999999936E-2</v>
      </c>
      <c r="E199">
        <f t="shared" si="27"/>
        <v>12.41911521589431</v>
      </c>
      <c r="F199">
        <f t="shared" si="25"/>
        <v>0.98999999999999677</v>
      </c>
      <c r="G199">
        <f t="shared" si="28"/>
        <v>8.245125999998665</v>
      </c>
      <c r="H199">
        <f t="shared" si="29"/>
        <v>1.202468753935138E-7</v>
      </c>
      <c r="I199">
        <f t="shared" si="30"/>
        <v>831.6224406891663</v>
      </c>
      <c r="J199">
        <f t="shared" si="26"/>
        <v>20630944.421096087</v>
      </c>
    </row>
    <row r="200" spans="4:10" x14ac:dyDescent="0.35">
      <c r="D200">
        <f t="shared" si="24"/>
        <v>1.9899999999999935E-2</v>
      </c>
      <c r="E200">
        <f t="shared" si="27"/>
        <v>12.450437119904516</v>
      </c>
      <c r="F200">
        <f t="shared" si="25"/>
        <v>0.99499999999999678</v>
      </c>
      <c r="G200">
        <f t="shared" si="28"/>
        <v>11.670771260529293</v>
      </c>
      <c r="H200">
        <f t="shared" si="29"/>
        <v>1.2133918000699548E-7</v>
      </c>
      <c r="I200">
        <f t="shared" si="30"/>
        <v>824.1361116354567</v>
      </c>
      <c r="J200">
        <f t="shared" si="26"/>
        <v>20631768.557207722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Shear flow</vt:lpstr>
      <vt:lpstr>Fuselage Stresses</vt:lpstr>
      <vt:lpstr>Data</vt:lpstr>
      <vt:lpstr>Gust Loads</vt:lpstr>
      <vt:lpstr>Fatigue</vt:lpstr>
      <vt:lpstr>Stress-Strain</vt:lpstr>
      <vt:lpstr>New paris law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Asquith</dc:creator>
  <cp:keywords/>
  <dc:description/>
  <cp:lastModifiedBy>balraj singh</cp:lastModifiedBy>
  <cp:revision/>
  <dcterms:created xsi:type="dcterms:W3CDTF">2014-02-21T20:56:14Z</dcterms:created>
  <dcterms:modified xsi:type="dcterms:W3CDTF">2026-08-25T18:15:25Z</dcterms:modified>
  <cp:category/>
  <cp:contentStatus/>
</cp:coreProperties>
</file>