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<sst xmlns="http://schemas.openxmlformats.org/spreadsheetml/2006/main" uniqueCount="39">
  <si>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Исходные данные</t>
  </si>
  <si>
    <t>L, Гн</t>
  </si>
  <si>
    <t>C1, Ф</t>
  </si>
  <si>
    <t>C2, Ф</t>
  </si>
  <si>
    <t>C3, Ф</t>
  </si>
  <si>
    <t>C4, Ф</t>
  </si>
  <si>
    <t>Таблица 1</t>
  </si>
  <si>
    <t>Rм, Ом</t>
  </si>
  <si>
    <t>T, c</t>
  </si>
  <si>
    <t>2*Ui, дел</t>
  </si>
  <si>
    <t>2*Ui+n, дел</t>
  </si>
  <si>
    <t>n</t>
  </si>
  <si>
    <t>λ</t>
  </si>
  <si>
    <t>Q</t>
  </si>
  <si>
    <t>R, Ом</t>
  </si>
  <si>
    <t>L, мГн</t>
  </si>
  <si>
    <t>Q (29)</t>
  </si>
  <si>
    <t>T(14)</t>
  </si>
  <si>
    <t>Таблица 2</t>
  </si>
  <si>
    <t>C, Ф</t>
  </si>
  <si>
    <t>Tэксп, дел</t>
  </si>
  <si>
    <t>Tтеор, с</t>
  </si>
  <si>
    <t>δT, %</t>
  </si>
  <si>
    <t>Ттомсон, с</t>
  </si>
  <si>
    <t>Rm:</t>
  </si>
  <si>
    <t>МОЖНО</t>
  </si>
  <si>
    <t>R0:</t>
  </si>
  <si>
    <t>(из графика)</t>
  </si>
  <si>
    <t>Rкр-эксп:</t>
  </si>
  <si>
    <t>Rкр-теор:</t>
  </si>
  <si>
    <t>&lt;L&gt;:</t>
  </si>
  <si>
    <t>t</t>
  </si>
  <si>
    <t>Rм</t>
  </si>
  <si>
    <t>Tтеор</t>
  </si>
  <si>
    <t>Тэксп</t>
  </si>
  <si>
    <t>b</t>
  </si>
  <si>
    <t>a</t>
  </si>
  <si>
    <t>b1</t>
  </si>
  <si>
    <t>a1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</si>
</sst>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0.00000"/>
    <numFmt numFmtId="60" formatCode="0.000000000"/>
    <numFmt numFmtId="61" formatCode="0.00000000"/>
    <numFmt numFmtId="62" formatCode="0.000"/>
    <numFmt numFmtId="63" formatCode="0.0000000"/>
    <numFmt numFmtId="64" formatCode="0.000000"/>
    <numFmt numFmtId="65" formatCode="0.000000000000"/>
    <numFmt numFmtId="66" formatCode="0.0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sz val="10"/>
      <color indexed="8"/>
      <name val="Calibri"/>
    </font>
    <font>
      <sz val="18"/>
      <color indexed="8"/>
      <name val="Calibri"/>
    </font>
    <font>
      <sz val="9"/>
      <color indexed="13"/>
      <name val="Calibri"/>
    </font>
    <font>
      <sz val="14"/>
      <color indexed="13"/>
      <name val="Calibri"/>
    </font>
    <font>
      <sz val="11"/>
      <color indexed="2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11"/>
      </right>
      <top style="thin">
        <color indexed="8"/>
      </top>
      <bottom style="thin">
        <color indexed="8"/>
      </bottom>
      <diagonal/>
    </border>
    <border>
      <left style="medium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2" fontId="0" fillId="2" borderId="4" applyNumberFormat="1" applyFont="1" applyFill="1" applyBorder="1" applyAlignment="1" applyProtection="0">
      <alignment vertical="center"/>
    </xf>
    <xf numFmtId="60" fontId="0" fillId="2" borderId="4" applyNumberFormat="1" applyFont="1" applyFill="1" applyBorder="1" applyAlignment="1" applyProtection="0">
      <alignment vertical="center"/>
    </xf>
    <xf numFmtId="61" fontId="0" fillId="2" borderId="4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2" fontId="4" fillId="2" borderId="9" applyNumberFormat="1" applyFont="1" applyFill="1" applyBorder="1" applyAlignment="1" applyProtection="0">
      <alignment horizontal="center" vertical="center" wrapText="1"/>
    </xf>
    <xf numFmtId="62" fontId="0" fillId="2" borderId="4" applyNumberFormat="1" applyFont="1" applyFill="1" applyBorder="1" applyAlignment="1" applyProtection="0">
      <alignment vertical="center"/>
    </xf>
    <xf numFmtId="2" fontId="0" fillId="2" borderId="5" applyNumberFormat="1" applyFont="1" applyFill="1" applyBorder="1" applyAlignment="1" applyProtection="0">
      <alignment vertical="center"/>
    </xf>
    <xf numFmtId="2" fontId="0" fillId="2" borderId="1" applyNumberFormat="1" applyFont="1" applyFill="1" applyBorder="1" applyAlignment="1" applyProtection="0">
      <alignment vertical="center"/>
    </xf>
    <xf numFmtId="62" fontId="0" fillId="2" borderId="1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62" fontId="0" fillId="2" borderId="6" applyNumberFormat="1" applyFont="1" applyFill="1" applyBorder="1" applyAlignment="1" applyProtection="0">
      <alignment vertical="center"/>
    </xf>
    <xf numFmtId="63" fontId="0" fillId="2" borderId="1" applyNumberFormat="1" applyFont="1" applyFill="1" applyBorder="1" applyAlignment="1" applyProtection="0">
      <alignment vertical="center"/>
    </xf>
    <xf numFmtId="64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1" fontId="0" fillId="2" borderId="5" applyNumberFormat="1" applyFont="1" applyFill="1" applyBorder="1" applyAlignment="1" applyProtection="0">
      <alignment vertical="center"/>
    </xf>
    <xf numFmtId="1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center"/>
    </xf>
    <xf numFmtId="65" fontId="0" fillId="2" borderId="1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66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d8d8d8"/>
      <rgbColor rgb="ff595959"/>
      <rgbColor rgb="ffbfbfbf"/>
      <rgbColor rgb="fff4b083"/>
      <rgbColor rgb="ff255d91"/>
      <rgbColor rgb="ff9d480d"/>
      <rgbColor rgb="ff636363"/>
      <rgbColor rgb="ff997300"/>
      <rgbColor rgb="ff254378"/>
      <rgbColor rgb="ff43672a"/>
      <rgbColor rgb="fff0965a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График λ(Rm)</a:t>
            </a:r>
          </a:p>
        </c:rich>
      </c:tx>
      <c:layout>
        <c:manualLayout>
          <c:xMode val="edge"/>
          <c:yMode val="edge"/>
          <c:x val="0.444988"/>
          <c:y val="0"/>
          <c:w val="0.110024"/>
          <c:h val="0.086465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364786"/>
          <c:y val="0.086465"/>
          <c:w val="0.953398"/>
          <c:h val="0.857615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0.00" sourceLinked="0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12700" cap="rnd">
                <a:solidFill>
                  <a:schemeClr val="accent1"/>
                </a:solidFill>
                <a:prstDash val="solid"/>
                <a:miter lim="8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'Sheet1'!$B$8:$B$18</c:f>
              <c:numCache>
                <c:ptCount val="11"/>
                <c:pt idx="0">
                  <c:v>0.000000</c:v>
                </c:pt>
                <c:pt idx="1">
                  <c:v>10.000000</c:v>
                </c:pt>
                <c:pt idx="2">
                  <c:v>20.000000</c:v>
                </c:pt>
                <c:pt idx="3">
                  <c:v>30.000000</c:v>
                </c:pt>
                <c:pt idx="4">
                  <c:v>40.000000</c:v>
                </c:pt>
                <c:pt idx="5">
                  <c:v>50.000000</c:v>
                </c:pt>
                <c:pt idx="6">
                  <c:v>60.000000</c:v>
                </c:pt>
                <c:pt idx="7">
                  <c:v>70.000000</c:v>
                </c:pt>
                <c:pt idx="8">
                  <c:v>80.000000</c:v>
                </c:pt>
                <c:pt idx="9">
                  <c:v>90.000000</c:v>
                </c:pt>
                <c:pt idx="10">
                  <c:v>100.000000</c:v>
                </c:pt>
              </c:numCache>
            </c:numRef>
          </c:xVal>
          <c:yVal>
            <c:numRef>
              <c:f>'Sheet1'!$G$8:$G$18</c:f>
              <c:numCache>
                <c:ptCount val="11"/>
                <c:pt idx="0">
                  <c:v>0.324853</c:v>
                </c:pt>
                <c:pt idx="1">
                  <c:v>0.379811</c:v>
                </c:pt>
                <c:pt idx="2">
                  <c:v>0.462098</c:v>
                </c:pt>
                <c:pt idx="3">
                  <c:v>0.508685</c:v>
                </c:pt>
                <c:pt idx="4">
                  <c:v>0.552743</c:v>
                </c:pt>
                <c:pt idx="5">
                  <c:v>0.632373</c:v>
                </c:pt>
                <c:pt idx="6">
                  <c:v>0.676049</c:v>
                </c:pt>
                <c:pt idx="7">
                  <c:v>0.732408</c:v>
                </c:pt>
                <c:pt idx="8">
                  <c:v>0.757866</c:v>
                </c:pt>
                <c:pt idx="9">
                  <c:v>0.789041</c:v>
                </c:pt>
                <c:pt idx="10">
                  <c:v>0.902683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25"/>
        <c:minorUnit val="12.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Q(R)</a:t>
            </a:r>
          </a:p>
        </c:rich>
      </c:tx>
      <c:layout>
        <c:manualLayout>
          <c:xMode val="edge"/>
          <c:yMode val="edge"/>
          <c:x val="0.477737"/>
          <c:y val="0"/>
          <c:w val="0.0445254"/>
          <c:h val="0.090052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50083"/>
          <c:y val="0.0900522"/>
          <c:w val="0.932177"/>
          <c:h val="0.852227"/>
        </c:manualLayout>
      </c:layout>
      <c:scatterChart>
        <c:scatterStyle val="lineMarker"/>
        <c:varyColors val="0"/>
        <c:ser>
          <c:idx val="0"/>
          <c:order val="0"/>
          <c:tx>
            <c:v>Series2</c:v>
          </c:tx>
          <c:spPr>
            <a:noFill/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  <c:size val="4"/>
            <c:spPr>
              <a:noFill/>
              <a:ln w="19050" cap="rnd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'Sheet1'!$P$41:$P$56</c:f>
              <c:numCache>
                <c:ptCount val="16"/>
                <c:pt idx="0">
                  <c:v>10.000000</c:v>
                </c:pt>
                <c:pt idx="1">
                  <c:v>61.650000</c:v>
                </c:pt>
                <c:pt idx="2">
                  <c:v>71.650000</c:v>
                </c:pt>
                <c:pt idx="3">
                  <c:v>81.650000</c:v>
                </c:pt>
                <c:pt idx="4">
                  <c:v>91.650000</c:v>
                </c:pt>
                <c:pt idx="5">
                  <c:v>101.650000</c:v>
                </c:pt>
                <c:pt idx="6">
                  <c:v>111.650000</c:v>
                </c:pt>
                <c:pt idx="7">
                  <c:v>121.650000</c:v>
                </c:pt>
                <c:pt idx="8">
                  <c:v>131.650000</c:v>
                </c:pt>
                <c:pt idx="9">
                  <c:v>141.650000</c:v>
                </c:pt>
                <c:pt idx="10">
                  <c:v>151.650000</c:v>
                </c:pt>
                <c:pt idx="11">
                  <c:v>161.650000</c:v>
                </c:pt>
                <c:pt idx="12">
                  <c:v>261.650000</c:v>
                </c:pt>
                <c:pt idx="13">
                  <c:v>361.650000</c:v>
                </c:pt>
                <c:pt idx="14">
                  <c:v>461.650000</c:v>
                </c:pt>
                <c:pt idx="15">
                  <c:v>1000.000000</c:v>
                </c:pt>
              </c:numCache>
            </c:numRef>
          </c:xVal>
          <c:yVal>
            <c:numRef>
              <c:f>'Sheet1'!$T$41:$T$56</c:f>
              <c:numCache>
                <c:ptCount val="16"/>
                <c:pt idx="0">
                  <c:v>52.569929</c:v>
                </c:pt>
                <c:pt idx="1">
                  <c:v>12.566795</c:v>
                </c:pt>
                <c:pt idx="2">
                  <c:v>11.485841</c:v>
                </c:pt>
                <c:pt idx="3">
                  <c:v>10.669664</c:v>
                </c:pt>
                <c:pt idx="4">
                  <c:v>10.031594</c:v>
                </c:pt>
                <c:pt idx="5">
                  <c:v>9.519067</c:v>
                </c:pt>
                <c:pt idx="6">
                  <c:v>9.098349</c:v>
                </c:pt>
                <c:pt idx="7">
                  <c:v>8.746800</c:v>
                </c:pt>
                <c:pt idx="8">
                  <c:v>8.448658</c:v>
                </c:pt>
                <c:pt idx="9">
                  <c:v>8.192611</c:v>
                </c:pt>
                <c:pt idx="10">
                  <c:v>7.970332</c:v>
                </c:pt>
                <c:pt idx="11">
                  <c:v>7.775555</c:v>
                </c:pt>
                <c:pt idx="12">
                  <c:v>6.646642</c:v>
                </c:pt>
                <c:pt idx="13">
                  <c:v>6.142042</c:v>
                </c:pt>
                <c:pt idx="14">
                  <c:v>5.856049</c:v>
                </c:pt>
                <c:pt idx="15">
                  <c:v>5.299237</c:v>
                </c:pt>
              </c:numCache>
            </c:numRef>
          </c:yVal>
          <c:smooth val="0"/>
        </c:ser>
        <c:ser>
          <c:idx val="1"/>
          <c:order val="1"/>
          <c:tx>
            <c:v>Series3</c:v>
          </c:tx>
          <c:spPr>
            <a:solidFill>
              <a:srgbClr val="F4B183"/>
            </a:solidFill>
            <a:ln w="1905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'Sheet1'!$P$42</c:f>
              <c:numCache>
                <c:ptCount val="1"/>
                <c:pt idx="0">
                  <c:v>61.650000</c:v>
                </c:pt>
              </c:numCache>
            </c:numRef>
          </c:xVal>
          <c:yVal>
            <c:numRef>
              <c:f>'Sheet1'!$O$42</c:f>
              <c:numCache>
                <c:ptCount val="1"/>
                <c:pt idx="0">
                  <c:v>13.150000</c:v>
                </c:pt>
              </c:numCache>
            </c:numRef>
          </c:yVal>
          <c:smooth val="0"/>
        </c:ser>
        <c:ser>
          <c:idx val="2"/>
          <c:order val="2"/>
          <c:tx>
            <c:v>Series4</c:v>
          </c:tx>
          <c:spPr>
            <a:solidFill>
              <a:srgbClr val="F4B183"/>
            </a:solidFill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'Sheet1'!$P$43</c:f>
              <c:numCache>
                <c:ptCount val="1"/>
                <c:pt idx="0">
                  <c:v>71.650000</c:v>
                </c:pt>
              </c:numCache>
            </c:numRef>
          </c:xVal>
          <c:yVal>
            <c:numRef>
              <c:f>'Sheet1'!$O$43</c:f>
              <c:numCache>
                <c:ptCount val="1"/>
                <c:pt idx="0">
                  <c:v>11.810000</c:v>
                </c:pt>
              </c:numCache>
            </c:numRef>
          </c:yVal>
          <c:smooth val="0"/>
        </c:ser>
        <c:ser>
          <c:idx val="3"/>
          <c:order val="3"/>
          <c:tx>
            <c:v>Series5</c:v>
          </c:tx>
          <c:spPr>
            <a:solidFill>
              <a:srgbClr val="F4B183"/>
            </a:solidFill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'Sheet1'!$P$44</c:f>
              <c:numCache>
                <c:ptCount val="1"/>
                <c:pt idx="0">
                  <c:v>81.650000</c:v>
                </c:pt>
              </c:numCache>
            </c:numRef>
          </c:xVal>
          <c:yVal>
            <c:numRef>
              <c:f>'Sheet1'!$O$44</c:f>
              <c:numCache>
                <c:ptCount val="1"/>
                <c:pt idx="0">
                  <c:v>10.420000</c:v>
                </c:pt>
              </c:numCache>
            </c:numRef>
          </c:yVal>
          <c:smooth val="0"/>
        </c:ser>
        <c:ser>
          <c:idx val="4"/>
          <c:order val="4"/>
          <c:tx>
            <c:v>Series1</c:v>
          </c:tx>
          <c:spPr>
            <a:solidFill>
              <a:srgbClr val="F4B183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'Sheet1'!$P$45</c:f>
              <c:numCache>
                <c:ptCount val="1"/>
                <c:pt idx="0">
                  <c:v>91.650000</c:v>
                </c:pt>
              </c:numCache>
            </c:numRef>
          </c:xVal>
          <c:yVal>
            <c:numRef>
              <c:f>'Sheet1'!$O$45</c:f>
              <c:numCache>
                <c:ptCount val="1"/>
                <c:pt idx="0">
                  <c:v>9.840000</c:v>
                </c:pt>
              </c:numCache>
            </c:numRef>
          </c:yVal>
          <c:smooth val="0"/>
        </c:ser>
        <c:ser>
          <c:idx val="5"/>
          <c:order val="5"/>
          <c:tx>
            <c:v>Series6</c:v>
          </c:tx>
          <c:spPr>
            <a:solidFill>
              <a:srgbClr val="F4B183"/>
            </a:solidFill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'Sheet1'!$P$46</c:f>
              <c:numCache>
                <c:ptCount val="1"/>
                <c:pt idx="0">
                  <c:v>101.650000</c:v>
                </c:pt>
              </c:numCache>
            </c:numRef>
          </c:xVal>
          <c:yVal>
            <c:numRef>
              <c:f>'Sheet1'!$O$46</c:f>
              <c:numCache>
                <c:ptCount val="1"/>
                <c:pt idx="0">
                  <c:v>9.390000</c:v>
                </c:pt>
              </c:numCache>
            </c:numRef>
          </c:yVal>
          <c:smooth val="0"/>
        </c:ser>
        <c:ser>
          <c:idx val="6"/>
          <c:order val="6"/>
          <c:tx>
            <c:v>Series7</c:v>
          </c:tx>
          <c:spPr>
            <a:solidFill>
              <a:srgbClr val="F4B183"/>
            </a:solidFill>
            <a:ln w="19050" cap="rnd">
              <a:solidFill>
                <a:srgbClr val="255E9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'Sheet1'!$P$47</c:f>
              <c:numCache>
                <c:ptCount val="1"/>
                <c:pt idx="0">
                  <c:v>111.650000</c:v>
                </c:pt>
              </c:numCache>
            </c:numRef>
          </c:xVal>
          <c:yVal>
            <c:numRef>
              <c:f>'Sheet1'!$O$47</c:f>
              <c:numCache>
                <c:ptCount val="1"/>
                <c:pt idx="0">
                  <c:v>8.750000</c:v>
                </c:pt>
              </c:numCache>
            </c:numRef>
          </c:yVal>
          <c:smooth val="0"/>
        </c:ser>
        <c:ser>
          <c:idx val="7"/>
          <c:order val="7"/>
          <c:tx>
            <c:v>Series8</c:v>
          </c:tx>
          <c:spPr>
            <a:solidFill>
              <a:srgbClr val="F4B183"/>
            </a:solidFill>
            <a:ln w="19050" cap="rnd">
              <a:solidFill>
                <a:srgbClr val="9E480E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'Sheet1'!$P$48</c:f>
              <c:numCache>
                <c:ptCount val="1"/>
                <c:pt idx="0">
                  <c:v>121.650000</c:v>
                </c:pt>
              </c:numCache>
            </c:numRef>
          </c:xVal>
          <c:yVal>
            <c:numRef>
              <c:f>'Sheet1'!$O$48</c:f>
              <c:numCache>
                <c:ptCount val="1"/>
                <c:pt idx="0">
                  <c:v>8.480000</c:v>
                </c:pt>
              </c:numCache>
            </c:numRef>
          </c:yVal>
          <c:smooth val="0"/>
        </c:ser>
        <c:ser>
          <c:idx val="8"/>
          <c:order val="8"/>
          <c:tx>
            <c:v>Series9</c:v>
          </c:tx>
          <c:spPr>
            <a:solidFill>
              <a:srgbClr val="F4B183"/>
            </a:solidFill>
            <a:ln w="19050" cap="rnd">
              <a:solidFill>
                <a:srgbClr val="636363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'Sheet1'!$P$49</c:f>
              <c:numCache>
                <c:ptCount val="1"/>
                <c:pt idx="0">
                  <c:v>131.650000</c:v>
                </c:pt>
              </c:numCache>
            </c:numRef>
          </c:xVal>
          <c:yVal>
            <c:numRef>
              <c:f>'Sheet1'!$O$49</c:f>
              <c:numCache>
                <c:ptCount val="1"/>
                <c:pt idx="0">
                  <c:v>8.170000</c:v>
                </c:pt>
              </c:numCache>
            </c:numRef>
          </c:yVal>
          <c:smooth val="0"/>
        </c:ser>
        <c:ser>
          <c:idx val="9"/>
          <c:order val="9"/>
          <c:tx>
            <c:v>Series10</c:v>
          </c:tx>
          <c:spPr>
            <a:solidFill>
              <a:srgbClr val="F4B183"/>
            </a:solidFill>
            <a:ln w="19050" cap="rnd">
              <a:solidFill>
                <a:srgbClr val="99730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'Sheet1'!$P$50</c:f>
              <c:numCache>
                <c:ptCount val="1"/>
                <c:pt idx="0">
                  <c:v>141.650000</c:v>
                </c:pt>
              </c:numCache>
            </c:numRef>
          </c:xVal>
          <c:yVal>
            <c:numRef>
              <c:f>'Sheet1'!$O$50</c:f>
              <c:numCache>
                <c:ptCount val="1"/>
                <c:pt idx="0">
                  <c:v>8.050000</c:v>
                </c:pt>
              </c:numCache>
            </c:numRef>
          </c:yVal>
          <c:smooth val="0"/>
        </c:ser>
        <c:ser>
          <c:idx val="10"/>
          <c:order val="10"/>
          <c:tx>
            <c:v>Series11</c:v>
          </c:tx>
          <c:spPr>
            <a:solidFill>
              <a:srgbClr val="F4B183"/>
            </a:solidFill>
            <a:ln w="19050" cap="rnd">
              <a:solidFill>
                <a:srgbClr val="264478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'Sheet1'!$P$51</c:f>
              <c:numCache>
                <c:ptCount val="1"/>
                <c:pt idx="0">
                  <c:v>151.650000</c:v>
                </c:pt>
              </c:numCache>
            </c:numRef>
          </c:xVal>
          <c:yVal>
            <c:numRef>
              <c:f>'Sheet1'!$O$51</c:f>
              <c:numCache>
                <c:ptCount val="1"/>
                <c:pt idx="0">
                  <c:v>7.920000</c:v>
                </c:pt>
              </c:numCache>
            </c:numRef>
          </c:yVal>
          <c:smooth val="0"/>
        </c:ser>
        <c:ser>
          <c:idx val="11"/>
          <c:order val="11"/>
          <c:tx>
            <c:v>Series12</c:v>
          </c:tx>
          <c:spPr>
            <a:solidFill>
              <a:srgbClr val="F4B183"/>
            </a:solidFill>
            <a:ln w="19050" cap="rnd">
              <a:solidFill>
                <a:srgbClr val="43682B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'Sheet1'!$P$52</c:f>
              <c:numCache>
                <c:ptCount val="1"/>
                <c:pt idx="0">
                  <c:v>161.650000</c:v>
                </c:pt>
              </c:numCache>
            </c:numRef>
          </c:xVal>
          <c:yVal>
            <c:numRef>
              <c:f>'Sheet1'!$O$52</c:f>
              <c:numCache>
                <c:ptCount val="1"/>
                <c:pt idx="0">
                  <c:v>7.520000</c:v>
                </c:pt>
              </c:numCache>
            </c:numRef>
          </c:yVal>
          <c:smooth val="0"/>
        </c:ser>
        <c:ser>
          <c:idx val="12"/>
          <c:order val="12"/>
          <c:tx>
            <c:v>Series13</c:v>
          </c:tx>
          <c:spPr>
            <a:solidFill>
              <a:srgbClr val="F4B183"/>
            </a:solidFill>
            <a:ln w="19050" cap="rnd">
              <a:solidFill>
                <a:srgbClr val="F4B183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'Sheet1'!$P$53</c:f>
              <c:numCache>
                <c:ptCount val="1"/>
                <c:pt idx="0">
                  <c:v>261.650000</c:v>
                </c:pt>
              </c:numCache>
            </c:numRef>
          </c:xVal>
          <c:yVal>
            <c:numRef>
              <c:f>'Sheet1'!$O$53</c:f>
              <c:numCache>
                <c:ptCount val="1"/>
                <c:pt idx="0">
                  <c:v>6.930000</c:v>
                </c:pt>
              </c:numCache>
            </c:numRef>
          </c:yVal>
          <c:smooth val="0"/>
        </c:ser>
        <c:ser>
          <c:idx val="13"/>
          <c:order val="13"/>
          <c:tx>
            <c:v>Series14</c:v>
          </c:tx>
          <c:spPr>
            <a:solidFill>
              <a:srgbClr val="F4B183"/>
            </a:solidFill>
            <a:ln w="19050" cap="rnd">
              <a:solidFill>
                <a:srgbClr val="F1975A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'Sheet1'!$P$54</c:f>
              <c:numCache>
                <c:ptCount val="1"/>
                <c:pt idx="0">
                  <c:v>361.650000</c:v>
                </c:pt>
              </c:numCache>
            </c:numRef>
          </c:xVal>
          <c:yVal>
            <c:numRef>
              <c:f>'Sheet1'!$O$54</c:f>
              <c:numCache>
                <c:ptCount val="1"/>
                <c:pt idx="0">
                  <c:v>6.370000</c:v>
                </c:pt>
              </c:numCache>
            </c:numRef>
          </c:yVal>
          <c:smooth val="0"/>
        </c:ser>
        <c:ser>
          <c:idx val="14"/>
          <c:order val="14"/>
          <c:tx>
            <c:v>Series15</c:v>
          </c:tx>
          <c:spPr>
            <a:solidFill>
              <a:srgbClr val="F4B183"/>
            </a:solidFill>
            <a:ln w="19050" cap="rnd">
              <a:solidFill>
                <a:srgbClr val="F4B183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4B183"/>
              </a:solidFill>
              <a:ln w="12700" cap="flat">
                <a:noFill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'Sheet1'!$P$55</c:f>
              <c:numCache>
                <c:ptCount val="1"/>
                <c:pt idx="0">
                  <c:v>461.650000</c:v>
                </c:pt>
              </c:numCache>
            </c:numRef>
          </c:xVal>
          <c:yVal>
            <c:numRef>
              <c:f>'Sheet1'!$O$55</c:f>
              <c:numCache>
                <c:ptCount val="1"/>
                <c:pt idx="0">
                  <c:v>6.350000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  <c:max val="500"/>
          <c:min val="50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112.5"/>
        <c:minorUnit val="56.25"/>
      </c:valAx>
      <c:valAx>
        <c:axId val="2094734553"/>
        <c:scaling>
          <c:orientation val="minMax"/>
          <c:max val="14"/>
          <c:min val="5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.25"/>
        <c:minorUnit val="1.1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000000"/>
                </a:solidFill>
                <a:latin typeface="Calibri"/>
              </a:defRPr>
            </a:pPr>
            <a:r>
              <a:rPr b="0" i="0" strike="noStrike" sz="1200" u="none">
                <a:solidFill>
                  <a:srgbClr val="000000"/>
                </a:solidFill>
                <a:latin typeface="Calibri"/>
              </a:rPr>
              <a:t>Tэксп(C) ,Tтеор(C)</a:t>
            </a:r>
          </a:p>
        </c:rich>
      </c:tx>
      <c:layout>
        <c:manualLayout>
          <c:xMode val="edge"/>
          <c:yMode val="edge"/>
          <c:x val="0.433193"/>
          <c:y val="0"/>
          <c:w val="0.133615"/>
          <c:h val="0.0729569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66857"/>
          <c:y val="0.0729569"/>
          <c:w val="0.944134"/>
          <c:h val="0.873519"/>
        </c:manualLayout>
      </c:layout>
      <c:scatterChart>
        <c:scatterStyle val="smooth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1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'Sheet1'!$A$26:$A$29</c:f>
              <c:numCache>
                <c:ptCount val="4"/>
                <c:pt idx="0">
                  <c:v>0.022000</c:v>
                </c:pt>
                <c:pt idx="1">
                  <c:v>0.033000</c:v>
                </c:pt>
                <c:pt idx="2">
                  <c:v>0.047000</c:v>
                </c:pt>
                <c:pt idx="3">
                  <c:v>0.470000</c:v>
                </c:pt>
              </c:numCache>
            </c:numRef>
          </c:xVal>
          <c:yVal>
            <c:numRef>
              <c:f>'Sheet1'!$C$26:$C$29</c:f>
              <c:numCache>
                <c:ptCount val="4"/>
                <c:pt idx="0">
                  <c:v>0.090000</c:v>
                </c:pt>
                <c:pt idx="1">
                  <c:v>0.110000</c:v>
                </c:pt>
                <c:pt idx="2">
                  <c:v>0.130000</c:v>
                </c:pt>
                <c:pt idx="3">
                  <c:v>0.440000</c:v>
                </c:pt>
              </c:numCache>
            </c:numRef>
          </c:yVal>
          <c:smooth val="1"/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0.00" sourceLinked="0"/>
            <c:txPr>
              <a:bodyPr/>
              <a:lstStyle/>
              <a:p>
                <a:pPr>
                  <a:defRPr b="0" i="0" strike="noStrike" sz="1100" u="non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'Sheet1'!$A$26:$A$29</c:f>
              <c:numCache>
                <c:ptCount val="4"/>
                <c:pt idx="0">
                  <c:v>0.022000</c:v>
                </c:pt>
                <c:pt idx="1">
                  <c:v>0.033000</c:v>
                </c:pt>
                <c:pt idx="2">
                  <c:v>0.047000</c:v>
                </c:pt>
                <c:pt idx="3">
                  <c:v>0.470000</c:v>
                </c:pt>
              </c:numCache>
            </c:numRef>
          </c:xVal>
          <c:yVal>
            <c:numRef>
              <c:f>'Sheet1'!$D$26:$D$29</c:f>
              <c:numCache>
                <c:ptCount val="4"/>
                <c:pt idx="0">
                  <c:v>0.079639</c:v>
                </c:pt>
                <c:pt idx="1">
                  <c:v>0.097608</c:v>
                </c:pt>
                <c:pt idx="2">
                  <c:v>0.116594</c:v>
                </c:pt>
                <c:pt idx="3">
                  <c:v>0.379388</c:v>
                </c:pt>
              </c:numCache>
            </c:numRef>
          </c:yVal>
          <c:smooth val="1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0.125"/>
        <c:minorUnit val="0.06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BFBFBF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125"/>
        <c:minorUnit val="0.0625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chart" Target="../charts/chart1.xml"/><Relationship Id="rId7" Type="http://schemas.openxmlformats.org/officeDocument/2006/relationships/chart" Target="../charts/chart2.xml"/><Relationship Id="rId8" Type="http://schemas.openxmlformats.org/officeDocument/2006/relationships/chart" Target="../charts/char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52705</xdr:colOff>
      <xdr:row>29</xdr:row>
      <xdr:rowOff>12700</xdr:rowOff>
    </xdr:from>
    <xdr:to>
      <xdr:col>10</xdr:col>
      <xdr:colOff>266238</xdr:colOff>
      <xdr:row>31</xdr:row>
      <xdr:rowOff>2628</xdr:rowOff>
    </xdr:to>
    <xdr:sp>
      <xdr:nvSpPr>
        <xdr:cNvPr id="2" name="TextBox 1"/>
        <xdr:cNvSpPr txBox="1"/>
      </xdr:nvSpPr>
      <xdr:spPr>
        <a:xfrm>
          <a:off x="10301605" y="6934200"/>
          <a:ext cx="1432734" cy="37092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𝛿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𝑇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f>
                  <m:f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type m:val="bar"/>
                  </m:fPr>
                  <m:num>
                    <m:sSub>
                      <m:e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э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к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с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п</m:t>
                        </m:r>
                      </m:sub>
                    </m:sSub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/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/>
                    </m:r>
                    <m:sSub>
                      <m:e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т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е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о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р</m:t>
                        </m:r>
                      </m:sub>
                    </m:sSub>
                  </m:num>
                  <m:den>
                    <m:sSub>
                      <m:e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т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е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о</m:t>
                        </m:r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р</m:t>
                        </m:r>
                      </m:sub>
                    </m:sSub>
                  </m:den>
                </m:f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,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%</m:t>
                </m:r>
              </m:oMath>
            </m:oMathPara>
          </a14:m>
          <a:endParaRPr sz="1100">
            <a:solidFill>
              <a:srgbClr val="000000"/>
            </a:solidFill>
          </a:endParaRPr>
        </a:p>
      </xdr:txBody>
    </xdr:sp>
    <xdr:clientData/>
  </xdr:twoCellAnchor>
  <xdr:twoCellAnchor>
    <xdr:from>
      <xdr:col>16</xdr:col>
      <xdr:colOff>464819</xdr:colOff>
      <xdr:row>6</xdr:row>
      <xdr:rowOff>7620</xdr:rowOff>
    </xdr:from>
    <xdr:to>
      <xdr:col>19</xdr:col>
      <xdr:colOff>93051</xdr:colOff>
      <xdr:row>9</xdr:row>
      <xdr:rowOff>239899</xdr:rowOff>
    </xdr:to>
    <xdr:pic>
      <xdr:nvPicPr>
        <xdr:cNvPr id="3" name="Рисунок 2" descr="Рисунок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724119" y="1479550"/>
          <a:ext cx="2650833" cy="10476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137160</xdr:colOff>
      <xdr:row>1</xdr:row>
      <xdr:rowOff>15240</xdr:rowOff>
    </xdr:from>
    <xdr:to>
      <xdr:col>18</xdr:col>
      <xdr:colOff>784545</xdr:colOff>
      <xdr:row>4</xdr:row>
      <xdr:rowOff>7509</xdr:rowOff>
    </xdr:to>
    <xdr:pic>
      <xdr:nvPicPr>
        <xdr:cNvPr id="4" name="Рисунок 3" descr="Рисунок 3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7396460" y="205740"/>
          <a:ext cx="2692086" cy="89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691763</xdr:colOff>
      <xdr:row>1</xdr:row>
      <xdr:rowOff>213361</xdr:rowOff>
    </xdr:from>
    <xdr:to>
      <xdr:col>7</xdr:col>
      <xdr:colOff>1042089</xdr:colOff>
      <xdr:row>4</xdr:row>
      <xdr:rowOff>189942</xdr:rowOff>
    </xdr:to>
    <xdr:pic>
      <xdr:nvPicPr>
        <xdr:cNvPr id="5" name="Рисунок 4" descr="Рисунок 4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8045063" y="403861"/>
          <a:ext cx="1239327" cy="87701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163877</xdr:colOff>
      <xdr:row>34</xdr:row>
      <xdr:rowOff>114300</xdr:rowOff>
    </xdr:from>
    <xdr:to>
      <xdr:col>3</xdr:col>
      <xdr:colOff>1273521</xdr:colOff>
      <xdr:row>38</xdr:row>
      <xdr:rowOff>1681</xdr:rowOff>
    </xdr:to>
    <xdr:pic>
      <xdr:nvPicPr>
        <xdr:cNvPr id="6" name="Рисунок 6" descr="Рисунок 6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3630977" y="7988300"/>
          <a:ext cx="1109645" cy="64938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184898</xdr:colOff>
      <xdr:row>23</xdr:row>
      <xdr:rowOff>137493</xdr:rowOff>
    </xdr:from>
    <xdr:to>
      <xdr:col>9</xdr:col>
      <xdr:colOff>896177</xdr:colOff>
      <xdr:row>28</xdr:row>
      <xdr:rowOff>148908</xdr:rowOff>
    </xdr:to>
    <xdr:pic>
      <xdr:nvPicPr>
        <xdr:cNvPr id="7" name="Рисунок 7" descr="Рисунок 7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9633698" y="5915993"/>
          <a:ext cx="1511380" cy="9639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26</xdr:col>
      <xdr:colOff>276859</xdr:colOff>
      <xdr:row>15</xdr:row>
      <xdr:rowOff>166179</xdr:rowOff>
    </xdr:from>
    <xdr:to>
      <xdr:col>27</xdr:col>
      <xdr:colOff>172719</xdr:colOff>
      <xdr:row>17</xdr:row>
      <xdr:rowOff>14795</xdr:rowOff>
    </xdr:to>
    <xdr:sp>
      <xdr:nvSpPr>
        <xdr:cNvPr id="8" name="Текстовое поле 11"/>
        <xdr:cNvSpPr txBox="1"/>
      </xdr:nvSpPr>
      <xdr:spPr>
        <a:xfrm>
          <a:off x="25880059" y="3993324"/>
          <a:ext cx="568961" cy="3826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R, 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Ом</a:t>
          </a:r>
        </a:p>
      </xdr:txBody>
    </xdr:sp>
    <xdr:clientData/>
  </xdr:twoCellAnchor>
  <xdr:twoCellAnchor>
    <xdr:from>
      <xdr:col>15</xdr:col>
      <xdr:colOff>630555</xdr:colOff>
      <xdr:row>3</xdr:row>
      <xdr:rowOff>19382</xdr:rowOff>
    </xdr:from>
    <xdr:to>
      <xdr:col>27</xdr:col>
      <xdr:colOff>151280</xdr:colOff>
      <xdr:row>17</xdr:row>
      <xdr:rowOff>10340</xdr:rowOff>
    </xdr:to>
    <xdr:graphicFrame>
      <xdr:nvGraphicFramePr>
        <xdr:cNvPr id="9" name="Диаграмма 8"/>
        <xdr:cNvGraphicFramePr/>
      </xdr:nvGraphicFramePr>
      <xdr:xfrm>
        <a:off x="17216755" y="857582"/>
        <a:ext cx="9210826" cy="3513939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15</xdr:col>
      <xdr:colOff>521799</xdr:colOff>
      <xdr:row>19</xdr:row>
      <xdr:rowOff>79309</xdr:rowOff>
    </xdr:from>
    <xdr:to>
      <xdr:col>24</xdr:col>
      <xdr:colOff>432512</xdr:colOff>
      <xdr:row>36</xdr:row>
      <xdr:rowOff>62372</xdr:rowOff>
    </xdr:to>
    <xdr:graphicFrame>
      <xdr:nvGraphicFramePr>
        <xdr:cNvPr id="10" name="Диаграмма 5"/>
        <xdr:cNvGraphicFramePr/>
      </xdr:nvGraphicFramePr>
      <xdr:xfrm>
        <a:off x="17107999" y="4943409"/>
        <a:ext cx="7276714" cy="337396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23</xdr:col>
      <xdr:colOff>508910</xdr:colOff>
      <xdr:row>34</xdr:row>
      <xdr:rowOff>110668</xdr:rowOff>
    </xdr:from>
    <xdr:to>
      <xdr:col>24</xdr:col>
      <xdr:colOff>464719</xdr:colOff>
      <xdr:row>36</xdr:row>
      <xdr:rowOff>56073</xdr:rowOff>
    </xdr:to>
    <xdr:sp>
      <xdr:nvSpPr>
        <xdr:cNvPr id="11" name="Прямоугольник 1"/>
        <xdr:cNvSpPr txBox="1"/>
      </xdr:nvSpPr>
      <xdr:spPr>
        <a:xfrm>
          <a:off x="23788010" y="7984668"/>
          <a:ext cx="628910" cy="3264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R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, Ом</a:t>
          </a:r>
        </a:p>
      </xdr:txBody>
    </xdr:sp>
    <xdr:clientData/>
  </xdr:twoCellAnchor>
  <xdr:twoCellAnchor>
    <xdr:from>
      <xdr:col>4</xdr:col>
      <xdr:colOff>417572</xdr:colOff>
      <xdr:row>33</xdr:row>
      <xdr:rowOff>176209</xdr:rowOff>
    </xdr:from>
    <xdr:to>
      <xdr:col>11</xdr:col>
      <xdr:colOff>1498497</xdr:colOff>
      <xdr:row>53</xdr:row>
      <xdr:rowOff>85372</xdr:rowOff>
    </xdr:to>
    <xdr:graphicFrame>
      <xdr:nvGraphicFramePr>
        <xdr:cNvPr id="12" name="Диаграмма 10"/>
        <xdr:cNvGraphicFramePr/>
      </xdr:nvGraphicFramePr>
      <xdr:xfrm>
        <a:off x="5370572" y="7859709"/>
        <a:ext cx="8573926" cy="371916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11</xdr:col>
      <xdr:colOff>1620359</xdr:colOff>
      <xdr:row>52</xdr:row>
      <xdr:rowOff>66801</xdr:rowOff>
    </xdr:from>
    <xdr:to>
      <xdr:col>12</xdr:col>
      <xdr:colOff>530429</xdr:colOff>
      <xdr:row>54</xdr:row>
      <xdr:rowOff>6387</xdr:rowOff>
    </xdr:to>
    <xdr:sp>
      <xdr:nvSpPr>
        <xdr:cNvPr id="13" name="Прямоугольник 2"/>
        <xdr:cNvSpPr txBox="1"/>
      </xdr:nvSpPr>
      <xdr:spPr>
        <a:xfrm>
          <a:off x="14066359" y="11369801"/>
          <a:ext cx="700771" cy="32058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С, мкФ</a:t>
          </a:r>
        </a:p>
      </xdr:txBody>
    </xdr:sp>
    <xdr:clientData/>
  </xdr:twoCellAnchor>
  <xdr:twoCellAnchor>
    <xdr:from>
      <xdr:col>4</xdr:col>
      <xdr:colOff>379031</xdr:colOff>
      <xdr:row>33</xdr:row>
      <xdr:rowOff>68852</xdr:rowOff>
    </xdr:from>
    <xdr:to>
      <xdr:col>4</xdr:col>
      <xdr:colOff>1021011</xdr:colOff>
      <xdr:row>35</xdr:row>
      <xdr:rowOff>24504</xdr:rowOff>
    </xdr:to>
    <xdr:sp>
      <xdr:nvSpPr>
        <xdr:cNvPr id="14" name="Прямоугольник 4"/>
        <xdr:cNvSpPr txBox="1"/>
      </xdr:nvSpPr>
      <xdr:spPr>
        <a:xfrm>
          <a:off x="5332031" y="7752352"/>
          <a:ext cx="641981" cy="3366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Т, 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60"/>
  <sheetViews>
    <sheetView workbookViewId="0" showGridLines="0" defaultGridColor="1"/>
  </sheetViews>
  <sheetFormatPr defaultColWidth="8.83333" defaultRowHeight="15" customHeight="1" outlineLevelRow="0" outlineLevelCol="0"/>
  <cols>
    <col min="1" max="1" width="13" style="1" customWidth="1"/>
    <col min="2" max="2" width="16" style="1" customWidth="1"/>
    <col min="3" max="3" width="16.5" style="1" customWidth="1"/>
    <col min="4" max="4" width="19.5" style="1" customWidth="1"/>
    <col min="5" max="5" width="16.6719" style="1" customWidth="1"/>
    <col min="6" max="6" width="14.8516" style="1" customWidth="1"/>
    <col min="7" max="7" width="11.6719" style="1" customWidth="1"/>
    <col min="8" max="8" width="15.8516" style="1" customWidth="1"/>
    <col min="9" max="9" width="10.5" style="1" customWidth="1"/>
    <col min="10" max="10" width="16" style="1" customWidth="1"/>
    <col min="11" max="11" width="12.8516" style="1" customWidth="1"/>
    <col min="12" max="12" width="23.5" style="1" customWidth="1"/>
    <col min="13" max="13" width="8.85156" style="1" customWidth="1"/>
    <col min="14" max="14" width="9.17188" style="1" customWidth="1"/>
    <col min="15" max="15" width="12.8516" style="1" customWidth="1"/>
    <col min="16" max="16" width="8.85156" style="1" customWidth="1"/>
    <col min="17" max="17" width="12.8516" style="1" customWidth="1"/>
    <col min="18" max="18" width="14" style="1" customWidth="1"/>
    <col min="19" max="20" width="12.8516" style="1" customWidth="1"/>
    <col min="21" max="24" width="8.85156" style="1" customWidth="1"/>
    <col min="25" max="25" width="12.8516" style="1" customWidth="1"/>
    <col min="26" max="28" width="8.85156" style="1" customWidth="1"/>
    <col min="29" max="16384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0" customHeight="1">
      <c r="A2" t="s" s="3">
        <v>0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1" customHeight="1">
      <c r="A3" s="5"/>
      <c r="B3" t="s" s="6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9.9" customHeight="1">
      <c r="A4" s="5"/>
      <c r="B4" s="9">
        <v>0.01</v>
      </c>
      <c r="C4" s="10">
        <f>0.000000022</f>
        <v>2.2e-08</v>
      </c>
      <c r="D4" s="10">
        <f>0.033*10^(-6)</f>
        <v>3.3e-08</v>
      </c>
      <c r="E4" s="10">
        <f>0.047*10^(-6)</f>
        <v>4.7e-08</v>
      </c>
      <c r="F4" s="11">
        <f>0.47*10^(-6)</f>
        <v>4.7e-07</v>
      </c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" customHeight="1">
      <c r="A5" s="2"/>
      <c r="B5" s="12"/>
      <c r="C5" s="12"/>
      <c r="D5" s="12"/>
      <c r="E5" s="12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" customHeight="1">
      <c r="A6" t="s" s="13">
        <v>6</v>
      </c>
      <c r="B6" s="4"/>
      <c r="C6" s="4"/>
      <c r="D6" s="4"/>
      <c r="E6" s="4"/>
      <c r="F6" s="4"/>
      <c r="G6" s="4"/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23.45" customHeight="1">
      <c r="A7" s="5"/>
      <c r="B7" t="s" s="14">
        <v>7</v>
      </c>
      <c r="C7" t="s" s="14">
        <v>8</v>
      </c>
      <c r="D7" t="s" s="15">
        <v>9</v>
      </c>
      <c r="E7" t="s" s="14">
        <v>10</v>
      </c>
      <c r="F7" t="s" s="14">
        <v>11</v>
      </c>
      <c r="G7" t="s" s="14">
        <v>12</v>
      </c>
      <c r="H7" t="s" s="14">
        <v>13</v>
      </c>
      <c r="I7" t="s" s="14">
        <v>14</v>
      </c>
      <c r="J7" t="s" s="14">
        <v>15</v>
      </c>
      <c r="K7" t="s" s="16">
        <v>16</v>
      </c>
      <c r="L7" t="s" s="13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1.6" customHeight="1">
      <c r="A8" s="5"/>
      <c r="B8" s="17">
        <v>0</v>
      </c>
      <c r="C8" s="18">
        <v>0.09</v>
      </c>
      <c r="D8" s="19">
        <v>5.3</v>
      </c>
      <c r="E8" s="9">
        <v>2</v>
      </c>
      <c r="F8" s="17">
        <v>3</v>
      </c>
      <c r="G8" s="9">
        <f>(1/F8)*LN(D8/E8)</f>
        <v>0.32485321333271</v>
      </c>
      <c r="H8" s="9">
        <f>(2*PI())/(1-EXP(-2*$G8))</f>
        <v>13.1502154026812</v>
      </c>
      <c r="I8" s="9">
        <f>$B8+$C$33</f>
        <v>61.6472545757072</v>
      </c>
      <c r="J8" s="20">
        <f>(PI()*PI()*($I8*$I8)*$C$4)/($G8*$G8)</f>
        <v>0.00781943858197707</v>
      </c>
      <c r="K8" s="21">
        <f>(1/$I8)*SQRT($J8/$C$4)</f>
        <v>9.67080676641551</v>
      </c>
      <c r="L8" s="22">
        <f>1000*(2*PI())/SQRT((1/($J$22*$C$4))-(($I8*$I8)/(4*$J$22*$J$22)))</f>
        <v>0.0796393451171427</v>
      </c>
      <c r="M8" s="2"/>
      <c r="N8" s="23">
        <f>($J8-$J$22)^2</f>
        <v>2.89312433716262e-07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9.15" customHeight="1">
      <c r="A9" s="5"/>
      <c r="B9" s="17">
        <v>10</v>
      </c>
      <c r="C9" s="18">
        <v>0.09</v>
      </c>
      <c r="D9" s="19">
        <v>5</v>
      </c>
      <c r="E9" s="9">
        <v>1.6</v>
      </c>
      <c r="F9" s="17">
        <v>3</v>
      </c>
      <c r="G9" s="9">
        <f>(1/F9)*LN(D9/E9)</f>
        <v>0.379811427729455</v>
      </c>
      <c r="H9" s="9">
        <f>(2*PI())/(1-EXP(-2*$G9))</f>
        <v>11.8070107050937</v>
      </c>
      <c r="I9" s="9">
        <f>$B9+$C$33</f>
        <v>71.64725457570719</v>
      </c>
      <c r="J9" s="20">
        <f>(PI()*PI()*($I9*$I9)*$C$4)/($G9*$G9)</f>
        <v>0.00772654748461738</v>
      </c>
      <c r="K9" s="21">
        <f>(1/$I9)*SQRT($J9/$C$4)</f>
        <v>8.27145373789962</v>
      </c>
      <c r="L9" s="22"/>
      <c r="M9" s="2"/>
      <c r="N9" s="23">
        <f>($J9-$J$22)^2</f>
        <v>1.98013087746712e-07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1" customHeight="1">
      <c r="A10" s="5"/>
      <c r="B10" s="17">
        <v>20</v>
      </c>
      <c r="C10" s="18">
        <v>0.09</v>
      </c>
      <c r="D10" s="19">
        <v>4.8</v>
      </c>
      <c r="E10" s="9">
        <v>1.2</v>
      </c>
      <c r="F10" s="17">
        <v>3</v>
      </c>
      <c r="G10" s="9">
        <f>(1/F10)*LN(D10/E10)</f>
        <v>0.462098120373297</v>
      </c>
      <c r="H10" s="9">
        <f>(2*PI())/(1-EXP(-2*$G10))</f>
        <v>10.4172893091998</v>
      </c>
      <c r="I10" s="9">
        <f>$B10+$C$33</f>
        <v>81.64725457570719</v>
      </c>
      <c r="J10" s="20">
        <f>(PI()*PI()*($I10*$I10)*$C$4)/($G10*$G10)</f>
        <v>0.00677855609254108</v>
      </c>
      <c r="K10" s="7"/>
      <c r="L10" s="22"/>
      <c r="M10" s="2"/>
      <c r="N10" s="23">
        <f>($J10-$J$22)^2</f>
        <v>2.53013805515659e-07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8.6" customHeight="1">
      <c r="A11" s="5"/>
      <c r="B11" s="17">
        <v>30</v>
      </c>
      <c r="C11" s="18">
        <v>0.09</v>
      </c>
      <c r="D11" s="19">
        <v>4.6</v>
      </c>
      <c r="E11" s="9">
        <v>1</v>
      </c>
      <c r="F11" s="17">
        <v>3</v>
      </c>
      <c r="G11" s="9">
        <f>(1/F11)*LN(D11/E11)</f>
        <v>0.50868543449835</v>
      </c>
      <c r="H11" s="9">
        <f>(2*PI())/(1-EXP(-2*$G11))</f>
        <v>9.84122266536046</v>
      </c>
      <c r="I11" s="9">
        <f>$B11+$C$33</f>
        <v>91.64725457570719</v>
      </c>
      <c r="J11" s="20">
        <f>(PI()*PI()*($I11*$I11)*$C$4)/($G11*$G11)</f>
        <v>0.00704794880200451</v>
      </c>
      <c r="K11" s="7"/>
      <c r="L11" s="22"/>
      <c r="M11" s="2"/>
      <c r="N11" s="23">
        <f>($J11-$J$22)^2</f>
        <v>5.45745980201472e-08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9.9" customHeight="1">
      <c r="A12" s="5"/>
      <c r="B12" s="17">
        <v>40</v>
      </c>
      <c r="C12" s="18">
        <v>0.09</v>
      </c>
      <c r="D12" s="19">
        <v>4.2</v>
      </c>
      <c r="E12" s="9">
        <v>0.8</v>
      </c>
      <c r="F12" s="17">
        <v>3</v>
      </c>
      <c r="G12" s="9">
        <f>(1/F12)*LN(D12/E12)</f>
        <v>0.552742692201177</v>
      </c>
      <c r="H12" s="9">
        <f>(2*PI())/(1-EXP(-2*$G12))</f>
        <v>9.39261047699677</v>
      </c>
      <c r="I12" s="9">
        <f>$B12+$C$33</f>
        <v>101.647254575707</v>
      </c>
      <c r="J12" s="20">
        <f>(PI()*PI()*($I12*$I12)*$C$4)/($G12*$G12)</f>
        <v>0.00734290168604184</v>
      </c>
      <c r="K12" s="7"/>
      <c r="L12" s="22"/>
      <c r="M12" s="2"/>
      <c r="N12" s="23">
        <f>($J12-$J$22)^2</f>
        <v>3.76269578960883e-09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21" customHeight="1">
      <c r="A13" s="5"/>
      <c r="B13" s="17">
        <v>50</v>
      </c>
      <c r="C13" s="18">
        <v>0.09</v>
      </c>
      <c r="D13" s="19">
        <v>4</v>
      </c>
      <c r="E13" s="9">
        <v>0.6</v>
      </c>
      <c r="F13" s="17">
        <v>3</v>
      </c>
      <c r="G13" s="9">
        <f>(1/F13)*LN(D13/E13)</f>
        <v>0.632373328295294</v>
      </c>
      <c r="H13" s="9">
        <f>(2*PI())/(1-EXP(-2*$G13))</f>
        <v>8.754744230557449</v>
      </c>
      <c r="I13" s="9">
        <f>$B13+$C$33</f>
        <v>111.647254575707</v>
      </c>
      <c r="J13" s="20">
        <f>(PI()*PI()*($I13*$I13)*$C$4)/($G13*$G13)</f>
        <v>0.00676817273139652</v>
      </c>
      <c r="K13" s="7"/>
      <c r="L13" s="22"/>
      <c r="M13" s="2"/>
      <c r="N13" s="23">
        <f>($J13-$J$22)^2</f>
        <v>2.63567380214885e-07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9.15" customHeight="1">
      <c r="A14" s="5"/>
      <c r="B14" s="17">
        <v>60</v>
      </c>
      <c r="C14" s="18">
        <v>0.09</v>
      </c>
      <c r="D14" s="19">
        <v>3.8</v>
      </c>
      <c r="E14" s="9">
        <v>0.5</v>
      </c>
      <c r="F14" s="17">
        <v>3</v>
      </c>
      <c r="G14" s="9">
        <f>(1/F14)*LN(D14/E14)</f>
        <v>0.6760494157640951</v>
      </c>
      <c r="H14" s="9">
        <f>(2*PI())/(1-EXP(-2*$G14))</f>
        <v>8.47586346653377</v>
      </c>
      <c r="I14" s="9">
        <f>$B14+$C$33</f>
        <v>121.647254575707</v>
      </c>
      <c r="J14" s="20">
        <f>(PI()*PI()*($I14*$I14)*$C$4)/($G14*$G14)</f>
        <v>0.00703024024388601</v>
      </c>
      <c r="K14" s="7"/>
      <c r="L14" s="22"/>
      <c r="M14" s="2"/>
      <c r="N14" s="23">
        <f>($J14-$J$22)^2</f>
        <v>6.316205679513671e-08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1.6" customHeight="1">
      <c r="A15" s="5"/>
      <c r="B15" s="17">
        <v>70</v>
      </c>
      <c r="C15" s="18">
        <v>0.09</v>
      </c>
      <c r="D15" s="19">
        <v>3.6</v>
      </c>
      <c r="E15" s="9">
        <v>0.4</v>
      </c>
      <c r="F15" s="17">
        <v>3</v>
      </c>
      <c r="G15" s="9">
        <f>(1/F15)*LN(D15/E15)</f>
        <v>0.732408192445407</v>
      </c>
      <c r="H15" s="9">
        <f>(2*PI())/(1-EXP(-2*$G15))</f>
        <v>8.17187178552733</v>
      </c>
      <c r="I15" s="9">
        <f>$B15+$C$33</f>
        <v>131.647254575707</v>
      </c>
      <c r="J15" s="20">
        <f>(PI()*PI()*($I15*$I15)*$C$4)/($G15*$G15)</f>
        <v>0.00701519346264713</v>
      </c>
      <c r="K15" s="7"/>
      <c r="L15" s="22"/>
      <c r="M15" s="2"/>
      <c r="N15" s="23">
        <f>($J15-$J$22)^2</f>
        <v>7.09515953658278e-08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20.45" customHeight="1">
      <c r="A16" s="5"/>
      <c r="B16" s="17">
        <v>80</v>
      </c>
      <c r="C16" s="18">
        <v>0.09</v>
      </c>
      <c r="D16" s="19">
        <v>3.4</v>
      </c>
      <c r="E16" s="9">
        <v>0.35</v>
      </c>
      <c r="F16" s="17">
        <v>3</v>
      </c>
      <c r="G16" s="9">
        <f>(1/F16)*LN(D16/E16)</f>
        <v>0.757865852040265</v>
      </c>
      <c r="H16" s="9">
        <f>(2*PI())/(1-EXP(-2*$G16))</f>
        <v>8.051726079577341</v>
      </c>
      <c r="I16" s="9">
        <f>$B16+$C$33</f>
        <v>141.647254575707</v>
      </c>
      <c r="J16" s="20">
        <f>(PI()*PI()*($I16*$I16)*$C$4)/($G16*$G16)</f>
        <v>0.0075849735540508</v>
      </c>
      <c r="K16" s="7"/>
      <c r="L16" s="22"/>
      <c r="M16" s="2"/>
      <c r="N16" s="23">
        <f>($J16-$J$22)^2</f>
        <v>9.20592572234326e-08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21.6" customHeight="1">
      <c r="A17" s="5"/>
      <c r="B17" s="17">
        <v>90</v>
      </c>
      <c r="C17" s="18">
        <v>0.09</v>
      </c>
      <c r="D17" s="19">
        <v>3.2</v>
      </c>
      <c r="E17" s="9">
        <v>0.3</v>
      </c>
      <c r="F17" s="17">
        <v>3</v>
      </c>
      <c r="G17" s="9">
        <f>(1/F17)*LN(D17/E17)</f>
        <v>0.789041204710539</v>
      </c>
      <c r="H17" s="9">
        <f>(2*PI())/(1-EXP(-2*$G17))</f>
        <v>7.91702543255016</v>
      </c>
      <c r="I17" s="9">
        <f>$B17+$C$33</f>
        <v>151.647254575707</v>
      </c>
      <c r="J17" s="20">
        <f>(PI()*PI()*($I17*$I17)*$C$4)/($G17*$G17)</f>
        <v>0.008020328641022669</v>
      </c>
      <c r="K17" s="7"/>
      <c r="L17" s="22"/>
      <c r="M17" s="2"/>
      <c r="N17" s="23">
        <f>($J17-$J$22)^2</f>
        <v>5.45777820428322e-07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8" customHeight="1">
      <c r="A18" s="5"/>
      <c r="B18" s="17">
        <v>100</v>
      </c>
      <c r="C18" s="18">
        <v>0.09</v>
      </c>
      <c r="D18" s="19">
        <v>3</v>
      </c>
      <c r="E18" s="9">
        <v>0.2</v>
      </c>
      <c r="F18" s="17">
        <v>3</v>
      </c>
      <c r="G18" s="9">
        <f>(1/F18)*LN(D18/E18)</f>
        <v>0.902683400367403</v>
      </c>
      <c r="H18" s="9">
        <f>(2*PI())/(1-EXP(-2*$G18))</f>
        <v>7.51949691239564</v>
      </c>
      <c r="I18" s="9">
        <f>$B18+$C$33</f>
        <v>161.647254575707</v>
      </c>
      <c r="J18" s="20">
        <f>(PI()*PI()*($I18*$I18)*$C$4)/($G18*$G18)</f>
        <v>0.00696286828291722</v>
      </c>
      <c r="K18" s="7"/>
      <c r="L18" s="22"/>
      <c r="M18" s="2"/>
      <c r="N18" s="23">
        <f>($J18-$J$22)^2</f>
        <v>1.0156496466183e-07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21.6" customHeight="1">
      <c r="A19" s="5"/>
      <c r="B19" s="17">
        <v>200</v>
      </c>
      <c r="C19" s="18">
        <v>0.09</v>
      </c>
      <c r="D19" s="19">
        <v>1.6</v>
      </c>
      <c r="E19" s="9">
        <v>0.15</v>
      </c>
      <c r="F19" s="17">
        <v>2</v>
      </c>
      <c r="G19" s="9">
        <f>(1/F19)*LN(D19/E19)</f>
        <v>1.18356180706581</v>
      </c>
      <c r="H19" s="9">
        <f>(2*PI())/(1-EXP(-2*$G19))</f>
        <v>6.9331699941292</v>
      </c>
      <c r="I19" s="9">
        <f>$B19+$C$33</f>
        <v>261.647254575707</v>
      </c>
      <c r="J19" s="20"/>
      <c r="K19" s="7"/>
      <c r="L19" s="22">
        <f>1000*(2*PI())/SQRT((1/($J$22*$C$4))-(($I19*$I19)/(4*$J$22*$J$22)))</f>
        <v>0.0816643965632525</v>
      </c>
      <c r="M19" s="2"/>
      <c r="N19" s="2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21" customHeight="1">
      <c r="A20" s="5"/>
      <c r="B20" s="17">
        <v>300</v>
      </c>
      <c r="C20" s="18">
        <v>0.09</v>
      </c>
      <c r="D20" s="19">
        <v>1</v>
      </c>
      <c r="E20" s="9">
        <v>0.12</v>
      </c>
      <c r="F20" s="17">
        <v>1</v>
      </c>
      <c r="G20" s="9">
        <f>(1/F20)*LN(D20/E20)</f>
        <v>2.12026353620009</v>
      </c>
      <c r="H20" s="9">
        <f>(2*PI())/(1-EXP(-2*$G20))</f>
        <v>6.37498509251176</v>
      </c>
      <c r="I20" s="9">
        <f>$B20+$C$33</f>
        <v>361.647254575707</v>
      </c>
      <c r="J20" s="20"/>
      <c r="K20" s="7"/>
      <c r="L20" s="22"/>
      <c r="M20" s="2"/>
      <c r="N20" s="2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21" customHeight="1">
      <c r="A21" s="5"/>
      <c r="B21" s="17">
        <v>400</v>
      </c>
      <c r="C21" s="18">
        <v>0.09</v>
      </c>
      <c r="D21" s="19">
        <v>0.5</v>
      </c>
      <c r="E21" s="9">
        <v>0.05</v>
      </c>
      <c r="F21" s="17">
        <v>1</v>
      </c>
      <c r="G21" s="9">
        <f>(1/F21)*LN(D21/E21)</f>
        <v>2.30258509299405</v>
      </c>
      <c r="H21" s="9">
        <f>(2*PI())/(1-EXP(-2*$G21))</f>
        <v>6.34665182543393</v>
      </c>
      <c r="I21" s="9">
        <f>$B21+$C$33</f>
        <v>461.647254575707</v>
      </c>
      <c r="J21" s="20"/>
      <c r="K21" s="7"/>
      <c r="L21" s="22">
        <f>1000*(2*PI())/SQRT((1/($J$22*$C$4))-(($I21*$I21)/(4*$J$22*$J$22)))</f>
        <v>0.0868192495573</v>
      </c>
      <c r="M21" s="2"/>
      <c r="N21" s="8">
        <f>SQRT(SUM(N8:N18)/90)</f>
        <v>0.000146657563940169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" customHeight="1">
      <c r="A22" s="2"/>
      <c r="B22" s="12"/>
      <c r="C22" s="12"/>
      <c r="D22" s="24"/>
      <c r="E22" s="12"/>
      <c r="F22" s="12"/>
      <c r="G22" s="12"/>
      <c r="H22" s="12"/>
      <c r="I22" s="12"/>
      <c r="J22" s="25">
        <f>AVERAGE(J8:J18)</f>
        <v>0.00728156086937293</v>
      </c>
      <c r="K22" s="2"/>
      <c r="L22" s="26"/>
      <c r="M22" s="2"/>
      <c r="N22" s="27">
        <f>2.26*SQRT(SUM(N8:N18)/90)</f>
        <v>0.000331446094504781</v>
      </c>
      <c r="O22" s="28">
        <f>SQRT(N22*N22+(2/3*0.001)^2)</f>
        <v>0.000744513907195102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3">
        <f>N22/J22</f>
        <v>0.0455185502738679</v>
      </c>
      <c r="O23" s="23">
        <f>O22/J22</f>
        <v>0.102246471677056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" customHeight="1">
      <c r="A24" t="s" s="13">
        <v>18</v>
      </c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" customHeight="1">
      <c r="A25" s="5"/>
      <c r="B25" t="s" s="6">
        <v>19</v>
      </c>
      <c r="C25" t="s" s="6">
        <v>20</v>
      </c>
      <c r="D25" t="s" s="6">
        <v>21</v>
      </c>
      <c r="E25" t="s" s="6">
        <v>22</v>
      </c>
      <c r="F25" s="7"/>
      <c r="G25" s="2"/>
      <c r="H25" t="s" s="13">
        <v>23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" customHeight="1">
      <c r="A26" s="29">
        <v>0.022</v>
      </c>
      <c r="B26" s="17">
        <v>2.2e-08</v>
      </c>
      <c r="C26" s="17">
        <v>0.09</v>
      </c>
      <c r="D26" s="9">
        <f>1000*(2*PI())/SQRT((1/($J$22*$B26))-(($C$33*$C$33)/(4*$J$22*$J$22)))</f>
        <v>0.0796393451171427</v>
      </c>
      <c r="E26" s="9">
        <f>(C26-D26)/D26</f>
        <v>0.130094677042078</v>
      </c>
      <c r="F26" s="30">
        <f>$C$33/(2*$J$22)</f>
        <v>4233.107137440990</v>
      </c>
      <c r="G26" s="31">
        <f>1/SQRT($J$22*$B26)</f>
        <v>79008.973144356</v>
      </c>
      <c r="H26" s="22">
        <f>1000*2*PI()*SQRT($B$4*B26)</f>
        <v>0.0931946987384939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" customHeight="1">
      <c r="A27" s="29">
        <v>0.033</v>
      </c>
      <c r="B27" s="17">
        <v>3.3e-08</v>
      </c>
      <c r="C27" s="17">
        <v>0.11</v>
      </c>
      <c r="D27" s="9">
        <f>1000*(2*PI())/SQRT((1/($J$22*$B27))-(($C$33*$C$33)/(4*$J$22*$J$22)))</f>
        <v>0.0976081538076551</v>
      </c>
      <c r="E27" s="9">
        <f>(C27-D27)/D27</f>
        <v>0.126955030998374</v>
      </c>
      <c r="F27" s="30"/>
      <c r="G27" s="31">
        <f>1/SQRT($J$22*$B27)</f>
        <v>64510.5564349772</v>
      </c>
      <c r="H27" s="22">
        <f>1000*2*PI()*SQRT($B$4*B27)</f>
        <v>0.114139729320855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" customHeight="1">
      <c r="A28" s="29">
        <v>0.047</v>
      </c>
      <c r="B28" s="17">
        <v>4.7e-08</v>
      </c>
      <c r="C28" s="17">
        <v>0.13</v>
      </c>
      <c r="D28" s="9">
        <f>1000*(2*PI())/SQRT((1/($J$22*$B28))-(($C$33*$C$33)/(4*$J$22*$J$22)))</f>
        <v>0.116594161928075</v>
      </c>
      <c r="E28" s="9">
        <f>(C28-D28)/D28</f>
        <v>0.114978639155148</v>
      </c>
      <c r="F28" s="30"/>
      <c r="G28" s="31">
        <f>1/SQRT($J$22*$B28)</f>
        <v>54055.3680726673</v>
      </c>
      <c r="H28" s="22">
        <f>1000*2*PI()*SQRT($B$4*B28)</f>
        <v>0.136216211494991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" customHeight="1">
      <c r="A29" s="29">
        <v>0.47</v>
      </c>
      <c r="B29" s="17">
        <f>0.00000047</f>
        <v>4.7e-07</v>
      </c>
      <c r="C29" s="17">
        <v>0.44</v>
      </c>
      <c r="D29" s="9">
        <f>1000*(2*PI())/SQRT((1/($J$22*$B29))-(($C$33*$C$33)/(4*$J$22*$J$22)))</f>
        <v>0.37938794035346</v>
      </c>
      <c r="E29" s="9">
        <f>(C29-D29)/D29</f>
        <v>0.159762747308389</v>
      </c>
      <c r="F29" s="30"/>
      <c r="G29" s="31">
        <f>1/SQRT($J$22*$B29)</f>
        <v>17093.8082868375</v>
      </c>
      <c r="H29" s="22">
        <f>1000*2*PI()*SQRT($B$4*B29)</f>
        <v>0.43075348256338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" customHeight="1">
      <c r="A30" s="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" customHeight="1">
      <c r="A31" s="2"/>
      <c r="B31" t="s" s="13">
        <v>24</v>
      </c>
      <c r="C31" s="28">
        <v>1250</v>
      </c>
      <c r="D31" s="2"/>
      <c r="E31" s="2"/>
      <c r="F31" s="2"/>
      <c r="G31" s="2"/>
      <c r="H31" t="s" s="13">
        <v>25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" customHeight="1">
      <c r="A33" s="2"/>
      <c r="B33" t="s" s="13">
        <v>26</v>
      </c>
      <c r="C33" s="22">
        <f>Y56/Y55</f>
        <v>61.6472545757072</v>
      </c>
      <c r="D33" t="s" s="13">
        <v>27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" customHeight="1">
      <c r="A34" s="2"/>
      <c r="B34" s="2"/>
      <c r="C34" s="2"/>
      <c r="D34" s="2"/>
      <c r="E34" s="2"/>
      <c r="F34" s="2"/>
      <c r="G34" s="28">
        <v>2.38517136e-08</v>
      </c>
      <c r="H34" s="28">
        <f>2/3*(0.001)^2</f>
        <v>6.66666666666667e-07</v>
      </c>
      <c r="I34" s="28">
        <f>SQRT(H34+G34)</f>
        <v>0.000830974355962124</v>
      </c>
      <c r="J34" s="2"/>
      <c r="K34" s="2"/>
      <c r="L34" s="2"/>
      <c r="M34" s="2"/>
      <c r="N34" s="2"/>
      <c r="O34" s="2"/>
      <c r="P34" s="2"/>
      <c r="Q34" s="2"/>
      <c r="R34" s="3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" customHeight="1">
      <c r="A35" s="2"/>
      <c r="B35" t="s" s="13">
        <v>28</v>
      </c>
      <c r="C35" s="22">
        <f>C31+C33</f>
        <v>1311.647254575710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" customHeight="1">
      <c r="A36" s="2"/>
      <c r="B36" t="s" s="13">
        <v>29</v>
      </c>
      <c r="C36" s="28">
        <f>2*SQRT($B$4/$C$4)</f>
        <v>1348.399724926480</v>
      </c>
      <c r="D36" s="2"/>
      <c r="E36" s="2"/>
      <c r="F36" s="2"/>
      <c r="G36" s="23">
        <f>(0.000830974/J22)*100</f>
        <v>11.4120312238983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" customHeight="1">
      <c r="A40" s="2"/>
      <c r="B40" t="s" s="13">
        <v>30</v>
      </c>
      <c r="C40" s="8">
        <f>AVERAGE(J8:J21)</f>
        <v>0.00728156086937293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8">
        <v>10</v>
      </c>
      <c r="Q41" t="s" s="13">
        <v>31</v>
      </c>
      <c r="R41" s="2"/>
      <c r="S41" s="2"/>
      <c r="T41" s="28">
        <f>$R$59/$P41+$R$60</f>
        <v>52.5699287400838</v>
      </c>
      <c r="U41" s="2"/>
      <c r="V41" s="4"/>
      <c r="W41" s="2"/>
      <c r="X41" s="2"/>
      <c r="Y41" s="2"/>
      <c r="Z41" s="2"/>
      <c r="AA41" s="2"/>
      <c r="AB41" s="2"/>
    </row>
    <row r="4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8">
        <v>13.15</v>
      </c>
      <c r="P42" s="28">
        <v>61.65</v>
      </c>
      <c r="Q42" s="28">
        <f>1/P42</f>
        <v>0.016220600162206</v>
      </c>
      <c r="R42" s="28">
        <f>($O42-$O$56)*($Q42-$Q$56)</f>
        <v>0.0343773602417544</v>
      </c>
      <c r="S42" s="28">
        <f>($Q42-$Q$56)*($Q42-$Q$56)</f>
        <v>6.235247569741201e-05</v>
      </c>
      <c r="T42" s="28">
        <f>$R$59/$P42+$R$60</f>
        <v>12.5667954784426</v>
      </c>
      <c r="U42" s="5"/>
      <c r="V42" s="17">
        <v>0</v>
      </c>
      <c r="W42" s="33">
        <v>0.32</v>
      </c>
      <c r="X42" s="28">
        <f>(V42-$V$53)*(W42-$W$53)</f>
        <v>14.5</v>
      </c>
      <c r="Y42" s="28">
        <f>(V42-$V$53)*(V42-$V$53)</f>
        <v>2500</v>
      </c>
      <c r="Z42" s="2"/>
      <c r="AA42" s="2"/>
      <c r="AB42" s="2"/>
    </row>
    <row r="43" ht="15" customHeight="1">
      <c r="A43" s="2"/>
      <c r="B43" t="s" s="13">
        <v>32</v>
      </c>
      <c r="C43" t="s" s="13">
        <v>33</v>
      </c>
      <c r="D43" t="s" s="13">
        <v>34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8">
        <v>11.81</v>
      </c>
      <c r="P43" s="28">
        <v>71.65000000000001</v>
      </c>
      <c r="Q43" s="28">
        <f>1/P43</f>
        <v>0.0139567341242149</v>
      </c>
      <c r="R43" s="28">
        <f>($O43-$O$56)*($Q43-$Q$56)</f>
        <v>0.0169739179996347</v>
      </c>
      <c r="S43" s="28">
        <f>($Q43-$Q$56)*($Q43-$Q$56)</f>
        <v>3.17249700056258e-05</v>
      </c>
      <c r="T43" s="28">
        <f>$R$59/$P43+$R$60</f>
        <v>11.485840792928</v>
      </c>
      <c r="U43" s="5"/>
      <c r="V43" s="17">
        <v>10</v>
      </c>
      <c r="W43" s="33">
        <v>0.38</v>
      </c>
      <c r="X43" s="28">
        <f>(V43-$V$53)*(W43-$W$53)</f>
        <v>9.199999999999999</v>
      </c>
      <c r="Y43" s="28">
        <f>(V43-$V$53)*(V43-$V$53)</f>
        <v>1600</v>
      </c>
      <c r="Z43" s="2"/>
      <c r="AA43" s="2"/>
      <c r="AB43" s="2"/>
    </row>
    <row r="44" ht="15" customHeight="1">
      <c r="A44" s="2"/>
      <c r="B44" s="22">
        <f>0+C33</f>
        <v>61.6472545757072</v>
      </c>
      <c r="C44" s="34">
        <f>(2*$J$3*10)/SQRT(1/($B$4*$C$4)-(B44^2)/(4*$B$4^2))</f>
        <v>0</v>
      </c>
      <c r="D44" s="28">
        <v>0.001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8">
        <v>10.42</v>
      </c>
      <c r="P44" s="28">
        <v>81.65000000000001</v>
      </c>
      <c r="Q44" s="28">
        <f>1/P44</f>
        <v>0.0122473974280465</v>
      </c>
      <c r="R44" s="28">
        <f>($O44-$O$56)*($Q44-$Q$56)</f>
        <v>0.00636952341971672</v>
      </c>
      <c r="S44" s="28">
        <f>($Q44-$Q$56)*($Q44-$Q$56)</f>
        <v>1.53911502373966e-05</v>
      </c>
      <c r="T44" s="28">
        <f>$R$59/$P44+$R$60</f>
        <v>10.6696637401176</v>
      </c>
      <c r="U44" s="5"/>
      <c r="V44" s="17">
        <v>20</v>
      </c>
      <c r="W44" s="33">
        <v>0.46</v>
      </c>
      <c r="X44" s="28">
        <f>(V44-$V$53)*(W44-$W$53)</f>
        <v>4.5</v>
      </c>
      <c r="Y44" s="28">
        <f>(V44-$V$53)*(V44-$V$53)</f>
        <v>900</v>
      </c>
      <c r="Z44" s="2"/>
      <c r="AA44" s="2"/>
      <c r="AB44" s="2"/>
    </row>
    <row r="45" ht="15" customHeight="1">
      <c r="A45" s="2"/>
      <c r="B45" s="22">
        <f>200+C33</f>
        <v>261.647254575707</v>
      </c>
      <c r="C45" s="34">
        <f>(20*$J$3)/SQRT(1/($B$4*$C$4)-(B45^2)/(4*$B$4^2))</f>
        <v>0</v>
      </c>
      <c r="D45" s="28">
        <v>0.001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8">
        <v>9.84</v>
      </c>
      <c r="P45" s="28">
        <v>91.65000000000001</v>
      </c>
      <c r="Q45" s="28">
        <f>1/P45</f>
        <v>0.010911074740862</v>
      </c>
      <c r="R45" s="28">
        <f>($O45-$O$56)*($Q45-$Q$56)</f>
        <v>0.00269954496825588</v>
      </c>
      <c r="S45" s="28">
        <f>($Q45-$Q$56)*($Q45-$Q$56)</f>
        <v>6.69170476647727e-06</v>
      </c>
      <c r="T45" s="28">
        <f>$R$59/$P45+$R$60</f>
        <v>10.031594063807</v>
      </c>
      <c r="U45" s="5"/>
      <c r="V45" s="17">
        <v>30</v>
      </c>
      <c r="W45" s="33">
        <v>0.51</v>
      </c>
      <c r="X45" s="28">
        <f>(V45-$V$53)*(W45-$W$53)</f>
        <v>2</v>
      </c>
      <c r="Y45" s="28">
        <f>(V45-$V$53)*(V45-$V$53)</f>
        <v>400</v>
      </c>
      <c r="Z45" s="2"/>
      <c r="AA45" s="2"/>
      <c r="AB45" s="2"/>
    </row>
    <row r="46" ht="15" customHeight="1">
      <c r="A46" s="2"/>
      <c r="B46" s="22">
        <f>400+C33</f>
        <v>461.647254575707</v>
      </c>
      <c r="C46" s="34">
        <f>(20*$J$3)/SQRT(1/($B$4*$C$4)-(B46^2)/(4*$B$4^2))</f>
        <v>0</v>
      </c>
      <c r="D46" s="28">
        <v>0.001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8">
        <v>9.390000000000001</v>
      </c>
      <c r="P46" s="28">
        <v>101.65</v>
      </c>
      <c r="Q46" s="28">
        <f>1/P46</f>
        <v>0.00983767830791933</v>
      </c>
      <c r="R46" s="28">
        <f>($O46-$O$56)*($Q46-$Q$56)</f>
        <v>0.000898332681823161</v>
      </c>
      <c r="S46" s="28">
        <f>($Q46-$Q$56)*($Q46-$Q$56)</f>
        <v>2.29049012349946e-06</v>
      </c>
      <c r="T46" s="28">
        <f>$R$59/$P46+$R$60</f>
        <v>9.51906687176802</v>
      </c>
      <c r="U46" s="5"/>
      <c r="V46" s="17">
        <v>40</v>
      </c>
      <c r="W46" s="33">
        <v>0.55</v>
      </c>
      <c r="X46" s="28">
        <f>(V46-$V$53)*(W46-$W$53)</f>
        <v>0.6</v>
      </c>
      <c r="Y46" s="28">
        <f>(V46-$V$53)*(V46-$V$53)</f>
        <v>100</v>
      </c>
      <c r="Z46" s="2"/>
      <c r="AA46" s="2"/>
      <c r="AB46" s="2"/>
    </row>
    <row r="47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8">
        <v>8.75</v>
      </c>
      <c r="P47" s="28">
        <v>111.65</v>
      </c>
      <c r="Q47" s="28">
        <f>1/P47</f>
        <v>0.008956560680698609</v>
      </c>
      <c r="R47" s="28">
        <f>($O47-$O$56)*($Q47-$Q$56)</f>
        <v>-2.93576632384212e-05</v>
      </c>
      <c r="S47" s="28">
        <f>($Q47-$Q$56)*($Q47-$Q$56)</f>
        <v>3.99827191954645e-07</v>
      </c>
      <c r="T47" s="28">
        <f>$R$59/$P47+$R$60</f>
        <v>9.09834929764915</v>
      </c>
      <c r="U47" s="5"/>
      <c r="V47" s="17">
        <v>50</v>
      </c>
      <c r="W47" s="33">
        <v>0.63</v>
      </c>
      <c r="X47" s="28">
        <f>(V47-$V$53)*(W47-$W$53)</f>
        <v>0</v>
      </c>
      <c r="Y47" s="28">
        <f>(V47-$V$53)*(V47-$V$53)</f>
        <v>0</v>
      </c>
      <c r="Z47" s="2"/>
      <c r="AA47" s="2"/>
      <c r="AB47" s="2"/>
    </row>
    <row r="48" ht="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8">
        <v>8.48</v>
      </c>
      <c r="P48" s="28">
        <v>121.65</v>
      </c>
      <c r="Q48" s="28">
        <f>1/P48</f>
        <v>0.008220304151253599</v>
      </c>
      <c r="R48" s="28">
        <f>($O48-$O$56)*($Q48-$Q$56)</f>
        <v>3.2888835438458e-05</v>
      </c>
      <c r="S48" s="28">
        <f>($Q48-$Q$56)*($Q48-$Q$56)</f>
        <v>1.08030307065822e-08</v>
      </c>
      <c r="T48" s="28">
        <f>$R$59/$P48+$R$60</f>
        <v>8.746800251950971</v>
      </c>
      <c r="U48" s="5"/>
      <c r="V48" s="17">
        <v>60</v>
      </c>
      <c r="W48" s="33">
        <v>0.68</v>
      </c>
      <c r="X48" s="28">
        <f>(V48-$V$53)*(W48-$W$53)</f>
        <v>0.7</v>
      </c>
      <c r="Y48" s="28">
        <f>(V48-$V$53)*(V48-$V$53)</f>
        <v>100</v>
      </c>
      <c r="Z48" s="2"/>
      <c r="AA48" s="2"/>
      <c r="AB48" s="2"/>
    </row>
    <row r="49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8">
        <v>8.17</v>
      </c>
      <c r="P49" s="28">
        <v>131.65</v>
      </c>
      <c r="Q49" s="28">
        <f>1/P49</f>
        <v>0.00759589821496392</v>
      </c>
      <c r="R49" s="28">
        <f>($O49-$O$56)*($Q49-$Q$56)</f>
        <v>0.000456255219066717</v>
      </c>
      <c r="S49" s="28">
        <f>($Q49-$Q$56)*($Q49-$Q$56)</f>
        <v>5.30484348989849e-07</v>
      </c>
      <c r="T49" s="28">
        <f>$R$59/$P49+$R$60</f>
        <v>8.448657821626609</v>
      </c>
      <c r="U49" s="5"/>
      <c r="V49" s="17">
        <v>70</v>
      </c>
      <c r="W49" s="33">
        <v>0.73</v>
      </c>
      <c r="X49" s="28">
        <f>(V49-$V$53)*(W49-$W$53)</f>
        <v>2.4</v>
      </c>
      <c r="Y49" s="28">
        <f>(V49-$V$53)*(V49-$V$53)</f>
        <v>400</v>
      </c>
      <c r="Z49" s="2"/>
      <c r="AA49" s="2"/>
      <c r="AB49" s="2"/>
    </row>
    <row r="50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8">
        <v>8.050000000000001</v>
      </c>
      <c r="P50" s="28">
        <v>141.65</v>
      </c>
      <c r="Q50" s="28">
        <f>1/P50</f>
        <v>0.00705965407695023</v>
      </c>
      <c r="R50" s="28">
        <f>($O50-$O$56)*($Q50-$Q$56)</f>
        <v>0.000943924392767001</v>
      </c>
      <c r="S50" s="28">
        <f>($Q50-$Q$56)*($Q50-$Q$56)</f>
        <v>1.59918205915678e-06</v>
      </c>
      <c r="T50" s="28">
        <f>$R$59/$P50+$R$60</f>
        <v>8.19261103977728</v>
      </c>
      <c r="U50" s="5"/>
      <c r="V50" s="17">
        <v>80</v>
      </c>
      <c r="W50" s="33">
        <v>0.76</v>
      </c>
      <c r="X50" s="28">
        <f>(V50-$V$53)*(W50-$W$53)</f>
        <v>4.5</v>
      </c>
      <c r="Y50" s="28">
        <f>(V50-$V$53)*(V50-$V$53)</f>
        <v>900</v>
      </c>
      <c r="Z50" s="2"/>
      <c r="AA50" s="2"/>
      <c r="AB50" s="2"/>
    </row>
    <row r="51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8">
        <v>7.92</v>
      </c>
      <c r="P51" s="28">
        <v>151.65</v>
      </c>
      <c r="Q51" s="28">
        <f>1/P51</f>
        <v>0.00659413122321134</v>
      </c>
      <c r="R51" s="28">
        <f>($O51-$O$56)*($Q51-$Q$56)</f>
        <v>0.00151631832385643</v>
      </c>
      <c r="S51" s="28">
        <f>($Q51-$Q$56)*($Q51-$Q$56)</f>
        <v>2.99328253933008e-06</v>
      </c>
      <c r="T51" s="28">
        <f>$R$59/$P51+$R$60</f>
        <v>7.97033237950386</v>
      </c>
      <c r="U51" s="5"/>
      <c r="V51" s="17">
        <v>90</v>
      </c>
      <c r="W51" s="33">
        <v>0.79</v>
      </c>
      <c r="X51" s="28">
        <f>(V51-$V$53)*(W51-$W$53)</f>
        <v>7.2</v>
      </c>
      <c r="Y51" s="28">
        <f>(V51-$V$53)*(V51-$V$53)</f>
        <v>1600</v>
      </c>
      <c r="Z51" s="2"/>
      <c r="AA51" s="2"/>
      <c r="AB51" s="2"/>
    </row>
    <row r="52" ht="1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8">
        <v>7.52</v>
      </c>
      <c r="P52" s="28">
        <v>161.65</v>
      </c>
      <c r="Q52" s="28">
        <f>1/P52</f>
        <v>0.00618620476337767</v>
      </c>
      <c r="R52" s="28">
        <f>($O52-$O$56)*($Q52-$Q$56)</f>
        <v>0.0027290515350168</v>
      </c>
      <c r="S52" s="28">
        <f>($Q52-$Q$56)*($Q52-$Q$56)</f>
        <v>4.57120228521166e-06</v>
      </c>
      <c r="T52" s="28">
        <f>$R$59/$P52+$R$60</f>
        <v>7.77555494537005</v>
      </c>
      <c r="U52" s="5"/>
      <c r="V52" s="17">
        <v>100</v>
      </c>
      <c r="W52" s="33">
        <v>0.9</v>
      </c>
      <c r="X52" s="28">
        <f>(V52-$V$53)*(W52-$W$53)</f>
        <v>14.5</v>
      </c>
      <c r="Y52" s="28">
        <f>(V52-$V$53)*(V52-$V$53)</f>
        <v>2500</v>
      </c>
      <c r="Z52" s="2"/>
      <c r="AA52" s="2"/>
      <c r="AB52" s="2"/>
    </row>
    <row r="53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8">
        <v>6.93</v>
      </c>
      <c r="P53" s="28">
        <v>261.65</v>
      </c>
      <c r="Q53" s="28">
        <f>1/P53</f>
        <v>0.00382189948404357</v>
      </c>
      <c r="R53" s="28">
        <f>($O53-$O$56)*($Q53-$Q$56)</f>
        <v>0.008403300299858011</v>
      </c>
      <c r="S53" s="28">
        <f>($Q53-$Q$56)*($Q53-$Q$56)</f>
        <v>2.02710861515678e-05</v>
      </c>
      <c r="T53" s="28">
        <f>$R$59/$P53+$R$60</f>
        <v>6.64664235655323</v>
      </c>
      <c r="U53" s="2"/>
      <c r="V53" s="35">
        <f>AVERAGE(V42:V52)</f>
        <v>50</v>
      </c>
      <c r="W53" s="28">
        <f>AVERAGE(W42:W52)</f>
        <v>0.61</v>
      </c>
      <c r="X53" s="2"/>
      <c r="Y53" s="2"/>
      <c r="Z53" s="2"/>
      <c r="AA53" s="2"/>
      <c r="AB53" s="2"/>
    </row>
    <row r="54" ht="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8">
        <v>6.37</v>
      </c>
      <c r="P54" s="28">
        <v>361.65</v>
      </c>
      <c r="Q54" s="28">
        <f>1/P54</f>
        <v>0.00276510438269045</v>
      </c>
      <c r="R54" s="28">
        <f>($O54-$O$56)*($Q54-$Q$56)</f>
        <v>0.0134888498137627</v>
      </c>
      <c r="S54" s="28">
        <f>($Q54-$Q$56)*($Q54-$Q$56)</f>
        <v>3.0904008604153e-05</v>
      </c>
      <c r="T54" s="28">
        <f>$R$59/$P54+$R$60</f>
        <v>6.14204199713877</v>
      </c>
      <c r="U54" s="2"/>
      <c r="V54" s="2"/>
      <c r="W54" s="2"/>
      <c r="X54" s="2"/>
      <c r="Y54" s="2"/>
      <c r="Z54" s="2"/>
      <c r="AA54" s="2"/>
      <c r="AB54" s="2"/>
    </row>
    <row r="55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8">
        <v>6.35</v>
      </c>
      <c r="P55" s="28">
        <v>461.65</v>
      </c>
      <c r="Q55" s="28">
        <f>1/P55</f>
        <v>0.00216614318206433</v>
      </c>
      <c r="R55" s="28">
        <f>($O55-$O$56)*($Q55-$Q$56)</f>
        <v>0.0150653483561013</v>
      </c>
      <c r="S55" s="28">
        <f>($Q55-$Q$56)*($Q55-$Q$56)</f>
        <v>3.79221783440988e-05</v>
      </c>
      <c r="T55" s="28">
        <f>$R$59/$P55+$R$60</f>
        <v>5.85604896336687</v>
      </c>
      <c r="U55" s="2"/>
      <c r="V55" s="2"/>
      <c r="W55" s="2"/>
      <c r="X55" t="s" s="13">
        <v>35</v>
      </c>
      <c r="Y55" s="36">
        <f>SUM(X42:X52)/SUM(Y42:Y52)</f>
        <v>0.00546363636363636</v>
      </c>
      <c r="Z55" s="2"/>
      <c r="AA55" s="2"/>
      <c r="AB55" s="2"/>
    </row>
    <row r="56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8">
        <f>AVERAGE(O42:O55)</f>
        <v>8.796428571428571</v>
      </c>
      <c r="P56" s="28">
        <v>1000</v>
      </c>
      <c r="Q56" s="28">
        <f>AVERAGE(Q42:Q55)</f>
        <v>0.008324241780178749</v>
      </c>
      <c r="R56" s="2"/>
      <c r="S56" s="2"/>
      <c r="T56" s="28">
        <f>$R$59/$P56+$R$60</f>
        <v>5.29923689256436</v>
      </c>
      <c r="U56" s="2"/>
      <c r="V56" s="2"/>
      <c r="W56" s="2"/>
      <c r="X56" t="s" s="13">
        <v>36</v>
      </c>
      <c r="Y56" s="36">
        <f>W53-Y55*V53</f>
        <v>0.336818181818182</v>
      </c>
      <c r="Z56" s="2"/>
      <c r="AA56" s="2"/>
      <c r="AB56" s="2"/>
    </row>
    <row r="57" ht="1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t="s" s="13">
        <v>37</v>
      </c>
      <c r="R59" s="28">
        <f>SUM(R42:R55)/SUM(S42:S55)</f>
        <v>477.481735833530</v>
      </c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t="s" s="13">
        <v>38</v>
      </c>
      <c r="R60" s="28">
        <f>O56-Q56*R59</f>
        <v>4.82175515673083</v>
      </c>
      <c r="S60" s="2"/>
      <c r="T60" s="2"/>
      <c r="U60" s="2"/>
      <c r="V60" s="2"/>
      <c r="W60" s="2"/>
      <c r="X60" s="2"/>
      <c r="Y60" s="2"/>
      <c r="Z60" s="2"/>
      <c r="AA60" s="2"/>
      <c r="AB6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