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8F42A3C4-790C-4D8A-A3FD-DB9C91BE2885}" xr6:coauthVersionLast="47" xr6:coauthVersionMax="47" xr10:uidLastSave="{00000000-0000-0000-0000-000000000000}"/>
  <bookViews>
    <workbookView xWindow="1170" yWindow="1170" windowWidth="21600" windowHeight="11295" xr2:uid="{17CB842C-942D-4B28-920E-3B6EF1C909D4}"/>
  </bookViews>
  <sheets>
    <sheet name="black" sheetId="1" r:id="rId1"/>
    <sheet name="MMOI Test on Light Swi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3" i="1" l="1"/>
  <c r="O23" i="1"/>
  <c r="L23" i="1"/>
  <c r="H38" i="1"/>
  <c r="I28" i="1"/>
  <c r="I26" i="1"/>
  <c r="I11" i="1"/>
  <c r="I10" i="1"/>
  <c r="I9" i="1"/>
  <c r="B33" i="1" l="1"/>
  <c r="B18" i="1"/>
  <c r="B17" i="1"/>
  <c r="B38" i="2"/>
  <c r="B31" i="1"/>
  <c r="B32" i="1" s="1"/>
  <c r="O30" i="1"/>
  <c r="O26" i="1"/>
  <c r="O20" i="1"/>
  <c r="O18" i="1"/>
  <c r="O17" i="1"/>
  <c r="O12" i="1"/>
  <c r="O13" i="1" s="1"/>
  <c r="O15" i="1" s="1"/>
  <c r="L30" i="1"/>
  <c r="L26" i="1"/>
  <c r="L20" i="1"/>
  <c r="L18" i="1"/>
  <c r="L17" i="1"/>
  <c r="L5" i="1"/>
  <c r="O32" i="1" l="1"/>
  <c r="B39" i="2" l="1"/>
  <c r="H39" i="2"/>
  <c r="H38" i="2"/>
  <c r="H35" i="2"/>
  <c r="H34" i="2"/>
  <c r="B4" i="2"/>
  <c r="B6" i="2" s="1"/>
  <c r="F35" i="2"/>
  <c r="F34" i="2"/>
  <c r="B11" i="2"/>
  <c r="D35" i="2"/>
  <c r="D34" i="2"/>
  <c r="B35" i="2"/>
  <c r="B34" i="2"/>
  <c r="B10" i="2"/>
  <c r="I30" i="1"/>
  <c r="I18" i="1"/>
  <c r="I12" i="1"/>
  <c r="I8" i="1"/>
  <c r="I6" i="1"/>
  <c r="I5" i="1"/>
  <c r="I13" i="1" l="1"/>
  <c r="I15" i="1" s="1"/>
  <c r="L12" i="1"/>
  <c r="L13" i="1" s="1"/>
  <c r="L15" i="1" s="1"/>
  <c r="L32" i="1" s="1"/>
  <c r="B8" i="2"/>
  <c r="D38" i="2"/>
  <c r="F38" i="2"/>
  <c r="B7" i="2"/>
  <c r="I17" i="1"/>
  <c r="I20" i="1" s="1"/>
  <c r="I32" i="1" l="1"/>
  <c r="F39" i="2"/>
  <c r="D39" i="2"/>
</calcChain>
</file>

<file path=xl/sharedStrings.xml><?xml version="1.0" encoding="utf-8"?>
<sst xmlns="http://schemas.openxmlformats.org/spreadsheetml/2006/main" count="148" uniqueCount="82">
  <si>
    <t>Component</t>
  </si>
  <si>
    <t>Mass (g)</t>
  </si>
  <si>
    <t>Nose</t>
  </si>
  <si>
    <t>Body</t>
  </si>
  <si>
    <t>Parachute</t>
  </si>
  <si>
    <t>Altimeter Clip</t>
  </si>
  <si>
    <t>Altimeter</t>
  </si>
  <si>
    <t>Parachute Rubber</t>
  </si>
  <si>
    <t>stuffing 1</t>
  </si>
  <si>
    <t>stuffing 2</t>
  </si>
  <si>
    <t>stuffing 3</t>
  </si>
  <si>
    <t>stuffing 4</t>
  </si>
  <si>
    <t>stuffing 5</t>
  </si>
  <si>
    <t>Tail+Fins</t>
  </si>
  <si>
    <t>B6-4</t>
  </si>
  <si>
    <t>Normal Force Coefficient</t>
  </si>
  <si>
    <t>NoseCone</t>
  </si>
  <si>
    <t>CNn</t>
  </si>
  <si>
    <t>CNf</t>
  </si>
  <si>
    <t>finset (4)</t>
  </si>
  <si>
    <t>f</t>
  </si>
  <si>
    <t>R</t>
  </si>
  <si>
    <t>s</t>
  </si>
  <si>
    <t>N</t>
  </si>
  <si>
    <t>d</t>
  </si>
  <si>
    <t>theta</t>
  </si>
  <si>
    <t>xr</t>
  </si>
  <si>
    <t>ct</t>
  </si>
  <si>
    <t>cr</t>
  </si>
  <si>
    <t>l</t>
  </si>
  <si>
    <t>Boattail</t>
  </si>
  <si>
    <t>S1</t>
  </si>
  <si>
    <t>S2</t>
  </si>
  <si>
    <t>CNcb</t>
  </si>
  <si>
    <t>Center of Pressure Location</t>
  </si>
  <si>
    <t>Xn</t>
  </si>
  <si>
    <t>Nosecone (Ogive)</t>
  </si>
  <si>
    <t>m</t>
  </si>
  <si>
    <t>rad</t>
  </si>
  <si>
    <t>m^2</t>
  </si>
  <si>
    <t>Finset</t>
  </si>
  <si>
    <t>XB</t>
  </si>
  <si>
    <t>XF</t>
  </si>
  <si>
    <t>Conical Transitional</t>
  </si>
  <si>
    <t>LT</t>
  </si>
  <si>
    <t>XT</t>
  </si>
  <si>
    <t>XP</t>
  </si>
  <si>
    <t>Total CP</t>
  </si>
  <si>
    <t>X</t>
  </si>
  <si>
    <t>a</t>
  </si>
  <si>
    <t>b</t>
  </si>
  <si>
    <t>c</t>
  </si>
  <si>
    <t>kg</t>
  </si>
  <si>
    <t>Iy</t>
  </si>
  <si>
    <t>Iz</t>
  </si>
  <si>
    <t>Ix</t>
  </si>
  <si>
    <t>kg*m^2</t>
  </si>
  <si>
    <t>D</t>
  </si>
  <si>
    <t>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</si>
  <si>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</si>
  <si>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</si>
  <si>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</si>
  <si>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</si>
  <si>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</si>
  <si>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</si>
  <si>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</si>
  <si>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</si>
  <si>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</si>
  <si>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</si>
  <si>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Experiment for Iy</t>
  </si>
  <si>
    <t>AVG:</t>
  </si>
  <si>
    <t>T</t>
  </si>
  <si>
    <t>I spun it too hard and caused it to spin in other direction to and cause this delay in frequency</t>
  </si>
  <si>
    <t>Error(%)</t>
  </si>
  <si>
    <t>Maybe the errors are larger because this remote controller's mass is not evenly distributed like a simple block</t>
  </si>
  <si>
    <t>2nd Attempt for determining Cp</t>
  </si>
  <si>
    <t>Cp determined from provided Excel file that uses Barrowman</t>
  </si>
  <si>
    <t>3rd Attempt for determining Cp</t>
  </si>
  <si>
    <t>Experiment for MMOI (I)</t>
  </si>
  <si>
    <t>I</t>
  </si>
  <si>
    <t>s/10 cycle</t>
  </si>
  <si>
    <t>Barrowman Excel sheet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</si>
</sst>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  <font>
      <b/>
      <sz val="11"/>
      <color rgb="FF00B050"/>
      <name val="Aptos Narrow"/>
      <scheme val="minor"/>
    </font>
    <font>
      <sz val="11"/>
      <color rgb="FF00B05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5" fillId="2" borderId="0" xfId="0" applyFont="1" applyFill="1"/>
    <xf numFmtId="0" fontId="6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4B9-543C-46D5-9EC8-90FFAB00B659}">
  <dimension ref="A1:P38"/>
  <sheetViews>
    <sheetView tabSelected="1" topLeftCell="B1" workbookViewId="0">
      <selection activeCell="I23" sqref="I23"/>
    </sheetView>
  </sheetViews>
  <sheetFormatPr defaultRowHeight="14.25"/>
  <cols>
    <col min="1" max="1" width="16.875" bestFit="1" customWidth="1"/>
    <col min="7" max="7" width="30.25" bestFit="1" customWidth="1"/>
    <col min="8" max="8" width="6.625" customWidth="1"/>
    <col min="9" max="9" width="11.875" bestFit="1" customWidth="1"/>
    <col min="12" max="12" width="29" bestFit="1" customWidth="1"/>
    <col min="13" max="13" width="2.5" bestFit="1" customWidth="1"/>
    <col min="14" max="14" width="4.75" customWidth="1"/>
    <col min="15" max="15" width="28.625" bestFit="1" customWidth="1"/>
  </cols>
  <sheetData>
    <row r="1" spans="1:15" s="1" customFormat="1" ht="15">
      <c r="A1" s="1" t="s">
        <v>0</v>
      </c>
      <c r="B1" s="1" t="s">
        <v>1</v>
      </c>
      <c r="G1" s="1" t="s">
        <v>15</v>
      </c>
      <c r="L1" s="1" t="s">
        <v>75</v>
      </c>
      <c r="O1" s="1" t="s">
        <v>77</v>
      </c>
    </row>
    <row r="2" spans="1:15" ht="15">
      <c r="A2" t="s">
        <v>2</v>
      </c>
      <c r="B2">
        <v>16.309999999999999</v>
      </c>
      <c r="G2" t="s">
        <v>16</v>
      </c>
      <c r="H2" s="2" t="s">
        <v>17</v>
      </c>
      <c r="I2" s="2">
        <v>2</v>
      </c>
      <c r="L2">
        <v>2</v>
      </c>
      <c r="O2">
        <v>2</v>
      </c>
    </row>
    <row r="3" spans="1:15">
      <c r="A3" t="s">
        <v>3</v>
      </c>
      <c r="B3">
        <v>35.47</v>
      </c>
    </row>
    <row r="4" spans="1:15">
      <c r="A4" t="s">
        <v>4</v>
      </c>
      <c r="B4">
        <v>7.92</v>
      </c>
      <c r="G4" t="s">
        <v>19</v>
      </c>
      <c r="H4" t="s">
        <v>20</v>
      </c>
      <c r="I4">
        <v>1</v>
      </c>
      <c r="J4" t="s">
        <v>37</v>
      </c>
      <c r="L4">
        <v>1</v>
      </c>
      <c r="O4">
        <v>1</v>
      </c>
    </row>
    <row r="5" spans="1:15">
      <c r="A5" t="s">
        <v>5</v>
      </c>
      <c r="B5">
        <v>0.2</v>
      </c>
      <c r="H5" t="s">
        <v>21</v>
      </c>
      <c r="I5">
        <f>3.5/2/100</f>
        <v>1.7500000000000002E-2</v>
      </c>
      <c r="J5" t="s">
        <v>37</v>
      </c>
      <c r="L5">
        <f>3.5/2/100</f>
        <v>1.7500000000000002E-2</v>
      </c>
      <c r="O5">
        <v>1.7500000000000002E-2</v>
      </c>
    </row>
    <row r="6" spans="1:15">
      <c r="A6" t="s">
        <v>6</v>
      </c>
      <c r="B6">
        <v>9.73</v>
      </c>
      <c r="H6" t="s">
        <v>22</v>
      </c>
      <c r="I6">
        <f>5/100</f>
        <v>0.05</v>
      </c>
      <c r="J6" t="s">
        <v>37</v>
      </c>
      <c r="L6">
        <v>0.05</v>
      </c>
      <c r="O6">
        <v>0.05</v>
      </c>
    </row>
    <row r="7" spans="1:15">
      <c r="A7" t="s">
        <v>7</v>
      </c>
      <c r="B7">
        <v>3.66</v>
      </c>
      <c r="H7" t="s">
        <v>23</v>
      </c>
      <c r="I7">
        <v>4</v>
      </c>
      <c r="L7">
        <v>4</v>
      </c>
      <c r="O7">
        <v>4</v>
      </c>
    </row>
    <row r="8" spans="1:15">
      <c r="A8" t="s">
        <v>8</v>
      </c>
      <c r="B8">
        <v>3.21</v>
      </c>
      <c r="H8" t="s">
        <v>24</v>
      </c>
      <c r="I8">
        <f>3.5/100</f>
        <v>3.5000000000000003E-2</v>
      </c>
      <c r="J8" t="s">
        <v>37</v>
      </c>
      <c r="L8">
        <v>3.5000000000000003E-2</v>
      </c>
      <c r="O8">
        <v>3.5000000000000003E-2</v>
      </c>
    </row>
    <row r="9" spans="1:15">
      <c r="A9" t="s">
        <v>9</v>
      </c>
      <c r="B9">
        <v>3.38</v>
      </c>
      <c r="H9" t="s">
        <v>26</v>
      </c>
      <c r="I9">
        <f>4.15/100</f>
        <v>4.1500000000000002E-2</v>
      </c>
      <c r="J9" t="s">
        <v>37</v>
      </c>
      <c r="L9">
        <v>4.1000000000000002E-2</v>
      </c>
      <c r="O9">
        <v>4.1500000000000002E-2</v>
      </c>
    </row>
    <row r="10" spans="1:15">
      <c r="A10" t="s">
        <v>10</v>
      </c>
      <c r="B10">
        <v>3</v>
      </c>
      <c r="H10" t="s">
        <v>27</v>
      </c>
      <c r="I10">
        <f>2.8/100</f>
        <v>2.7999999999999997E-2</v>
      </c>
      <c r="J10" t="s">
        <v>37</v>
      </c>
      <c r="L10">
        <v>2.7E-2</v>
      </c>
      <c r="O10">
        <v>2.7E-2</v>
      </c>
    </row>
    <row r="11" spans="1:15">
      <c r="A11" t="s">
        <v>11</v>
      </c>
      <c r="B11">
        <v>3.23</v>
      </c>
      <c r="H11" t="s">
        <v>28</v>
      </c>
      <c r="I11">
        <f>5.4/100</f>
        <v>5.4000000000000006E-2</v>
      </c>
      <c r="J11" t="s">
        <v>37</v>
      </c>
      <c r="L11">
        <v>5.3999999999999999E-2</v>
      </c>
      <c r="O11">
        <v>5.5E-2</v>
      </c>
    </row>
    <row r="12" spans="1:15">
      <c r="A12" t="s">
        <v>12</v>
      </c>
      <c r="B12">
        <v>2.77</v>
      </c>
      <c r="H12" t="s">
        <v>25</v>
      </c>
      <c r="I12">
        <f>ATAN((1/I6)*(I9+0.5*(I10-I11)))</f>
        <v>0.51806852845672091</v>
      </c>
      <c r="J12" t="s">
        <v>38</v>
      </c>
      <c r="L12">
        <f>ATAN(1/L6*(I9+0.5*(I10-I11)))</f>
        <v>0.51806852845672091</v>
      </c>
      <c r="O12">
        <f>ATAN(1/O6*(O9+0.5*(O10-O11)))</f>
        <v>0.50284321092786088</v>
      </c>
    </row>
    <row r="13" spans="1:15">
      <c r="A13" t="s">
        <v>13</v>
      </c>
      <c r="B13">
        <v>27.97</v>
      </c>
      <c r="H13" t="s">
        <v>29</v>
      </c>
      <c r="I13">
        <f>I6/COS(I12)</f>
        <v>5.7552150263912819E-2</v>
      </c>
      <c r="L13">
        <f>L6/COS(L12)</f>
        <v>5.7552150263912819E-2</v>
      </c>
      <c r="O13">
        <f>O6/COS(O12)</f>
        <v>5.7063561052566644E-2</v>
      </c>
    </row>
    <row r="14" spans="1:15">
      <c r="A14" t="s">
        <v>14</v>
      </c>
      <c r="B14">
        <v>19</v>
      </c>
    </row>
    <row r="15" spans="1:15" ht="15">
      <c r="H15" s="2" t="s">
        <v>18</v>
      </c>
      <c r="I15" s="2">
        <f>(1+(I4*I5)/(I6+I5))*((4*I7*(I6/I8)^2)/(1+SQRT(1+((2*I13)/(I11+I10))^2)))</f>
        <v>15.097807506044671</v>
      </c>
      <c r="L15">
        <f>(1+L4*L5/(L6+L5))*(4*L7*(L6/L8)^2/(1+SQRT(1+(2*L13/(L11+L10))^2)))</f>
        <v>15.019807251622757</v>
      </c>
      <c r="O15">
        <f>(1+O4*O5/(O6+O5))*(4*O7*(O6/O8)^2/(1+SQRT(1+(2*O13/(O11+O10))^2)))</f>
        <v>15.151726563717666</v>
      </c>
    </row>
    <row r="16" spans="1:15" ht="15">
      <c r="A16" s="2" t="s">
        <v>37</v>
      </c>
      <c r="B16">
        <v>0.124</v>
      </c>
      <c r="C16" t="s">
        <v>52</v>
      </c>
    </row>
    <row r="17" spans="1:16" ht="15">
      <c r="A17" s="2" t="s">
        <v>57</v>
      </c>
      <c r="B17">
        <f>30/100</f>
        <v>0.3</v>
      </c>
      <c r="C17" t="s">
        <v>37</v>
      </c>
      <c r="G17" t="s">
        <v>30</v>
      </c>
      <c r="H17" t="s">
        <v>31</v>
      </c>
      <c r="I17">
        <f>1/4*PI()*I8^2</f>
        <v>9.6211275016187424E-4</v>
      </c>
      <c r="J17" t="s">
        <v>39</v>
      </c>
      <c r="L17">
        <f>L8^2*PI()*1/4</f>
        <v>9.6211275016187424E-4</v>
      </c>
      <c r="O17">
        <f>O8^2*PI()*1/4</f>
        <v>9.6211275016187424E-4</v>
      </c>
    </row>
    <row r="18" spans="1:16" ht="15">
      <c r="A18" s="2" t="s">
        <v>58</v>
      </c>
      <c r="B18">
        <f>50/100</f>
        <v>0.5</v>
      </c>
      <c r="C18" t="s">
        <v>37</v>
      </c>
      <c r="H18" t="s">
        <v>32</v>
      </c>
      <c r="I18">
        <f>1/4*PI()*0.03^2</f>
        <v>7.0685834705770342E-4</v>
      </c>
      <c r="J18" t="s">
        <v>39</v>
      </c>
      <c r="L18">
        <f>0.03^2*PI()*1/4</f>
        <v>7.0685834705770342E-4</v>
      </c>
      <c r="O18">
        <f>0.03^2*PI()*1/4</f>
        <v>7.0685834705770342E-4</v>
      </c>
    </row>
    <row r="20" spans="1:16" ht="15">
      <c r="A20" s="2" t="s">
        <v>78</v>
      </c>
      <c r="H20" s="2" t="s">
        <v>33</v>
      </c>
      <c r="I20" s="2">
        <f>(8/(PI()*I8^2))*(I18-I17)</f>
        <v>-0.53061224489795944</v>
      </c>
      <c r="L20">
        <f>2/(L8^2)*(0.03^2-L8^2)</f>
        <v>-0.53061224489795944</v>
      </c>
      <c r="O20">
        <f>2/O8^2*(0.03^2-O8^2)</f>
        <v>-0.53061224489795944</v>
      </c>
    </row>
    <row r="21" spans="1:16" ht="15">
      <c r="A21" s="2" t="s">
        <v>59</v>
      </c>
      <c r="B21">
        <v>22.57</v>
      </c>
      <c r="C21" t="s">
        <v>80</v>
      </c>
    </row>
    <row r="22" spans="1:16" ht="15">
      <c r="A22" s="2" t="s">
        <v>60</v>
      </c>
      <c r="B22">
        <v>22.7</v>
      </c>
      <c r="C22" t="s">
        <v>80</v>
      </c>
      <c r="G22" s="2" t="s">
        <v>34</v>
      </c>
    </row>
    <row r="23" spans="1:16" ht="15">
      <c r="A23" s="2" t="s">
        <v>61</v>
      </c>
      <c r="B23">
        <v>22.56</v>
      </c>
      <c r="C23" t="s">
        <v>80</v>
      </c>
      <c r="G23" t="s">
        <v>36</v>
      </c>
      <c r="H23" s="2" t="s">
        <v>35</v>
      </c>
      <c r="I23" s="2">
        <f>0.5*0.16</f>
        <v>0.08</v>
      </c>
      <c r="L23">
        <f>0.466*0.165</f>
        <v>7.6890000000000014E-2</v>
      </c>
      <c r="O23">
        <f>0.466*0.16</f>
        <v>7.4560000000000001E-2</v>
      </c>
    </row>
    <row r="24" spans="1:16" ht="15">
      <c r="A24" s="2" t="s">
        <v>62</v>
      </c>
      <c r="B24">
        <v>23</v>
      </c>
      <c r="C24" t="s">
        <v>80</v>
      </c>
    </row>
    <row r="25" spans="1:16" ht="15">
      <c r="A25" s="2" t="s">
        <v>63</v>
      </c>
      <c r="B25">
        <v>22.83</v>
      </c>
      <c r="C25" t="s">
        <v>80</v>
      </c>
      <c r="G25" t="s">
        <v>40</v>
      </c>
      <c r="H25" t="s">
        <v>41</v>
      </c>
      <c r="I25">
        <v>0.68</v>
      </c>
      <c r="L25">
        <v>0.68</v>
      </c>
      <c r="O25">
        <v>0.68</v>
      </c>
    </row>
    <row r="26" spans="1:16" ht="15">
      <c r="A26" s="2" t="s">
        <v>64</v>
      </c>
      <c r="B26">
        <v>23.11</v>
      </c>
      <c r="C26" t="s">
        <v>80</v>
      </c>
      <c r="H26" s="2" t="s">
        <v>42</v>
      </c>
      <c r="I26" s="2">
        <f>I25+I9/3*(I11+2*I10)/(I11+I10)+1/6*(I11+I10-(I11*I10)/(I11+I10))</f>
        <v>0.70915040650406513</v>
      </c>
      <c r="L26">
        <f>L25+L9/3*(L11+2*L10)/(L11+L10)+1/6*((L11+L10)-(L11*L10)/(L11+L10))</f>
        <v>0.70872222222222225</v>
      </c>
      <c r="O26">
        <f>O25+O9/3*(O11+2*O10)/(O11+O10)+1/6*((O11+O10)-(O11*O10)/(O11+O10))</f>
        <v>0.70903658536585368</v>
      </c>
    </row>
    <row r="27" spans="1:16" ht="15">
      <c r="A27" s="2" t="s">
        <v>65</v>
      </c>
      <c r="B27">
        <v>22.46</v>
      </c>
      <c r="C27" t="s">
        <v>80</v>
      </c>
    </row>
    <row r="28" spans="1:16" ht="15">
      <c r="A28" s="2" t="s">
        <v>66</v>
      </c>
      <c r="B28">
        <v>22.7</v>
      </c>
      <c r="C28" t="s">
        <v>80</v>
      </c>
      <c r="G28" t="s">
        <v>43</v>
      </c>
      <c r="H28" t="s">
        <v>44</v>
      </c>
      <c r="I28">
        <f>1.25/100</f>
        <v>1.2500000000000001E-2</v>
      </c>
      <c r="L28">
        <v>1.2500000000000001E-2</v>
      </c>
      <c r="O28">
        <v>1.2500000000000001E-2</v>
      </c>
    </row>
    <row r="29" spans="1:16" ht="15">
      <c r="A29" s="2" t="s">
        <v>67</v>
      </c>
      <c r="B29">
        <v>22.82</v>
      </c>
      <c r="C29" t="s">
        <v>80</v>
      </c>
      <c r="H29" s="3" t="s">
        <v>46</v>
      </c>
      <c r="I29">
        <v>0.73499999999999999</v>
      </c>
      <c r="L29">
        <v>0.73599999999999999</v>
      </c>
      <c r="O29">
        <v>0.73499999999999999</v>
      </c>
    </row>
    <row r="30" spans="1:16" ht="15">
      <c r="A30" s="2" t="s">
        <v>68</v>
      </c>
      <c r="B30">
        <v>22.77</v>
      </c>
      <c r="C30" t="s">
        <v>80</v>
      </c>
      <c r="H30" s="2" t="s">
        <v>45</v>
      </c>
      <c r="I30" s="2">
        <f>I29+I28/3*(1+(1-I8/0.03)/(1-(I8/0.03)^2))</f>
        <v>0.74108974358974355</v>
      </c>
      <c r="L30">
        <f>L29+L28/3*(1+(1-L8/0.03)/(1-(L8/0.03)^2))</f>
        <v>0.74208974358974356</v>
      </c>
      <c r="O30">
        <f>O29+O28/3*(1+(1-O8/0.03)/(1-(O8/0.03)^2))</f>
        <v>0.74108974358974355</v>
      </c>
    </row>
    <row r="31" spans="1:16" ht="15">
      <c r="A31" s="2" t="s">
        <v>70</v>
      </c>
      <c r="B31">
        <f>AVERAGE(B21:B30)</f>
        <v>22.751999999999999</v>
      </c>
      <c r="C31" t="s">
        <v>80</v>
      </c>
    </row>
    <row r="32" spans="1:16" ht="15">
      <c r="A32" s="2" t="s">
        <v>71</v>
      </c>
      <c r="B32">
        <f>B31/10</f>
        <v>2.2751999999999999</v>
      </c>
      <c r="C32" t="s">
        <v>22</v>
      </c>
      <c r="G32" t="s">
        <v>47</v>
      </c>
      <c r="H32" s="2" t="s">
        <v>48</v>
      </c>
      <c r="I32" s="2">
        <f>(I2*I23+I15*I26+I20*I30)/(I2+I15+I20)</f>
        <v>0.63217610902895671</v>
      </c>
      <c r="J32" t="s">
        <v>37</v>
      </c>
      <c r="L32" s="2">
        <f>(L2*L23+L15*L26+L20*L30)/(L2+L15+L20)</f>
        <v>0.63101256693939212</v>
      </c>
      <c r="O32" s="2">
        <f>(O2*O23+O15*O26+O20*O30)/(O2+O15+O20)</f>
        <v>0.63166746652663774</v>
      </c>
      <c r="P32" t="s">
        <v>37</v>
      </c>
    </row>
    <row r="33" spans="1:15" ht="15">
      <c r="A33" s="2" t="s">
        <v>79</v>
      </c>
      <c r="B33">
        <f>B16*9.81*B17^2*B32^2/(16*PI()^2*B18)</f>
        <v>7.1776557921439032E-3</v>
      </c>
      <c r="C33" t="s">
        <v>56</v>
      </c>
    </row>
    <row r="35" spans="1:15" ht="42.75">
      <c r="G35" s="4" t="s">
        <v>76</v>
      </c>
      <c r="H35" t="s">
        <v>48</v>
      </c>
      <c r="I35">
        <v>0.63149999999999995</v>
      </c>
      <c r="J35" t="s">
        <v>37</v>
      </c>
      <c r="L35">
        <v>0.63129999999999997</v>
      </c>
      <c r="M35" t="s">
        <v>37</v>
      </c>
      <c r="O35">
        <v>0.63170000000000004</v>
      </c>
    </row>
    <row r="38" spans="1:15" ht="15">
      <c r="G38" s="5" t="s">
        <v>81</v>
      </c>
      <c r="H38" s="6">
        <f>AVERAGE(I35,L35,O35)</f>
        <v>0.63149999999999995</v>
      </c>
      <c r="I38" s="6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9EB6-37DD-4363-B607-B75A9FEA58E6}">
  <dimension ref="A1:H42"/>
  <sheetViews>
    <sheetView topLeftCell="A7" workbookViewId="0">
      <selection activeCell="C38" sqref="C38"/>
    </sheetView>
  </sheetViews>
  <sheetFormatPr defaultRowHeight="14.25"/>
  <cols>
    <col min="2" max="2" width="12.25" bestFit="1" customWidth="1"/>
    <col min="4" max="4" width="12.25" bestFit="1" customWidth="1"/>
    <col min="6" max="6" width="12.25" bestFit="1" customWidth="1"/>
    <col min="8" max="8" width="12.25" bestFit="1" customWidth="1"/>
  </cols>
  <sheetData>
    <row r="1" spans="1:3" ht="15">
      <c r="A1" s="2" t="s">
        <v>49</v>
      </c>
      <c r="B1">
        <v>0.123</v>
      </c>
      <c r="C1" t="s">
        <v>37</v>
      </c>
    </row>
    <row r="2" spans="1:3" ht="15">
      <c r="A2" s="2" t="s">
        <v>50</v>
      </c>
      <c r="B2">
        <v>7.0000000000000001E-3</v>
      </c>
      <c r="C2" t="s">
        <v>37</v>
      </c>
    </row>
    <row r="3" spans="1:3" ht="15">
      <c r="A3" s="2" t="s">
        <v>51</v>
      </c>
      <c r="B3">
        <v>5.5E-2</v>
      </c>
      <c r="C3" t="s">
        <v>37</v>
      </c>
    </row>
    <row r="4" spans="1:3" ht="15">
      <c r="A4" s="2" t="s">
        <v>37</v>
      </c>
      <c r="B4">
        <f>27.9/1000</f>
        <v>2.7899999999999998E-2</v>
      </c>
      <c r="C4" t="s">
        <v>52</v>
      </c>
    </row>
    <row r="5" spans="1:3" ht="15">
      <c r="A5" s="2"/>
    </row>
    <row r="6" spans="1:3" ht="15">
      <c r="A6" s="2" t="s">
        <v>55</v>
      </c>
      <c r="B6">
        <f>$B4*(B2^2+B3^2)/12</f>
        <v>7.1470499999999988E-6</v>
      </c>
      <c r="C6" t="s">
        <v>56</v>
      </c>
    </row>
    <row r="7" spans="1:3" ht="15">
      <c r="A7" s="2" t="s">
        <v>53</v>
      </c>
      <c r="B7">
        <f>B4*(B1^2+B3^2)/12</f>
        <v>4.2208049999999996E-5</v>
      </c>
      <c r="C7" t="s">
        <v>56</v>
      </c>
    </row>
    <row r="8" spans="1:3" ht="15">
      <c r="A8" s="2" t="s">
        <v>54</v>
      </c>
      <c r="B8">
        <f>B4*(B1^2+B2^2)/12</f>
        <v>3.5288849999999997E-5</v>
      </c>
      <c r="C8" t="s">
        <v>56</v>
      </c>
    </row>
    <row r="10" spans="1:3" ht="15">
      <c r="A10" s="2" t="s">
        <v>57</v>
      </c>
      <c r="B10">
        <f>4.1/100</f>
        <v>4.0999999999999995E-2</v>
      </c>
      <c r="C10" t="s">
        <v>37</v>
      </c>
    </row>
    <row r="11" spans="1:3" ht="15">
      <c r="A11" s="2" t="s">
        <v>58</v>
      </c>
      <c r="B11">
        <f>47/100</f>
        <v>0.47</v>
      </c>
      <c r="C11" t="s">
        <v>37</v>
      </c>
    </row>
    <row r="23" spans="1:8" ht="15">
      <c r="A23" s="2" t="s">
        <v>69</v>
      </c>
      <c r="H23" s="2"/>
    </row>
    <row r="24" spans="1:8" ht="15">
      <c r="A24" s="2" t="s">
        <v>59</v>
      </c>
      <c r="B24">
        <v>27.85</v>
      </c>
      <c r="C24" t="s">
        <v>80</v>
      </c>
      <c r="D24">
        <v>27.81</v>
      </c>
      <c r="F24">
        <v>27.98</v>
      </c>
      <c r="H24">
        <v>27.05</v>
      </c>
    </row>
    <row r="25" spans="1:8" ht="15">
      <c r="A25" s="2" t="s">
        <v>60</v>
      </c>
      <c r="B25">
        <v>28.25</v>
      </c>
      <c r="C25" t="s">
        <v>80</v>
      </c>
      <c r="D25">
        <v>27.36</v>
      </c>
      <c r="F25">
        <v>28.19</v>
      </c>
      <c r="H25">
        <v>27.14</v>
      </c>
    </row>
    <row r="26" spans="1:8" ht="15">
      <c r="A26" s="2" t="s">
        <v>61</v>
      </c>
      <c r="B26">
        <v>27.78</v>
      </c>
      <c r="C26" t="s">
        <v>80</v>
      </c>
      <c r="D26">
        <v>27.25</v>
      </c>
      <c r="F26">
        <v>28.17</v>
      </c>
      <c r="H26">
        <v>27.19</v>
      </c>
    </row>
    <row r="27" spans="1:8" ht="15">
      <c r="A27" s="2" t="s">
        <v>62</v>
      </c>
      <c r="B27">
        <v>29.13</v>
      </c>
      <c r="C27" t="s">
        <v>80</v>
      </c>
      <c r="D27">
        <v>27.12</v>
      </c>
      <c r="F27">
        <v>28.63</v>
      </c>
      <c r="H27">
        <v>27.4</v>
      </c>
    </row>
    <row r="28" spans="1:8" ht="15">
      <c r="A28" s="2" t="s">
        <v>63</v>
      </c>
      <c r="B28">
        <v>27.33</v>
      </c>
      <c r="C28" t="s">
        <v>80</v>
      </c>
      <c r="D28">
        <v>27.4</v>
      </c>
      <c r="F28">
        <v>27.58</v>
      </c>
      <c r="H28">
        <v>27.32</v>
      </c>
    </row>
    <row r="29" spans="1:8" ht="15">
      <c r="A29" s="2" t="s">
        <v>64</v>
      </c>
      <c r="B29">
        <v>27.81</v>
      </c>
      <c r="C29" t="s">
        <v>80</v>
      </c>
      <c r="D29">
        <v>26.89</v>
      </c>
      <c r="F29">
        <v>27.82</v>
      </c>
      <c r="H29">
        <v>26.72</v>
      </c>
    </row>
    <row r="30" spans="1:8" ht="15">
      <c r="A30" s="2" t="s">
        <v>65</v>
      </c>
      <c r="B30">
        <v>27.8</v>
      </c>
      <c r="C30" t="s">
        <v>80</v>
      </c>
      <c r="D30">
        <v>27.1</v>
      </c>
      <c r="F30">
        <v>27.48</v>
      </c>
      <c r="H30">
        <v>26.91</v>
      </c>
    </row>
    <row r="31" spans="1:8" ht="15">
      <c r="A31" s="2" t="s">
        <v>66</v>
      </c>
      <c r="B31">
        <v>28.33</v>
      </c>
      <c r="C31" t="s">
        <v>80</v>
      </c>
      <c r="D31">
        <v>27.11</v>
      </c>
      <c r="F31">
        <v>27.58</v>
      </c>
      <c r="H31">
        <v>26.77</v>
      </c>
    </row>
    <row r="32" spans="1:8" ht="15">
      <c r="A32" s="2" t="s">
        <v>67</v>
      </c>
      <c r="B32">
        <v>28.57</v>
      </c>
      <c r="C32" t="s">
        <v>80</v>
      </c>
      <c r="D32">
        <v>26.79</v>
      </c>
      <c r="F32">
        <v>28.39</v>
      </c>
      <c r="H32">
        <v>26.98</v>
      </c>
    </row>
    <row r="33" spans="1:8" ht="15">
      <c r="A33" s="2" t="s">
        <v>68</v>
      </c>
      <c r="B33">
        <v>27.49</v>
      </c>
      <c r="C33" t="s">
        <v>80</v>
      </c>
      <c r="D33">
        <v>27.2</v>
      </c>
      <c r="F33">
        <v>27.51</v>
      </c>
      <c r="H33">
        <v>26.92</v>
      </c>
    </row>
    <row r="34" spans="1:8" ht="15">
      <c r="A34" s="2" t="s">
        <v>70</v>
      </c>
      <c r="B34">
        <f>AVERAGE(B24:B33)</f>
        <v>28.033999999999999</v>
      </c>
      <c r="C34" t="s">
        <v>80</v>
      </c>
      <c r="D34">
        <f>AVERAGE(D24:D33)</f>
        <v>27.202999999999996</v>
      </c>
      <c r="F34">
        <f>AVERAGE(F24:F33)</f>
        <v>27.933</v>
      </c>
      <c r="H34">
        <f>AVERAGE(H24:H33)</f>
        <v>27.04</v>
      </c>
    </row>
    <row r="35" spans="1:8" ht="15">
      <c r="A35" s="2" t="s">
        <v>71</v>
      </c>
      <c r="B35">
        <f>B34/10</f>
        <v>2.8033999999999999</v>
      </c>
      <c r="C35" t="s">
        <v>22</v>
      </c>
      <c r="D35">
        <f>D34/10</f>
        <v>2.7202999999999995</v>
      </c>
      <c r="F35">
        <f>F34/10</f>
        <v>2.7932999999999999</v>
      </c>
      <c r="H35" s="2">
        <f>H34/10</f>
        <v>2.7039999999999997</v>
      </c>
    </row>
    <row r="38" spans="1:8" ht="15">
      <c r="A38" s="2" t="s">
        <v>53</v>
      </c>
      <c r="B38">
        <f>B4*9.81*B10^2*B35^2/(16*PI()^2*B11)</f>
        <v>4.8718451520918334E-5</v>
      </c>
      <c r="C38" t="s">
        <v>56</v>
      </c>
      <c r="D38">
        <f>B4*9.81*B10^2*D35^2/(16*PI()^2*B11)</f>
        <v>4.5872978676564991E-5</v>
      </c>
      <c r="F38">
        <f>B4*9.81*B10^2*F35^2/(16*PI()^2*B11)</f>
        <v>4.8368041320525908E-5</v>
      </c>
      <c r="H38">
        <f>B4*9.81*B10^2*H35^2/(16*PI()^2*B11)</f>
        <v>4.5324885186981875E-5</v>
      </c>
    </row>
    <row r="39" spans="1:8" ht="15">
      <c r="A39" s="2" t="s">
        <v>73</v>
      </c>
      <c r="B39">
        <f>ABS(B7-B38)/B7*100</f>
        <v>15.424549395004835</v>
      </c>
      <c r="D39">
        <f>ABS(B7-D38)/B7*100</f>
        <v>8.6830087544082097</v>
      </c>
      <c r="F39">
        <f>ABS(B7-F38)/B7*100</f>
        <v>14.594351836974017</v>
      </c>
      <c r="H39">
        <f>ABS(B7-H38)/B7*100</f>
        <v>7.3844567256290654</v>
      </c>
    </row>
    <row r="40" spans="1:8" ht="114">
      <c r="B40" s="4" t="s">
        <v>72</v>
      </c>
      <c r="F40" s="4" t="s">
        <v>72</v>
      </c>
    </row>
    <row r="42" spans="1:8" ht="185.25">
      <c r="E42" s="4" t="s">
        <v>74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</vt:lpstr>
      <vt:lpstr>MMOI Test on Light 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Koo, Bonsuck</dc:creator>
  <cp:lastModifiedBy>Bonsuck Koo</cp:lastModifiedBy>
  <dcterms:created xsi:type="dcterms:W3CDTF">2025-02-11T17:59:46Z</dcterms:created>
  <dcterms:modified xsi:type="dcterms:W3CDTF">2025-08-27T17:55:54Z</dcterms:modified>
</cp:coreProperties>
</file>