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760"/>
  </bookViews>
  <sheets>
    <sheet name="Sheet1" sheetId="1" r:id="rId1"/>
    <sheet name="pure CO2" sheetId="2" r:id="rId2"/>
    <sheet name="pure N2" sheetId="4" r:id="rId3"/>
    <sheet name="Kang1" sheetId="5" r:id="rId4"/>
    <sheet name="Kang2" sheetId="6" r:id="rId5"/>
    <sheet name="Kang3" sheetId="7" r:id="rId6"/>
    <sheet name="Fan-Guo" sheetId="9" r:id="rId7"/>
    <sheet name="Sun" sheetId="10" r:id="rId8"/>
    <sheet name="Bruusgaard" sheetId="11" r:id="rId9"/>
    <sheet name="Olsen" sheetId="12" r:id="rId10"/>
    <sheet name="Sadeq" sheetId="13" r:id="rId11"/>
    <sheet name="Lee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R251" i="1" l="1"/>
  <c r="R253" i="1" l="1"/>
  <c r="R254" i="1"/>
  <c r="R255" i="1"/>
  <c r="R256" i="1"/>
  <c r="R257" i="1"/>
  <c r="R258" i="1"/>
  <c r="R259" i="1"/>
  <c r="R260" i="1"/>
  <c r="R261" i="1"/>
  <c r="R252" i="1"/>
  <c r="R262" i="1" s="1"/>
  <c r="R96" i="1" l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70" i="1"/>
  <c r="R141" i="1" l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24" i="1"/>
  <c r="R242" i="1" l="1"/>
  <c r="R243" i="1"/>
  <c r="R244" i="1"/>
  <c r="R245" i="1"/>
  <c r="R246" i="1"/>
  <c r="R247" i="1"/>
  <c r="R248" i="1"/>
  <c r="R249" i="1"/>
  <c r="R250" i="1"/>
  <c r="R241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4" i="1" l="1"/>
  <c r="R58" i="1" s="1"/>
  <c r="X58" i="1" l="1"/>
  <c r="D21" i="5" l="1"/>
  <c r="L315" i="1" l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00" i="1"/>
  <c r="L338" i="1" l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21" i="1"/>
  <c r="F71" i="1" l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70" i="1"/>
  <c r="E70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" i="1"/>
  <c r="T299" i="1" l="1"/>
  <c r="T290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63" i="1"/>
  <c r="T292" i="1" l="1"/>
  <c r="T293" i="1"/>
  <c r="T294" i="1"/>
  <c r="T295" i="1"/>
  <c r="T296" i="1"/>
  <c r="T297" i="1"/>
  <c r="T298" i="1"/>
  <c r="T291" i="1"/>
  <c r="T346" i="1" l="1"/>
  <c r="T340" i="1"/>
  <c r="T341" i="1"/>
  <c r="T342" i="1"/>
  <c r="T343" i="1"/>
  <c r="T344" i="1"/>
  <c r="T345" i="1"/>
  <c r="T339" i="1"/>
  <c r="T315" i="1" l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00" i="1"/>
  <c r="T96" i="1" l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70" i="1"/>
  <c r="T196" i="1" l="1"/>
  <c r="T197" i="1"/>
  <c r="T198" i="1"/>
  <c r="T199" i="1"/>
  <c r="T200" i="1"/>
  <c r="T201" i="1"/>
  <c r="T202" i="1"/>
  <c r="T203" i="1"/>
  <c r="T195" i="1"/>
  <c r="T204" i="1" s="1"/>
  <c r="T194" i="1"/>
  <c r="W400" i="1" l="1"/>
  <c r="W396" i="1" l="1"/>
  <c r="W393" i="1"/>
  <c r="W387" i="1"/>
  <c r="W381" i="1"/>
  <c r="W373" i="1"/>
  <c r="W368" i="1"/>
  <c r="W361" i="1"/>
  <c r="W356" i="1"/>
  <c r="D23" i="13" l="1"/>
  <c r="D20" i="13"/>
  <c r="B23" i="13"/>
  <c r="B20" i="13"/>
  <c r="D24" i="13"/>
  <c r="D22" i="13"/>
  <c r="D21" i="13"/>
  <c r="D26" i="13"/>
  <c r="B26" i="13"/>
  <c r="B21" i="13"/>
  <c r="B22" i="13"/>
  <c r="B24" i="13"/>
  <c r="D35" i="14" l="1"/>
  <c r="D32" i="14"/>
  <c r="D31" i="14"/>
  <c r="D30" i="14"/>
  <c r="D29" i="14"/>
  <c r="D28" i="14"/>
  <c r="D27" i="14"/>
  <c r="D26" i="14"/>
  <c r="D25" i="14"/>
  <c r="B35" i="14"/>
  <c r="B26" i="14"/>
  <c r="B27" i="14"/>
  <c r="B28" i="14"/>
  <c r="B29" i="14"/>
  <c r="B30" i="14"/>
  <c r="B31" i="14"/>
  <c r="B32" i="14"/>
  <c r="B33" i="14"/>
  <c r="B25" i="14"/>
  <c r="I28" i="11" l="1"/>
  <c r="G28" i="11"/>
  <c r="I23" i="11"/>
  <c r="I22" i="11"/>
  <c r="I21" i="11"/>
  <c r="I20" i="11"/>
  <c r="G21" i="11"/>
  <c r="G22" i="11"/>
  <c r="G23" i="11"/>
  <c r="G24" i="11"/>
  <c r="G25" i="11"/>
  <c r="G26" i="11"/>
  <c r="G20" i="11"/>
  <c r="U352" i="1"/>
  <c r="U353" i="1"/>
  <c r="U354" i="1"/>
  <c r="U355" i="1"/>
  <c r="U357" i="1"/>
  <c r="U358" i="1"/>
  <c r="U359" i="1"/>
  <c r="U360" i="1"/>
  <c r="U362" i="1"/>
  <c r="U363" i="1"/>
  <c r="U364" i="1"/>
  <c r="U365" i="1"/>
  <c r="U366" i="1"/>
  <c r="U367" i="1"/>
  <c r="U369" i="1"/>
  <c r="U370" i="1"/>
  <c r="U371" i="1"/>
  <c r="U372" i="1"/>
  <c r="U374" i="1"/>
  <c r="U375" i="1"/>
  <c r="U376" i="1"/>
  <c r="U377" i="1"/>
  <c r="U378" i="1"/>
  <c r="U379" i="1"/>
  <c r="U380" i="1"/>
  <c r="U382" i="1"/>
  <c r="U383" i="1"/>
  <c r="U384" i="1"/>
  <c r="U385" i="1"/>
  <c r="U386" i="1"/>
  <c r="U388" i="1"/>
  <c r="U389" i="1"/>
  <c r="U390" i="1"/>
  <c r="U391" i="1"/>
  <c r="U392" i="1"/>
  <c r="U394" i="1"/>
  <c r="U395" i="1"/>
  <c r="U397" i="1"/>
  <c r="U398" i="1"/>
  <c r="U399" i="1"/>
  <c r="U351" i="1"/>
  <c r="U400" i="1" s="1"/>
  <c r="R352" i="1" l="1"/>
  <c r="R353" i="1"/>
  <c r="R354" i="1"/>
  <c r="R355" i="1"/>
  <c r="R357" i="1"/>
  <c r="R358" i="1"/>
  <c r="R359" i="1"/>
  <c r="R360" i="1"/>
  <c r="R362" i="1"/>
  <c r="R363" i="1"/>
  <c r="R364" i="1"/>
  <c r="R365" i="1"/>
  <c r="R366" i="1"/>
  <c r="R367" i="1"/>
  <c r="R369" i="1"/>
  <c r="R370" i="1"/>
  <c r="R371" i="1"/>
  <c r="R372" i="1"/>
  <c r="R374" i="1"/>
  <c r="R375" i="1"/>
  <c r="R376" i="1"/>
  <c r="R377" i="1"/>
  <c r="R378" i="1"/>
  <c r="R379" i="1"/>
  <c r="R380" i="1"/>
  <c r="R382" i="1"/>
  <c r="R383" i="1"/>
  <c r="R384" i="1"/>
  <c r="R385" i="1"/>
  <c r="R386" i="1"/>
  <c r="R388" i="1"/>
  <c r="R389" i="1"/>
  <c r="R390" i="1"/>
  <c r="R391" i="1"/>
  <c r="R392" i="1"/>
  <c r="R394" i="1"/>
  <c r="R395" i="1"/>
  <c r="R397" i="1"/>
  <c r="R398" i="1"/>
  <c r="R399" i="1"/>
  <c r="R351" i="1"/>
  <c r="R400" i="1" s="1"/>
  <c r="P352" i="1" l="1"/>
  <c r="P353" i="1"/>
  <c r="P354" i="1"/>
  <c r="P355" i="1"/>
  <c r="P357" i="1"/>
  <c r="P358" i="1"/>
  <c r="P359" i="1"/>
  <c r="P360" i="1"/>
  <c r="P362" i="1"/>
  <c r="P363" i="1"/>
  <c r="P364" i="1"/>
  <c r="P365" i="1"/>
  <c r="P366" i="1"/>
  <c r="P367" i="1"/>
  <c r="P369" i="1"/>
  <c r="P370" i="1"/>
  <c r="P371" i="1"/>
  <c r="P372" i="1"/>
  <c r="P374" i="1"/>
  <c r="P375" i="1"/>
  <c r="P376" i="1"/>
  <c r="P377" i="1"/>
  <c r="P378" i="1"/>
  <c r="P379" i="1"/>
  <c r="P380" i="1"/>
  <c r="P382" i="1"/>
  <c r="P383" i="1"/>
  <c r="P384" i="1"/>
  <c r="P385" i="1"/>
  <c r="P386" i="1"/>
  <c r="P388" i="1"/>
  <c r="P389" i="1"/>
  <c r="P390" i="1"/>
  <c r="P391" i="1"/>
  <c r="P392" i="1"/>
  <c r="P394" i="1"/>
  <c r="P395" i="1"/>
  <c r="P397" i="1"/>
  <c r="P398" i="1"/>
  <c r="P399" i="1"/>
  <c r="P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351" i="1"/>
  <c r="N400" i="1" l="1"/>
  <c r="P400" i="1"/>
  <c r="F357" i="1"/>
  <c r="F373" i="1"/>
  <c r="F389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351" i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351" i="1"/>
  <c r="F351" i="1" s="1"/>
  <c r="D25" i="12" l="1"/>
  <c r="F21" i="12"/>
  <c r="F20" i="12"/>
  <c r="F19" i="12"/>
  <c r="F18" i="12"/>
  <c r="F17" i="12"/>
  <c r="F23" i="12" s="1"/>
  <c r="D21" i="12"/>
  <c r="D20" i="12"/>
  <c r="D19" i="12"/>
  <c r="D18" i="12"/>
  <c r="D17" i="12"/>
  <c r="D23" i="12" s="1"/>
  <c r="B23" i="12"/>
  <c r="B18" i="12"/>
  <c r="B19" i="12"/>
  <c r="B20" i="12"/>
  <c r="B21" i="12"/>
  <c r="B17" i="12"/>
  <c r="L33" i="6" l="1"/>
  <c r="L31" i="6"/>
  <c r="L30" i="6"/>
  <c r="J30" i="6"/>
  <c r="J33" i="6" s="1"/>
  <c r="L29" i="6"/>
  <c r="L28" i="6"/>
  <c r="L27" i="6"/>
  <c r="L26" i="6"/>
  <c r="L25" i="6"/>
  <c r="L24" i="6"/>
  <c r="L23" i="6"/>
  <c r="J29" i="6"/>
  <c r="J28" i="6"/>
  <c r="J27" i="6"/>
  <c r="J26" i="6"/>
  <c r="J25" i="6"/>
  <c r="J24" i="6"/>
  <c r="J23" i="6"/>
  <c r="H24" i="6"/>
  <c r="H25" i="6"/>
  <c r="H26" i="6"/>
  <c r="H27" i="6"/>
  <c r="H28" i="6"/>
  <c r="H29" i="6"/>
  <c r="H30" i="6"/>
  <c r="H31" i="6"/>
  <c r="H23" i="6"/>
  <c r="J35" i="6" s="1"/>
  <c r="H33" i="6" l="1"/>
  <c r="C25" i="9"/>
  <c r="D23" i="9"/>
  <c r="D20" i="9"/>
  <c r="D19" i="9"/>
  <c r="D18" i="9"/>
  <c r="D17" i="9"/>
  <c r="B23" i="9"/>
  <c r="B18" i="9"/>
  <c r="B19" i="9"/>
  <c r="B20" i="9"/>
  <c r="B21" i="9"/>
  <c r="B17" i="9"/>
  <c r="D28" i="10"/>
  <c r="F26" i="10"/>
  <c r="D26" i="10"/>
  <c r="B26" i="10"/>
  <c r="F24" i="10"/>
  <c r="F23" i="10"/>
  <c r="F22" i="10"/>
  <c r="F21" i="10"/>
  <c r="F20" i="10"/>
  <c r="F19" i="10"/>
  <c r="D24" i="10"/>
  <c r="D23" i="10"/>
  <c r="D22" i="10"/>
  <c r="D21" i="10"/>
  <c r="D20" i="10"/>
  <c r="D19" i="10"/>
  <c r="B20" i="10"/>
  <c r="B21" i="10"/>
  <c r="B22" i="10"/>
  <c r="B23" i="10"/>
  <c r="B19" i="10"/>
  <c r="L20" i="5"/>
  <c r="L19" i="5"/>
  <c r="L18" i="5"/>
  <c r="L17" i="5"/>
  <c r="L23" i="5" s="1"/>
  <c r="J20" i="5"/>
  <c r="J19" i="5"/>
  <c r="J18" i="5"/>
  <c r="J17" i="5"/>
  <c r="H21" i="5"/>
  <c r="H20" i="5"/>
  <c r="H19" i="5"/>
  <c r="H18" i="5"/>
  <c r="H17" i="5"/>
  <c r="H23" i="5" s="1"/>
  <c r="F21" i="5"/>
  <c r="F20" i="5"/>
  <c r="F19" i="5"/>
  <c r="F18" i="5"/>
  <c r="F17" i="5"/>
  <c r="F23" i="5" s="1"/>
  <c r="D20" i="5"/>
  <c r="D19" i="5"/>
  <c r="D18" i="5"/>
  <c r="D17" i="5"/>
  <c r="D23" i="5" s="1"/>
  <c r="B18" i="5"/>
  <c r="B19" i="5"/>
  <c r="B20" i="5"/>
  <c r="B21" i="5"/>
  <c r="B23" i="5" s="1"/>
  <c r="B17" i="5"/>
  <c r="J23" i="5" l="1"/>
  <c r="F26" i="5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465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M519" i="1" l="1"/>
  <c r="N348" i="1"/>
  <c r="N349" i="1"/>
  <c r="N347" i="1"/>
  <c r="N350" i="1" l="1"/>
  <c r="E348" i="1"/>
  <c r="F348" i="1" s="1"/>
  <c r="E349" i="1"/>
  <c r="F349" i="1" s="1"/>
  <c r="E347" i="1"/>
  <c r="F347" i="1" s="1"/>
  <c r="P322" i="1" l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21" i="1"/>
  <c r="P338" i="1" l="1"/>
  <c r="N340" i="1"/>
  <c r="N341" i="1"/>
  <c r="N342" i="1"/>
  <c r="N343" i="1"/>
  <c r="N344" i="1"/>
  <c r="N345" i="1"/>
  <c r="N339" i="1"/>
  <c r="N346" i="1" l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21" i="1"/>
  <c r="N338" i="1" l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21" i="1"/>
  <c r="F321" i="1" s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N317" i="1" l="1"/>
  <c r="N318" i="1"/>
  <c r="N319" i="1"/>
  <c r="N316" i="1"/>
  <c r="N320" i="1" l="1"/>
  <c r="E317" i="1"/>
  <c r="F317" i="1" s="1"/>
  <c r="E318" i="1"/>
  <c r="F318" i="1" s="1"/>
  <c r="E319" i="1"/>
  <c r="F319" i="1" s="1"/>
  <c r="E316" i="1"/>
  <c r="F316" i="1" s="1"/>
  <c r="C317" i="1"/>
  <c r="C318" i="1"/>
  <c r="C319" i="1"/>
  <c r="C316" i="1"/>
  <c r="P32" i="1" l="1"/>
  <c r="N220" i="1" l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X125" i="1" l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2" i="1"/>
  <c r="X143" i="1"/>
  <c r="X144" i="1"/>
  <c r="X145" i="1"/>
  <c r="X146" i="1"/>
  <c r="X147" i="1"/>
  <c r="X148" i="1"/>
  <c r="X149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24" i="1"/>
  <c r="X194" i="1" l="1"/>
  <c r="X141" i="1"/>
  <c r="X177" i="1"/>
  <c r="X150" i="1"/>
  <c r="X98" i="1"/>
  <c r="X99" i="1"/>
  <c r="X100" i="1"/>
  <c r="X101" i="1"/>
  <c r="X102" i="1"/>
  <c r="X103" i="1"/>
  <c r="X104" i="1"/>
  <c r="X105" i="1"/>
  <c r="X97" i="1"/>
  <c r="X106" i="1" l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X108" i="1" l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07" i="1"/>
  <c r="X123" i="1" s="1"/>
  <c r="X195" i="1"/>
  <c r="X196" i="1"/>
  <c r="X197" i="1"/>
  <c r="X198" i="1"/>
  <c r="X199" i="1"/>
  <c r="X200" i="1"/>
  <c r="X201" i="1"/>
  <c r="X202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 l="1"/>
  <c r="X204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70" i="1"/>
  <c r="X96" i="1" l="1"/>
  <c r="X60" i="1"/>
  <c r="X61" i="1"/>
  <c r="X62" i="1"/>
  <c r="X63" i="1"/>
  <c r="X64" i="1"/>
  <c r="X65" i="1"/>
  <c r="X66" i="1"/>
  <c r="X67" i="1"/>
  <c r="X68" i="1"/>
  <c r="X59" i="1"/>
  <c r="X69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4" i="1"/>
  <c r="N301" i="1" l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00" i="1"/>
  <c r="N315" i="1" l="1"/>
  <c r="N284" i="1"/>
  <c r="N285" i="1"/>
  <c r="N129" i="1" l="1"/>
  <c r="B234" i="1" l="1"/>
  <c r="C234" i="1"/>
  <c r="L234" i="1"/>
  <c r="P234" i="1"/>
  <c r="T234" i="1"/>
  <c r="N95" i="1" l="1"/>
  <c r="N18" i="1" l="1"/>
  <c r="L466" i="1" l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S493" i="1" s="1"/>
  <c r="L494" i="1"/>
  <c r="S494" i="1" s="1"/>
  <c r="L495" i="1"/>
  <c r="S495" i="1" s="1"/>
  <c r="L496" i="1"/>
  <c r="S496" i="1" s="1"/>
  <c r="L497" i="1"/>
  <c r="S497" i="1" s="1"/>
  <c r="L498" i="1"/>
  <c r="S498" i="1" s="1"/>
  <c r="L499" i="1"/>
  <c r="S499" i="1" s="1"/>
  <c r="L500" i="1"/>
  <c r="S500" i="1" s="1"/>
  <c r="L501" i="1"/>
  <c r="L502" i="1"/>
  <c r="S502" i="1" s="1"/>
  <c r="L503" i="1"/>
  <c r="S503" i="1" s="1"/>
  <c r="L504" i="1"/>
  <c r="S504" i="1" s="1"/>
  <c r="L505" i="1"/>
  <c r="S505" i="1" s="1"/>
  <c r="L506" i="1"/>
  <c r="S506" i="1" s="1"/>
  <c r="L507" i="1"/>
  <c r="S507" i="1" s="1"/>
  <c r="L508" i="1"/>
  <c r="S508" i="1" s="1"/>
  <c r="L509" i="1"/>
  <c r="L510" i="1"/>
  <c r="S510" i="1" s="1"/>
  <c r="L511" i="1"/>
  <c r="S511" i="1" s="1"/>
  <c r="L512" i="1"/>
  <c r="S512" i="1" s="1"/>
  <c r="L513" i="1"/>
  <c r="S513" i="1" s="1"/>
  <c r="L514" i="1"/>
  <c r="S514" i="1" s="1"/>
  <c r="L515" i="1"/>
  <c r="S515" i="1" s="1"/>
  <c r="L516" i="1"/>
  <c r="S516" i="1" s="1"/>
  <c r="L517" i="1"/>
  <c r="S517" i="1" s="1"/>
  <c r="L518" i="1"/>
  <c r="L465" i="1"/>
  <c r="L519" i="1" l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493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65" i="1"/>
  <c r="C518" i="1"/>
  <c r="F518" i="1" s="1"/>
  <c r="C517" i="1"/>
  <c r="F517" i="1" s="1"/>
  <c r="C516" i="1"/>
  <c r="F516" i="1" s="1"/>
  <c r="C515" i="1"/>
  <c r="F515" i="1" s="1"/>
  <c r="C514" i="1"/>
  <c r="F514" i="1" s="1"/>
  <c r="C513" i="1"/>
  <c r="F513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C502" i="1"/>
  <c r="F502" i="1" s="1"/>
  <c r="C501" i="1"/>
  <c r="F501" i="1" s="1"/>
  <c r="C500" i="1"/>
  <c r="F500" i="1" s="1"/>
  <c r="C499" i="1"/>
  <c r="F499" i="1" s="1"/>
  <c r="C498" i="1"/>
  <c r="F498" i="1" s="1"/>
  <c r="C497" i="1"/>
  <c r="F497" i="1" s="1"/>
  <c r="C496" i="1"/>
  <c r="F496" i="1" s="1"/>
  <c r="C495" i="1"/>
  <c r="F495" i="1" s="1"/>
  <c r="C494" i="1"/>
  <c r="F494" i="1" s="1"/>
  <c r="C493" i="1"/>
  <c r="F493" i="1" s="1"/>
  <c r="C492" i="1"/>
  <c r="F492" i="1" s="1"/>
  <c r="C491" i="1"/>
  <c r="F491" i="1" s="1"/>
  <c r="C490" i="1"/>
  <c r="F490" i="1" s="1"/>
  <c r="C489" i="1"/>
  <c r="F489" i="1" s="1"/>
  <c r="C488" i="1"/>
  <c r="F488" i="1" s="1"/>
  <c r="C487" i="1"/>
  <c r="F487" i="1" s="1"/>
  <c r="C486" i="1"/>
  <c r="F486" i="1" s="1"/>
  <c r="C485" i="1"/>
  <c r="F485" i="1" s="1"/>
  <c r="C484" i="1"/>
  <c r="F484" i="1" s="1"/>
  <c r="C483" i="1"/>
  <c r="F483" i="1" s="1"/>
  <c r="C482" i="1"/>
  <c r="F482" i="1" s="1"/>
  <c r="C481" i="1"/>
  <c r="F481" i="1" s="1"/>
  <c r="C480" i="1"/>
  <c r="F480" i="1" s="1"/>
  <c r="C479" i="1"/>
  <c r="F479" i="1" s="1"/>
  <c r="C478" i="1"/>
  <c r="F478" i="1" s="1"/>
  <c r="C477" i="1"/>
  <c r="F477" i="1" s="1"/>
  <c r="C476" i="1"/>
  <c r="F476" i="1" s="1"/>
  <c r="C475" i="1"/>
  <c r="F475" i="1" s="1"/>
  <c r="C474" i="1"/>
  <c r="F474" i="1" s="1"/>
  <c r="C473" i="1"/>
  <c r="F473" i="1" s="1"/>
  <c r="C472" i="1"/>
  <c r="F472" i="1" s="1"/>
  <c r="C471" i="1"/>
  <c r="F471" i="1" s="1"/>
  <c r="C470" i="1"/>
  <c r="F470" i="1" s="1"/>
  <c r="C469" i="1"/>
  <c r="F469" i="1" s="1"/>
  <c r="C468" i="1"/>
  <c r="F468" i="1" s="1"/>
  <c r="C467" i="1"/>
  <c r="F467" i="1" s="1"/>
  <c r="C466" i="1"/>
  <c r="F466" i="1" s="1"/>
  <c r="C465" i="1"/>
  <c r="F465" i="1" s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37" i="1"/>
  <c r="L463" i="1" l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37" i="1"/>
  <c r="B462" i="1"/>
  <c r="E462" i="1" s="1"/>
  <c r="B461" i="1"/>
  <c r="E461" i="1" s="1"/>
  <c r="B460" i="1"/>
  <c r="E460" i="1" s="1"/>
  <c r="B459" i="1"/>
  <c r="E459" i="1" s="1"/>
  <c r="B458" i="1"/>
  <c r="E458" i="1" s="1"/>
  <c r="B457" i="1"/>
  <c r="E457" i="1" s="1"/>
  <c r="B456" i="1"/>
  <c r="E456" i="1" s="1"/>
  <c r="B455" i="1"/>
  <c r="E455" i="1" s="1"/>
  <c r="B454" i="1"/>
  <c r="E454" i="1" s="1"/>
  <c r="B453" i="1"/>
  <c r="E453" i="1" s="1"/>
  <c r="B452" i="1"/>
  <c r="E452" i="1" s="1"/>
  <c r="B451" i="1"/>
  <c r="E451" i="1" s="1"/>
  <c r="B450" i="1"/>
  <c r="E450" i="1" s="1"/>
  <c r="B449" i="1"/>
  <c r="E449" i="1" s="1"/>
  <c r="B448" i="1"/>
  <c r="E448" i="1" s="1"/>
  <c r="B447" i="1"/>
  <c r="E447" i="1" s="1"/>
  <c r="B446" i="1"/>
  <c r="E446" i="1" s="1"/>
  <c r="B445" i="1"/>
  <c r="E445" i="1" s="1"/>
  <c r="B444" i="1"/>
  <c r="E444" i="1" s="1"/>
  <c r="B443" i="1"/>
  <c r="E443" i="1" s="1"/>
  <c r="B442" i="1"/>
  <c r="E442" i="1" s="1"/>
  <c r="B441" i="1"/>
  <c r="E441" i="1" s="1"/>
  <c r="B440" i="1"/>
  <c r="E440" i="1" s="1"/>
  <c r="B439" i="1"/>
  <c r="E439" i="1" s="1"/>
  <c r="B438" i="1"/>
  <c r="E438" i="1" s="1"/>
  <c r="B437" i="1"/>
  <c r="E437" i="1" s="1"/>
  <c r="L408" i="1"/>
  <c r="L409" i="1"/>
  <c r="L410" i="1"/>
  <c r="L411" i="1"/>
  <c r="L412" i="1"/>
  <c r="L413" i="1"/>
  <c r="L414" i="1"/>
  <c r="L415" i="1"/>
  <c r="L416" i="1"/>
  <c r="L407" i="1"/>
  <c r="L417" i="1" l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19" i="1"/>
  <c r="L435" i="1" l="1"/>
  <c r="O435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19" i="1"/>
  <c r="F408" i="1" l="1"/>
  <c r="F409" i="1"/>
  <c r="F410" i="1"/>
  <c r="F411" i="1"/>
  <c r="F412" i="1"/>
  <c r="F413" i="1"/>
  <c r="F414" i="1"/>
  <c r="F415" i="1"/>
  <c r="F416" i="1"/>
  <c r="F407" i="1"/>
  <c r="B416" i="1"/>
  <c r="E416" i="1" s="1"/>
  <c r="B415" i="1"/>
  <c r="E415" i="1" s="1"/>
  <c r="B414" i="1"/>
  <c r="E414" i="1" s="1"/>
  <c r="B413" i="1"/>
  <c r="E413" i="1" s="1"/>
  <c r="B412" i="1"/>
  <c r="E412" i="1" s="1"/>
  <c r="B411" i="1"/>
  <c r="E411" i="1" s="1"/>
  <c r="B410" i="1"/>
  <c r="E410" i="1" s="1"/>
  <c r="B409" i="1"/>
  <c r="E409" i="1" s="1"/>
  <c r="B408" i="1"/>
  <c r="E408" i="1" s="1"/>
  <c r="B407" i="1"/>
  <c r="E407" i="1" s="1"/>
  <c r="P206" i="1" l="1"/>
  <c r="P207" i="1"/>
  <c r="P208" i="1"/>
  <c r="P210" i="1"/>
  <c r="P211" i="1"/>
  <c r="P212" i="1"/>
  <c r="P213" i="1"/>
  <c r="P214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5" i="1"/>
  <c r="P236" i="1"/>
  <c r="P237" i="1"/>
  <c r="P238" i="1"/>
  <c r="P239" i="1"/>
  <c r="P205" i="1"/>
  <c r="P240" i="1" l="1"/>
  <c r="P152" i="1"/>
  <c r="P153" i="1"/>
  <c r="P154" i="1"/>
  <c r="P155" i="1"/>
  <c r="P156" i="1"/>
  <c r="P157" i="1"/>
  <c r="P158" i="1"/>
  <c r="P160" i="1"/>
  <c r="P161" i="1"/>
  <c r="P162" i="1"/>
  <c r="P163" i="1"/>
  <c r="P164" i="1"/>
  <c r="P165" i="1"/>
  <c r="P166" i="1"/>
  <c r="P168" i="1"/>
  <c r="P169" i="1"/>
  <c r="P170" i="1"/>
  <c r="P171" i="1"/>
  <c r="P172" i="1"/>
  <c r="P173" i="1"/>
  <c r="P174" i="1"/>
  <c r="P175" i="1"/>
  <c r="P151" i="1"/>
  <c r="P177" i="1" l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7" i="1"/>
  <c r="P123" i="1" l="1"/>
  <c r="P53" i="1"/>
  <c r="P54" i="1"/>
  <c r="P55" i="1"/>
  <c r="P56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9" i="1"/>
  <c r="P50" i="1"/>
  <c r="P51" i="1"/>
  <c r="P52" i="1"/>
  <c r="P58" i="1" l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00" i="1"/>
  <c r="C314" i="1"/>
  <c r="F314" i="1" s="1"/>
  <c r="C313" i="1"/>
  <c r="F313" i="1" s="1"/>
  <c r="C312" i="1"/>
  <c r="F312" i="1" s="1"/>
  <c r="C311" i="1"/>
  <c r="F311" i="1" s="1"/>
  <c r="C310" i="1"/>
  <c r="F310" i="1" s="1"/>
  <c r="C309" i="1"/>
  <c r="F309" i="1" s="1"/>
  <c r="C308" i="1"/>
  <c r="F308" i="1" s="1"/>
  <c r="C307" i="1"/>
  <c r="F307" i="1" s="1"/>
  <c r="C306" i="1"/>
  <c r="F306" i="1" s="1"/>
  <c r="C305" i="1"/>
  <c r="F305" i="1" s="1"/>
  <c r="C304" i="1"/>
  <c r="F304" i="1" s="1"/>
  <c r="C303" i="1"/>
  <c r="F303" i="1" s="1"/>
  <c r="C302" i="1"/>
  <c r="F302" i="1" s="1"/>
  <c r="C301" i="1"/>
  <c r="F301" i="1" s="1"/>
  <c r="C300" i="1"/>
  <c r="F300" i="1" s="1"/>
  <c r="N264" i="1" l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63" i="1"/>
  <c r="N290" i="1" l="1"/>
  <c r="N292" i="1"/>
  <c r="N293" i="1"/>
  <c r="N294" i="1"/>
  <c r="N295" i="1"/>
  <c r="N296" i="1"/>
  <c r="N297" i="1"/>
  <c r="N298" i="1"/>
  <c r="N291" i="1"/>
  <c r="N299" i="1" l="1"/>
  <c r="L292" i="1"/>
  <c r="L293" i="1"/>
  <c r="L294" i="1"/>
  <c r="L295" i="1"/>
  <c r="L296" i="1"/>
  <c r="L297" i="1"/>
  <c r="L291" i="1"/>
  <c r="L299" i="1" l="1"/>
  <c r="T251" i="1" l="1"/>
  <c r="T262" i="1" l="1"/>
  <c r="L253" i="1"/>
  <c r="L254" i="1"/>
  <c r="L255" i="1"/>
  <c r="L256" i="1"/>
  <c r="L257" i="1"/>
  <c r="L258" i="1"/>
  <c r="L259" i="1"/>
  <c r="L260" i="1"/>
  <c r="L261" i="1"/>
  <c r="L252" i="1"/>
  <c r="L262" i="1" l="1"/>
  <c r="N253" i="1"/>
  <c r="N254" i="1"/>
  <c r="N255" i="1"/>
  <c r="N256" i="1"/>
  <c r="N257" i="1"/>
  <c r="N258" i="1"/>
  <c r="N259" i="1"/>
  <c r="N260" i="1"/>
  <c r="N261" i="1"/>
  <c r="N252" i="1"/>
  <c r="N262" i="1" l="1"/>
  <c r="N242" i="1"/>
  <c r="N243" i="1"/>
  <c r="N244" i="1"/>
  <c r="N245" i="1"/>
  <c r="N246" i="1"/>
  <c r="N247" i="1"/>
  <c r="N248" i="1"/>
  <c r="N249" i="1"/>
  <c r="N250" i="1"/>
  <c r="N241" i="1"/>
  <c r="N251" i="1" l="1"/>
  <c r="L242" i="1"/>
  <c r="L243" i="1"/>
  <c r="L244" i="1"/>
  <c r="L245" i="1"/>
  <c r="L246" i="1"/>
  <c r="L247" i="1"/>
  <c r="L248" i="1"/>
  <c r="L249" i="1"/>
  <c r="L250" i="1"/>
  <c r="L241" i="1"/>
  <c r="L251" i="1" l="1"/>
  <c r="T59" i="1"/>
  <c r="T60" i="1"/>
  <c r="T61" i="1"/>
  <c r="T62" i="1"/>
  <c r="T63" i="1"/>
  <c r="T64" i="1"/>
  <c r="T65" i="1"/>
  <c r="T66" i="1"/>
  <c r="T67" i="1"/>
  <c r="T68" i="1"/>
  <c r="T97" i="1"/>
  <c r="T98" i="1"/>
  <c r="T99" i="1"/>
  <c r="T100" i="1"/>
  <c r="T101" i="1"/>
  <c r="T102" i="1"/>
  <c r="T103" i="1"/>
  <c r="T104" i="1"/>
  <c r="T105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8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5" i="1"/>
  <c r="T236" i="1"/>
  <c r="T237" i="1"/>
  <c r="T238" i="1"/>
  <c r="T239" i="1"/>
  <c r="T123" i="1" l="1"/>
  <c r="T106" i="1"/>
  <c r="T69" i="1"/>
  <c r="T240" i="1"/>
  <c r="T141" i="1"/>
  <c r="T58" i="1"/>
  <c r="T177" i="1"/>
  <c r="T150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51" i="1"/>
  <c r="N177" i="1" l="1"/>
  <c r="N125" i="1"/>
  <c r="N126" i="1"/>
  <c r="N127" i="1"/>
  <c r="N128" i="1"/>
  <c r="N130" i="1"/>
  <c r="N131" i="1"/>
  <c r="N132" i="1"/>
  <c r="N133" i="1"/>
  <c r="N134" i="1"/>
  <c r="N135" i="1"/>
  <c r="N136" i="1"/>
  <c r="N137" i="1"/>
  <c r="N138" i="1"/>
  <c r="N139" i="1"/>
  <c r="N140" i="1"/>
  <c r="N124" i="1"/>
  <c r="N141" i="1" l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07" i="1"/>
  <c r="N123" i="1" l="1"/>
  <c r="N98" i="1"/>
  <c r="N99" i="1"/>
  <c r="N100" i="1"/>
  <c r="N101" i="1"/>
  <c r="N102" i="1"/>
  <c r="N103" i="1"/>
  <c r="N104" i="1"/>
  <c r="N105" i="1"/>
  <c r="N97" i="1"/>
  <c r="N106" i="1" l="1"/>
  <c r="N60" i="1"/>
  <c r="N61" i="1"/>
  <c r="N62" i="1"/>
  <c r="N63" i="1"/>
  <c r="N64" i="1"/>
  <c r="N65" i="1"/>
  <c r="N66" i="1"/>
  <c r="N67" i="1"/>
  <c r="N68" i="1"/>
  <c r="N59" i="1"/>
  <c r="N69" i="1" l="1"/>
  <c r="N196" i="1"/>
  <c r="N197" i="1"/>
  <c r="N198" i="1"/>
  <c r="N199" i="1"/>
  <c r="N200" i="1"/>
  <c r="N201" i="1"/>
  <c r="N202" i="1"/>
  <c r="N195" i="1"/>
  <c r="N204" i="1" l="1"/>
  <c r="L196" i="1"/>
  <c r="L197" i="1"/>
  <c r="L198" i="1"/>
  <c r="L199" i="1"/>
  <c r="L200" i="1"/>
  <c r="L201" i="1"/>
  <c r="L202" i="1"/>
  <c r="L195" i="1"/>
  <c r="L204" i="1" l="1"/>
  <c r="N143" i="1"/>
  <c r="N144" i="1"/>
  <c r="N145" i="1"/>
  <c r="N146" i="1"/>
  <c r="N147" i="1"/>
  <c r="N148" i="1"/>
  <c r="N149" i="1"/>
  <c r="N142" i="1"/>
  <c r="N150" i="1" l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78" i="1"/>
  <c r="N194" i="1" l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78" i="1"/>
  <c r="L194" i="1" l="1"/>
  <c r="L143" i="1"/>
  <c r="L144" i="1"/>
  <c r="L145" i="1"/>
  <c r="L146" i="1"/>
  <c r="L147" i="1"/>
  <c r="L148" i="1"/>
  <c r="L149" i="1"/>
  <c r="L142" i="1"/>
  <c r="L150" i="1" l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07" i="1"/>
  <c r="L123" i="1" l="1"/>
  <c r="L60" i="1"/>
  <c r="L61" i="1"/>
  <c r="L62" i="1"/>
  <c r="L63" i="1"/>
  <c r="L64" i="1"/>
  <c r="L65" i="1"/>
  <c r="L66" i="1"/>
  <c r="L67" i="1"/>
  <c r="L68" i="1"/>
  <c r="L59" i="1"/>
  <c r="L69" i="1" l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0" i="1"/>
  <c r="N96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4" i="1"/>
  <c r="N58" i="1" l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05" i="1"/>
  <c r="N240" i="1" l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5" i="1"/>
  <c r="L236" i="1"/>
  <c r="L237" i="1"/>
  <c r="L238" i="1"/>
  <c r="L239" i="1"/>
  <c r="L205" i="1"/>
  <c r="L240" i="1" l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24" i="1"/>
  <c r="L141" i="1" l="1"/>
  <c r="L98" i="1"/>
  <c r="L99" i="1"/>
  <c r="L100" i="1"/>
  <c r="L101" i="1"/>
  <c r="L102" i="1"/>
  <c r="L103" i="1"/>
  <c r="L104" i="1"/>
  <c r="L105" i="1"/>
  <c r="L97" i="1"/>
  <c r="L106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51" i="1"/>
  <c r="L177" i="1" l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0" i="1"/>
  <c r="L96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" i="1"/>
  <c r="L58" i="1" l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5" i="1"/>
  <c r="C236" i="1"/>
  <c r="C237" i="1"/>
  <c r="C238" i="1"/>
  <c r="C239" i="1"/>
  <c r="C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5" i="1"/>
  <c r="B236" i="1"/>
  <c r="B237" i="1"/>
  <c r="B238" i="1"/>
  <c r="B239" i="1"/>
  <c r="B205" i="1"/>
  <c r="C196" i="1"/>
  <c r="C197" i="1"/>
  <c r="C198" i="1"/>
  <c r="C199" i="1"/>
  <c r="C200" i="1"/>
  <c r="C201" i="1"/>
  <c r="C202" i="1"/>
  <c r="C203" i="1"/>
  <c r="C195" i="1"/>
  <c r="B196" i="1"/>
  <c r="B197" i="1"/>
  <c r="B198" i="1"/>
  <c r="B199" i="1"/>
  <c r="B200" i="1"/>
  <c r="B201" i="1"/>
  <c r="B202" i="1"/>
  <c r="B203" i="1"/>
  <c r="B195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78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51" i="1"/>
  <c r="C176" i="1"/>
  <c r="F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F169" i="1" s="1"/>
  <c r="C168" i="1"/>
  <c r="F168" i="1" s="1"/>
  <c r="C167" i="1"/>
  <c r="F167" i="1" s="1"/>
  <c r="C166" i="1"/>
  <c r="F166" i="1" s="1"/>
  <c r="C165" i="1"/>
  <c r="F165" i="1" s="1"/>
  <c r="C164" i="1"/>
  <c r="F164" i="1" s="1"/>
  <c r="C163" i="1"/>
  <c r="F163" i="1" s="1"/>
  <c r="C162" i="1"/>
  <c r="F162" i="1" s="1"/>
  <c r="C161" i="1"/>
  <c r="F161" i="1" s="1"/>
  <c r="C160" i="1"/>
  <c r="F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F153" i="1" s="1"/>
  <c r="C152" i="1"/>
  <c r="F152" i="1" s="1"/>
  <c r="C151" i="1"/>
  <c r="F151" i="1" s="1"/>
  <c r="E143" i="1"/>
  <c r="E144" i="1"/>
  <c r="E145" i="1"/>
  <c r="E146" i="1"/>
  <c r="E147" i="1"/>
  <c r="E148" i="1"/>
  <c r="E149" i="1"/>
  <c r="E142" i="1"/>
  <c r="C149" i="1"/>
  <c r="F149" i="1" s="1"/>
  <c r="C148" i="1"/>
  <c r="F148" i="1" s="1"/>
  <c r="C147" i="1"/>
  <c r="F147" i="1" s="1"/>
  <c r="C146" i="1"/>
  <c r="F146" i="1" s="1"/>
  <c r="C145" i="1"/>
  <c r="F145" i="1" s="1"/>
  <c r="C144" i="1"/>
  <c r="F144" i="1" s="1"/>
  <c r="C143" i="1"/>
  <c r="F143" i="1" s="1"/>
  <c r="C142" i="1"/>
  <c r="F142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24" i="1"/>
  <c r="C140" i="1"/>
  <c r="F140" i="1" s="1"/>
  <c r="C139" i="1"/>
  <c r="F139" i="1" s="1"/>
  <c r="C138" i="1"/>
  <c r="F138" i="1" s="1"/>
  <c r="C137" i="1"/>
  <c r="F137" i="1" s="1"/>
  <c r="C136" i="1"/>
  <c r="F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C126" i="1"/>
  <c r="F126" i="1" s="1"/>
  <c r="C125" i="1"/>
  <c r="F125" i="1" s="1"/>
  <c r="C124" i="1"/>
  <c r="F124" i="1" s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07" i="1"/>
  <c r="F98" i="1"/>
  <c r="F99" i="1"/>
  <c r="F100" i="1"/>
  <c r="F101" i="1"/>
  <c r="F97" i="1"/>
  <c r="E98" i="1"/>
  <c r="E99" i="1"/>
  <c r="E100" i="1"/>
  <c r="E101" i="1"/>
  <c r="E102" i="1"/>
  <c r="E103" i="1"/>
  <c r="E104" i="1"/>
  <c r="E105" i="1"/>
  <c r="E97" i="1"/>
  <c r="D100" i="1"/>
  <c r="D103" i="1"/>
  <c r="C105" i="1"/>
  <c r="F105" i="1" s="1"/>
  <c r="C104" i="1"/>
  <c r="F104" i="1" s="1"/>
  <c r="C103" i="1"/>
  <c r="F103" i="1" s="1"/>
  <c r="C102" i="1"/>
  <c r="F102" i="1" s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F60" i="1"/>
  <c r="F61" i="1"/>
  <c r="F62" i="1"/>
  <c r="F63" i="1"/>
  <c r="F64" i="1"/>
  <c r="F65" i="1"/>
  <c r="F66" i="1"/>
  <c r="F67" i="1"/>
  <c r="F68" i="1"/>
  <c r="F59" i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>
  <authors>
    <author>Author</author>
  </authors>
  <commentList>
    <comment ref="I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CO2 compositions in hydrate phase are approximate.
39+0.4    39-0.4
58+1.4    58-1.4</t>
        </r>
      </text>
    </comment>
  </commentList>
</comments>
</file>

<file path=xl/sharedStrings.xml><?xml version="1.0" encoding="utf-8"?>
<sst xmlns="http://schemas.openxmlformats.org/spreadsheetml/2006/main" count="329" uniqueCount="156">
  <si>
    <t>Vapor Comp.</t>
  </si>
  <si>
    <t>CO2 (%)</t>
  </si>
  <si>
    <t>N2 (%)</t>
  </si>
  <si>
    <t>Feed Comp.</t>
  </si>
  <si>
    <t>H2O (%)</t>
  </si>
  <si>
    <t>Eq. Conditions</t>
  </si>
  <si>
    <t>Temp (K)</t>
  </si>
  <si>
    <t>Press. (MPa)</t>
  </si>
  <si>
    <t>H. Comp. at eq.</t>
  </si>
  <si>
    <t>V. Comp. at eq.</t>
  </si>
  <si>
    <t>2001-1- Kang (T=272.85-284.25 , P=1.394-32.308 , yco2=0-1)</t>
  </si>
  <si>
    <t>2017-3- Sadeq (T=275.75-284.45 , P=5-20 , yco2=0.26-0.36)</t>
  </si>
  <si>
    <t>2008-1- Bruusgaard (T=275.2-283.1 , P=1.6-22.4 , yco2=0-1)</t>
  </si>
  <si>
    <t>1991-1- Fan &amp; Guo (T=273.1-280.2 , P=1.22-3.09 , yco2=0.9099-0.9652)</t>
  </si>
  <si>
    <t>2011-4- Herri (T=273.4-281.1 , P=5.3-6.6 , yco2=0.16-0.59)</t>
  </si>
  <si>
    <t>2015-10- Sun (T=273.4-278.4 , P=5.28-17.53 , yco2=0.101-0.251)</t>
  </si>
  <si>
    <t>2011-16- Bouchafaa (T=273.2-284.4 , P=3.07-13.99 , yco2=0.1-0.5)</t>
  </si>
  <si>
    <t>2002-2- Seo (T=274-280 , P=1.394-32.308 , yco2=0-1)</t>
  </si>
  <si>
    <t>2011-2- Kim (T=276.88-285.4 , P=5-20 , yco2=0.841-0.906)</t>
  </si>
  <si>
    <t>2012-1- Sfaxi (T=278.1-285.3 , P=3.24-29.92 , yco2=0.250-0.812)</t>
  </si>
  <si>
    <t>2011-1- Belanderia (T=273.6-281.7 , P=2.032-17.628 , yco2=0.271-0.757)</t>
  </si>
  <si>
    <t>R.E</t>
  </si>
  <si>
    <t>Peq</t>
  </si>
  <si>
    <t>with fitting</t>
  </si>
  <si>
    <t>S 1</t>
  </si>
  <si>
    <t>Ruffine 2010- CO2 Pure</t>
  </si>
  <si>
    <t>Sabil 2010- CO2 Pure</t>
  </si>
  <si>
    <t>van Cleeff and Diepen 1960- N2 Pure</t>
  </si>
  <si>
    <t>Jhaveri and Robinson 1965- N2 Pure</t>
  </si>
  <si>
    <t>Herri</t>
  </si>
  <si>
    <t>Bruusgaard</t>
  </si>
  <si>
    <t>Kang</t>
  </si>
  <si>
    <t>Sadeq</t>
  </si>
  <si>
    <t>[167.95 128.27 2.9663 3.1713]</t>
  </si>
  <si>
    <t>T (K)</t>
  </si>
  <si>
    <t>Ppre (Mpa)</t>
  </si>
  <si>
    <t>Pexp (Mpa)</t>
  </si>
  <si>
    <t>y(CO2)=0.9659</t>
  </si>
  <si>
    <t>y(CO2)=0.778</t>
  </si>
  <si>
    <t>y(CO2)=0.482</t>
  </si>
  <si>
    <t>y(CO2)=0.176</t>
  </si>
  <si>
    <t>y(CO2)=0.116</t>
  </si>
  <si>
    <t>y(CO2)=0.066</t>
  </si>
  <si>
    <t>y(CO2)</t>
  </si>
  <si>
    <t>T=274 K</t>
  </si>
  <si>
    <t>T=277 K</t>
  </si>
  <si>
    <t>T=280 K</t>
  </si>
  <si>
    <t>Y(CO2)H</t>
  </si>
  <si>
    <t>y(CO2)v</t>
  </si>
  <si>
    <t>y(CO2)=0.9652</t>
  </si>
  <si>
    <t>y(CO2)=0.9099</t>
  </si>
  <si>
    <t>y(CO2)=0.101</t>
  </si>
  <si>
    <t>y(CO2)=0.18</t>
  </si>
  <si>
    <t>y(CO2)=0.251</t>
  </si>
  <si>
    <t>T=275 K</t>
  </si>
  <si>
    <t>T=281 K</t>
  </si>
  <si>
    <t>T=275K</t>
  </si>
  <si>
    <t>y(CO2)=0.75</t>
  </si>
  <si>
    <t>y(CO2)=0.5</t>
  </si>
  <si>
    <t>y(CO2)=0.2</t>
  </si>
  <si>
    <t>Olsen 1991 (T=273.4-281.9  , P=1.986-9.55 , yco2=0.2-0.75)</t>
  </si>
  <si>
    <t>Legoix 2018-1 (T=  , P= , yco2=0.2-0.75)</t>
  </si>
  <si>
    <t>Lee 2014-9- N2 pure</t>
  </si>
  <si>
    <t>Linga 2007 (T=  , P= , yco2=0.2-0.75)</t>
  </si>
  <si>
    <t>SII</t>
  </si>
  <si>
    <t>SI</t>
  </si>
  <si>
    <t>0.96 (0.07)</t>
  </si>
  <si>
    <t>0.95 (0.05)</t>
  </si>
  <si>
    <t>0.6 (0.1)</t>
  </si>
  <si>
    <t>0.5 (0.3)</t>
  </si>
  <si>
    <t>0.6 (0.2)</t>
  </si>
  <si>
    <t>2.8 (0.2)</t>
  </si>
  <si>
    <t>2.4 (0.5)</t>
  </si>
  <si>
    <t>2.3 (0.5)</t>
  </si>
  <si>
    <t>2.1 (0.3)</t>
  </si>
  <si>
    <t>2.6 (0.5)</t>
  </si>
  <si>
    <t>not dissociated</t>
  </si>
  <si>
    <t>-</t>
  </si>
  <si>
    <t>0.9 (0.1)</t>
  </si>
  <si>
    <t>7.2 (1.0)</t>
  </si>
  <si>
    <t>8.1 (1.0)</t>
  </si>
  <si>
    <t>1.0 (0.1)</t>
  </si>
  <si>
    <t>6.2 (0.8)</t>
  </si>
  <si>
    <t>1.4 (0.1)</t>
  </si>
  <si>
    <t>10.1 (0.4)</t>
  </si>
  <si>
    <t>Dissociated</t>
  </si>
  <si>
    <t>3.6 (0.2)</t>
  </si>
  <si>
    <t>21 (3)</t>
  </si>
  <si>
    <t>3.9 (0.1)</t>
  </si>
  <si>
    <t>20 (2)</t>
  </si>
  <si>
    <t>5.2 (0.1)</t>
  </si>
  <si>
    <t>25 (1)</t>
  </si>
  <si>
    <t>5.9 (0.1)</t>
  </si>
  <si>
    <t>23.6 (0.6)</t>
  </si>
  <si>
    <t>5.6 (0.3)</t>
  </si>
  <si>
    <t>27 (5)</t>
  </si>
  <si>
    <t>6.1 (0.2)</t>
  </si>
  <si>
    <t>26 (2)</t>
  </si>
  <si>
    <t>5.68 (0.05)</t>
  </si>
  <si>
    <t>31 (2)</t>
  </si>
  <si>
    <t>6.23 (0.04)</t>
  </si>
  <si>
    <t>6.7 (0.3)</t>
  </si>
  <si>
    <t>33 (1)</t>
  </si>
  <si>
    <t>7.4 (0.3)</t>
  </si>
  <si>
    <t>35.7 (2.6)</t>
  </si>
  <si>
    <t>4.5 (0.1)</t>
  </si>
  <si>
    <t>25.1 (0.5)</t>
  </si>
  <si>
    <t>6.3 (0.1)</t>
  </si>
  <si>
    <t>29.1 (0.5)</t>
  </si>
  <si>
    <t>6.49 (0.01)</t>
  </si>
  <si>
    <t>30.7 (0.6)</t>
  </si>
  <si>
    <t>6.4 (0.7)</t>
  </si>
  <si>
    <t>31.5 (0.8)</t>
  </si>
  <si>
    <t>33 (3)</t>
  </si>
  <si>
    <t>7.9 (0.4)</t>
  </si>
  <si>
    <t>39 (2)</t>
  </si>
  <si>
    <t>8.3 (0.4)</t>
  </si>
  <si>
    <t>40 (1)</t>
  </si>
  <si>
    <t>4.3 (0.1)</t>
  </si>
  <si>
    <t>25 (2)</t>
  </si>
  <si>
    <t>4.7 (0.4)</t>
  </si>
  <si>
    <t>22.1 (0.8)</t>
  </si>
  <si>
    <t>5.6 (0.6)</t>
  </si>
  <si>
    <t>28 (1)</t>
  </si>
  <si>
    <t>5.8 (0.1)</t>
  </si>
  <si>
    <t>31 (1)</t>
  </si>
  <si>
    <t>6.8 (0.1)</t>
  </si>
  <si>
    <t>32.7 (0.9)</t>
  </si>
  <si>
    <t>16.1 (0.3)</t>
  </si>
  <si>
    <t>57 (1)</t>
  </si>
  <si>
    <t>15.8 (0.2)</t>
  </si>
  <si>
    <t>56.4 (0.8)</t>
  </si>
  <si>
    <t>14.9 (0.5)</t>
  </si>
  <si>
    <t>56.3 (0.7)</t>
  </si>
  <si>
    <t>14.7 (0.4)</t>
  </si>
  <si>
    <t>54 (1)</t>
  </si>
  <si>
    <t>15.8 (0.5)</t>
  </si>
  <si>
    <t>59.7 (0.1)</t>
  </si>
  <si>
    <t>27.60 (0.03)</t>
  </si>
  <si>
    <t>71 (1)</t>
  </si>
  <si>
    <t>29.8 (0.4)</t>
  </si>
  <si>
    <t>71.6 (0.6)</t>
  </si>
  <si>
    <t>44.9 (0.8)</t>
  </si>
  <si>
    <t>86 (1)</t>
  </si>
  <si>
    <t>83 (2)</t>
  </si>
  <si>
    <t>42 (2)</t>
  </si>
  <si>
    <t>83 (1)</t>
  </si>
  <si>
    <t>Chazallon and Pirim 2018 (T=270.5-278.8  , P=3.6-16.5, yco2=0.01-0.7)</t>
  </si>
  <si>
    <t>S.F.</t>
  </si>
  <si>
    <t>y(CO2)=0.36</t>
  </si>
  <si>
    <t>y(CO2)=0.26</t>
  </si>
  <si>
    <t>y(CO2)=0.1</t>
  </si>
  <si>
    <t>Lee 2014-9 (T=275-281.1  , P=8.23-24.51 , yco2=0.2-0.75)</t>
  </si>
  <si>
    <t>% CO2 asli , N2 fit ba pure</t>
  </si>
  <si>
    <t>N2 asli , CO2 fit ba pure</t>
  </si>
  <si>
    <t>fit ba 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</si>
</sst>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3" xfId="0" applyNumberFormat="1" applyFont="1" applyBorder="1" applyAlignment="1" applyProtection="1">
      <alignment horizontal="center" vertical="center" wrapText="1"/>
      <protection locked="0"/>
    </xf>
    <xf numFmtId="164" fontId="0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3" borderId="9" xfId="0" applyNumberFormat="1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0" xfId="0" applyBorder="1"/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3" borderId="22" xfId="0" applyNumberFormat="1" applyFont="1" applyFill="1" applyBorder="1" applyAlignment="1" applyProtection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5" borderId="0" xfId="0" applyFill="1"/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9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0" borderId="0" xfId="0" applyBorder="1"/>
    <xf numFmtId="0" fontId="0" fillId="5" borderId="0" xfId="0" applyFill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6" borderId="0" xfId="0" applyFill="1"/>
    <xf numFmtId="0" fontId="0" fillId="6" borderId="7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0" xfId="0" applyFill="1" applyBorder="1" applyAlignment="1">
      <alignment horizontal="center"/>
    </xf>
    <xf numFmtId="0" fontId="0" fillId="7" borderId="4" xfId="0" applyFill="1" applyBorder="1"/>
    <xf numFmtId="0" fontId="0" fillId="7" borderId="3" xfId="0" applyFill="1" applyBorder="1" applyAlignment="1"/>
    <xf numFmtId="0" fontId="0" fillId="7" borderId="0" xfId="0" applyFill="1" applyBorder="1" applyAlignment="1"/>
    <xf numFmtId="0" fontId="1" fillId="7" borderId="3" xfId="0" applyFont="1" applyFill="1" applyBorder="1"/>
    <xf numFmtId="0" fontId="1" fillId="7" borderId="0" xfId="0" applyFont="1" applyFill="1" applyBorder="1"/>
    <xf numFmtId="0" fontId="0" fillId="7" borderId="0" xfId="0" applyFill="1" applyBorder="1"/>
    <xf numFmtId="0" fontId="0" fillId="7" borderId="3" xfId="0" applyFill="1" applyBorder="1"/>
    <xf numFmtId="164" fontId="0" fillId="7" borderId="3" xfId="0" applyNumberFormat="1" applyFill="1" applyBorder="1"/>
    <xf numFmtId="164" fontId="1" fillId="7" borderId="3" xfId="0" applyNumberFormat="1" applyFont="1" applyFill="1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Font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 applyProtection="1">
      <alignment horizontal="center" vertical="center" wrapText="1"/>
      <protection locked="0"/>
    </xf>
    <xf numFmtId="0" fontId="0" fillId="0" borderId="10" xfId="0" applyBorder="1"/>
    <xf numFmtId="0" fontId="0" fillId="0" borderId="12" xfId="0" applyBorder="1"/>
    <xf numFmtId="164" fontId="0" fillId="0" borderId="19" xfId="0" applyNumberFormat="1" applyFont="1" applyBorder="1" applyAlignment="1" applyProtection="1">
      <alignment horizontal="center" vertical="center" wrapText="1"/>
      <protection locked="0"/>
    </xf>
    <xf numFmtId="164" fontId="0" fillId="0" borderId="20" xfId="0" applyNumberFormat="1" applyFont="1" applyBorder="1" applyAlignment="1" applyProtection="1">
      <alignment horizontal="center" vertical="center" wrapText="1"/>
      <protection locked="0"/>
    </xf>
    <xf numFmtId="164" fontId="0" fillId="0" borderId="21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19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6" xfId="0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/>
    <xf numFmtId="164" fontId="0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0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Font="1" applyFill="1" applyBorder="1" applyAlignment="1" applyProtection="1">
      <alignment horizontal="center" vertical="center" wrapText="1"/>
      <protection locked="0"/>
    </xf>
    <xf numFmtId="164" fontId="0" fillId="0" borderId="25" xfId="0" applyNumberFormat="1" applyFont="1" applyBorder="1" applyAlignment="1" applyProtection="1">
      <alignment horizontal="center" vertical="center" wrapText="1"/>
      <protection locked="0"/>
    </xf>
    <xf numFmtId="0" fontId="0" fillId="0" borderId="26" xfId="0" applyFont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164" fontId="0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2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0" xfId="0" applyFill="1"/>
    <xf numFmtId="0" fontId="0" fillId="9" borderId="0" xfId="0" applyFont="1" applyFill="1" applyAlignment="1" applyProtection="1">
      <alignment horizontal="center" vertical="center" wrapText="1"/>
      <protection locked="0"/>
    </xf>
    <xf numFmtId="0" fontId="0" fillId="9" borderId="0" xfId="0" applyFill="1"/>
    <xf numFmtId="2" fontId="0" fillId="0" borderId="0" xfId="0" applyNumberFormat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14" xfId="0" applyNumberForma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4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Model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'pure CO2'!$D$2:$D$21</c:f>
              <c:numCache>
                <c:formatCode>General</c:formatCode>
                <c:ptCount val="20"/>
                <c:pt idx="0">
                  <c:v>275.02999999999997</c:v>
                </c:pt>
                <c:pt idx="1">
                  <c:v>275.12</c:v>
                </c:pt>
                <c:pt idx="2">
                  <c:v>275.14999999999998</c:v>
                </c:pt>
                <c:pt idx="3">
                  <c:v>275.27</c:v>
                </c:pt>
                <c:pt idx="4">
                  <c:v>275.72000000000003</c:v>
                </c:pt>
                <c:pt idx="5">
                  <c:v>276.39</c:v>
                </c:pt>
                <c:pt idx="6">
                  <c:v>276.73</c:v>
                </c:pt>
                <c:pt idx="7">
                  <c:v>276.88</c:v>
                </c:pt>
                <c:pt idx="8">
                  <c:v>277.83</c:v>
                </c:pt>
                <c:pt idx="9">
                  <c:v>278.52999999999997</c:v>
                </c:pt>
                <c:pt idx="10">
                  <c:v>278.99</c:v>
                </c:pt>
                <c:pt idx="11">
                  <c:v>279.75</c:v>
                </c:pt>
                <c:pt idx="12">
                  <c:v>279.94</c:v>
                </c:pt>
                <c:pt idx="13">
                  <c:v>280.70999999999998</c:v>
                </c:pt>
                <c:pt idx="14">
                  <c:v>281.36</c:v>
                </c:pt>
                <c:pt idx="15">
                  <c:v>281.42</c:v>
                </c:pt>
                <c:pt idx="16">
                  <c:v>282.06</c:v>
                </c:pt>
                <c:pt idx="17">
                  <c:v>282.41000000000003</c:v>
                </c:pt>
                <c:pt idx="18">
                  <c:v>282.76</c:v>
                </c:pt>
                <c:pt idx="19">
                  <c:v>282.89999999999998</c:v>
                </c:pt>
              </c:numCache>
            </c:numRef>
          </c:xVal>
          <c:yVal>
            <c:numRef>
              <c:f>'pure CO2'!$E$2:$E$21</c:f>
              <c:numCache>
                <c:formatCode>General</c:formatCode>
                <c:ptCount val="20"/>
                <c:pt idx="0">
                  <c:v>1.7448697105425699</c:v>
                </c:pt>
                <c:pt idx="1">
                  <c:v>1.7588685763247565</c:v>
                </c:pt>
                <c:pt idx="2">
                  <c:v>1.763558768265419</c:v>
                </c:pt>
                <c:pt idx="3">
                  <c:v>1.782452112393436</c:v>
                </c:pt>
                <c:pt idx="4">
                  <c:v>1.8549793040702904</c:v>
                </c:pt>
                <c:pt idx="5">
                  <c:v>1.9682217986106518</c:v>
                </c:pt>
                <c:pt idx="6">
                  <c:v>2.0281387812913154</c:v>
                </c:pt>
                <c:pt idx="7">
                  <c:v>2.0551198463220088</c:v>
                </c:pt>
                <c:pt idx="8">
                  <c:v>2.2339218665304226</c:v>
                </c:pt>
                <c:pt idx="9">
                  <c:v>2.3747322129985671</c:v>
                </c:pt>
                <c:pt idx="10">
                  <c:v>2.4715736240469441</c:v>
                </c:pt>
                <c:pt idx="11">
                  <c:v>2.639307144488932</c:v>
                </c:pt>
                <c:pt idx="12">
                  <c:v>2.6827659039460148</c:v>
                </c:pt>
                <c:pt idx="13">
                  <c:v>2.8652145287090898</c:v>
                </c:pt>
                <c:pt idx="14">
                  <c:v>3.0271813081758632</c:v>
                </c:pt>
                <c:pt idx="15">
                  <c:v>3.0424970067012693</c:v>
                </c:pt>
                <c:pt idx="16">
                  <c:v>3.2096719165997301</c:v>
                </c:pt>
                <c:pt idx="17">
                  <c:v>3.3040256543427495</c:v>
                </c:pt>
                <c:pt idx="18">
                  <c:v>3.4003825886912851</c:v>
                </c:pt>
                <c:pt idx="19">
                  <c:v>3.439468669867503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4D-4EDD-809B-1469689F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scatterChart>
        <c:scatterStyle val="lineMarker"/>
        <c:varyColors val="0"/>
        <c:ser>
          <c:idx val="0"/>
          <c:order val="0"/>
          <c:tx>
            <c:v>Exp. Data [Ruffine]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'pure CO2'!$A$2:$A$11</c:f>
              <c:numCache>
                <c:formatCode>General</c:formatCode>
                <c:ptCount val="10"/>
                <c:pt idx="0">
                  <c:v>275.02999999999997</c:v>
                </c:pt>
                <c:pt idx="1">
                  <c:v>275.14999999999998</c:v>
                </c:pt>
                <c:pt idx="2">
                  <c:v>275.27</c:v>
                </c:pt>
                <c:pt idx="3">
                  <c:v>275.72000000000003</c:v>
                </c:pt>
                <c:pt idx="4">
                  <c:v>276.39</c:v>
                </c:pt>
                <c:pt idx="5">
                  <c:v>276.73</c:v>
                </c:pt>
                <c:pt idx="6">
                  <c:v>278.52999999999997</c:v>
                </c:pt>
                <c:pt idx="7">
                  <c:v>279.75</c:v>
                </c:pt>
                <c:pt idx="8">
                  <c:v>281.36</c:v>
                </c:pt>
                <c:pt idx="9">
                  <c:v>282.76</c:v>
                </c:pt>
              </c:numCache>
            </c:numRef>
          </c:xVal>
          <c:yVal>
            <c:numRef>
              <c:f>'pure CO2'!$B$2:$B$11</c:f>
              <c:numCache>
                <c:formatCode>General</c:formatCode>
                <c:ptCount val="10"/>
                <c:pt idx="0">
                  <c:v>1.502</c:v>
                </c:pt>
                <c:pt idx="1">
                  <c:v>1.653</c:v>
                </c:pt>
                <c:pt idx="2">
                  <c:v>1.5780000000000001</c:v>
                </c:pt>
                <c:pt idx="3">
                  <c:v>1.7549999999999999</c:v>
                </c:pt>
                <c:pt idx="4">
                  <c:v>1.8160000000000001</c:v>
                </c:pt>
                <c:pt idx="5">
                  <c:v>1.835</c:v>
                </c:pt>
                <c:pt idx="6">
                  <c:v>2.262</c:v>
                </c:pt>
                <c:pt idx="7">
                  <c:v>2.5990000000000002</c:v>
                </c:pt>
                <c:pt idx="8">
                  <c:v>3.3029999999999999</c:v>
                </c:pt>
                <c:pt idx="9">
                  <c:v>4.0789999999999997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D-4EDD-809B-1469689F3131}"/>
            </c:ext>
          </c:extLst>
        </c:ser>
        <c:ser>
          <c:idx val="1"/>
          <c:order val="1"/>
          <c:tx>
            <c:v>Exp. Data [Sabil]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'pure CO2'!$A$12:$A$21</c:f>
              <c:numCache>
                <c:formatCode>General</c:formatCode>
                <c:ptCount val="10"/>
                <c:pt idx="0">
                  <c:v>275.12</c:v>
                </c:pt>
                <c:pt idx="1">
                  <c:v>276.88</c:v>
                </c:pt>
                <c:pt idx="2">
                  <c:v>277.83</c:v>
                </c:pt>
                <c:pt idx="3">
                  <c:v>278.99</c:v>
                </c:pt>
                <c:pt idx="4">
                  <c:v>279.94</c:v>
                </c:pt>
                <c:pt idx="5">
                  <c:v>280.70999999999998</c:v>
                </c:pt>
                <c:pt idx="6">
                  <c:v>281.42</c:v>
                </c:pt>
                <c:pt idx="7">
                  <c:v>282.06</c:v>
                </c:pt>
                <c:pt idx="8">
                  <c:v>282.41000000000003</c:v>
                </c:pt>
                <c:pt idx="9">
                  <c:v>282.89999999999998</c:v>
                </c:pt>
              </c:numCache>
            </c:numRef>
          </c:xVal>
          <c:yVal>
            <c:numRef>
              <c:f>'pure CO2'!$B$12:$B$21</c:f>
              <c:numCache>
                <c:formatCode>General</c:formatCode>
                <c:ptCount val="10"/>
                <c:pt idx="0">
                  <c:v>1.51</c:v>
                </c:pt>
                <c:pt idx="1">
                  <c:v>1.81</c:v>
                </c:pt>
                <c:pt idx="2">
                  <c:v>2.11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D-4EDD-809B-1469689F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valAx>
        <c:axId val="3542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 /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8376"/>
        <c:crosses val="autoZero"/>
        <c:crossBetween val="midCat"/>
      </c:valAx>
      <c:valAx>
        <c:axId val="354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 / MPa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4936"/>
        <c:crosses val="autoZero"/>
        <c:crossBetween val="midCat"/>
        <c:majorUnit val="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2805980912072"/>
          <c:y val="3.4161490683229816E-2"/>
          <c:w val="0.84805451567329404"/>
          <c:h val="0.64470875923118309"/>
        </c:manualLayout>
      </c:layout>
      <c:scatterChart>
        <c:scatterStyle val="lineMarker"/>
        <c:varyColors val="0"/>
        <c:ser>
          <c:idx val="0"/>
          <c:order val="0"/>
          <c:tx>
            <c:v>y(CO2)=0.9652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'Fan-Guo'!$A$3:$A$7</c:f>
              <c:numCache>
                <c:formatCode>General</c:formatCode>
                <c:ptCount val="5"/>
                <c:pt idx="0">
                  <c:v>273.10000000000002</c:v>
                </c:pt>
                <c:pt idx="1">
                  <c:v>274.60000000000002</c:v>
                </c:pt>
                <c:pt idx="2">
                  <c:v>278.3</c:v>
                </c:pt>
                <c:pt idx="3">
                  <c:v>279.39999999999998</c:v>
                </c:pt>
                <c:pt idx="4">
                  <c:v>280.2</c:v>
                </c:pt>
              </c:numCache>
            </c:numRef>
          </c:xVal>
          <c:yVal>
            <c:numRef>
              <c:f>'Fan-Guo'!$B$3:$B$7</c:f>
              <c:numCache>
                <c:formatCode>General</c:formatCode>
                <c:ptCount val="5"/>
                <c:pt idx="0">
                  <c:v>1.22</c:v>
                </c:pt>
                <c:pt idx="1">
                  <c:v>1.54</c:v>
                </c:pt>
                <c:pt idx="2">
                  <c:v>2.42</c:v>
                </c:pt>
                <c:pt idx="3">
                  <c:v>2.89</c:v>
                </c:pt>
                <c:pt idx="4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1-48E4-A86F-36566F1D9D0C}"/>
            </c:ext>
          </c:extLst>
        </c:ser>
        <c:ser>
          <c:idx val="1"/>
          <c:order val="1"/>
          <c:tx>
            <c:v>y(CO2)=0.9099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'Fan-Guo'!$C$3:$C$6</c:f>
              <c:numCache>
                <c:formatCode>General</c:formatCode>
                <c:ptCount val="4"/>
                <c:pt idx="0">
                  <c:v>273.39999999999998</c:v>
                </c:pt>
                <c:pt idx="1">
                  <c:v>274.10000000000002</c:v>
                </c:pt>
                <c:pt idx="2">
                  <c:v>276.7</c:v>
                </c:pt>
                <c:pt idx="3">
                  <c:v>279.10000000000002</c:v>
                </c:pt>
              </c:numCache>
            </c:numRef>
          </c:xVal>
          <c:yVal>
            <c:numRef>
              <c:f>'Fan-Guo'!$D$3:$D$6</c:f>
              <c:numCache>
                <c:formatCode>General</c:formatCode>
                <c:ptCount val="4"/>
                <c:pt idx="0">
                  <c:v>1.37</c:v>
                </c:pt>
                <c:pt idx="1">
                  <c:v>1.53</c:v>
                </c:pt>
                <c:pt idx="2">
                  <c:v>1.89</c:v>
                </c:pt>
                <c:pt idx="3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1-48E4-A86F-36566F1D9D0C}"/>
            </c:ext>
          </c:extLst>
        </c:ser>
        <c:ser>
          <c:idx val="2"/>
          <c:order val="2"/>
          <c:tx>
            <c:v>y(CO2)=0.101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Sun!$A$3:$A$7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274.5</c:v>
                </c:pt>
                <c:pt idx="2">
                  <c:v>275.3</c:v>
                </c:pt>
                <c:pt idx="3">
                  <c:v>275.8</c:v>
                </c:pt>
                <c:pt idx="4">
                  <c:v>276.8</c:v>
                </c:pt>
              </c:numCache>
            </c:numRef>
          </c:xVal>
          <c:yVal>
            <c:numRef>
              <c:f>Sun!$B$3:$B$7</c:f>
              <c:numCache>
                <c:formatCode>General</c:formatCode>
                <c:ptCount val="5"/>
                <c:pt idx="0">
                  <c:v>12.02</c:v>
                </c:pt>
                <c:pt idx="1">
                  <c:v>13.43</c:v>
                </c:pt>
                <c:pt idx="2">
                  <c:v>14.71</c:v>
                </c:pt>
                <c:pt idx="3">
                  <c:v>15.62</c:v>
                </c:pt>
                <c:pt idx="4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1-48E4-A86F-36566F1D9D0C}"/>
            </c:ext>
          </c:extLst>
        </c:ser>
        <c:ser>
          <c:idx val="3"/>
          <c:order val="3"/>
          <c:tx>
            <c:v>y(CO2)=0.18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Sun!$C$3:$C$8</c:f>
              <c:numCache>
                <c:formatCode>General</c:formatCode>
                <c:ptCount val="6"/>
                <c:pt idx="0">
                  <c:v>273.5</c:v>
                </c:pt>
                <c:pt idx="1">
                  <c:v>274.39999999999998</c:v>
                </c:pt>
                <c:pt idx="2">
                  <c:v>275.5</c:v>
                </c:pt>
                <c:pt idx="3">
                  <c:v>276.3</c:v>
                </c:pt>
                <c:pt idx="4">
                  <c:v>276.8</c:v>
                </c:pt>
                <c:pt idx="5">
                  <c:v>277.39999999999998</c:v>
                </c:pt>
              </c:numCache>
            </c:numRef>
          </c:xVal>
          <c:yVal>
            <c:numRef>
              <c:f>Sun!$D$3:$D$8</c:f>
              <c:numCache>
                <c:formatCode>General</c:formatCode>
                <c:ptCount val="6"/>
                <c:pt idx="0">
                  <c:v>7.24</c:v>
                </c:pt>
                <c:pt idx="1">
                  <c:v>8.23</c:v>
                </c:pt>
                <c:pt idx="2">
                  <c:v>9.7200000000000006</c:v>
                </c:pt>
                <c:pt idx="3">
                  <c:v>11.03</c:v>
                </c:pt>
                <c:pt idx="4">
                  <c:v>11.84</c:v>
                </c:pt>
                <c:pt idx="5">
                  <c:v>12.91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1-48E4-A86F-36566F1D9D0C}"/>
            </c:ext>
          </c:extLst>
        </c:ser>
        <c:ser>
          <c:idx val="4"/>
          <c:order val="4"/>
          <c:tx>
            <c:v>y(CO2)=0.251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Sun!$E$3:$E$8</c:f>
              <c:numCache>
                <c:formatCode>General</c:formatCode>
                <c:ptCount val="6"/>
                <c:pt idx="0">
                  <c:v>273.60000000000002</c:v>
                </c:pt>
                <c:pt idx="1">
                  <c:v>274.8</c:v>
                </c:pt>
                <c:pt idx="2">
                  <c:v>275.89999999999998</c:v>
                </c:pt>
                <c:pt idx="3">
                  <c:v>276.8</c:v>
                </c:pt>
                <c:pt idx="4">
                  <c:v>277.60000000000002</c:v>
                </c:pt>
                <c:pt idx="5">
                  <c:v>278.39999999999998</c:v>
                </c:pt>
              </c:numCache>
            </c:numRef>
          </c:xVal>
          <c:yVal>
            <c:numRef>
              <c:f>Sun!$F$3:$F$8</c:f>
              <c:numCache>
                <c:formatCode>General</c:formatCode>
                <c:ptCount val="6"/>
                <c:pt idx="0">
                  <c:v>5.28</c:v>
                </c:pt>
                <c:pt idx="1">
                  <c:v>6.42</c:v>
                </c:pt>
                <c:pt idx="2">
                  <c:v>7.29</c:v>
                </c:pt>
                <c:pt idx="3">
                  <c:v>8.43</c:v>
                </c:pt>
                <c:pt idx="4">
                  <c:v>9.39</c:v>
                </c:pt>
                <c:pt idx="5">
                  <c:v>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1-48E4-A86F-36566F1D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scatterChart>
        <c:scatterStyle val="smoothMarker"/>
        <c:varyColors val="0"/>
        <c:ser>
          <c:idx val="6"/>
          <c:order val="5"/>
          <c:tx>
            <c:v>Model, y(CO2)=0.9652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'Fan-Guo'!$A$11:$A$15</c:f>
              <c:numCache>
                <c:formatCode>General</c:formatCode>
                <c:ptCount val="5"/>
                <c:pt idx="0">
                  <c:v>273.10000000000002</c:v>
                </c:pt>
                <c:pt idx="1">
                  <c:v>274.60000000000002</c:v>
                </c:pt>
                <c:pt idx="2">
                  <c:v>278.3</c:v>
                </c:pt>
                <c:pt idx="3">
                  <c:v>279.39999999999998</c:v>
                </c:pt>
                <c:pt idx="4">
                  <c:v>280.2</c:v>
                </c:pt>
              </c:numCache>
            </c:numRef>
          </c:xVal>
          <c:yVal>
            <c:numRef>
              <c:f>'Fan-Guo'!$B$11:$B$15</c:f>
              <c:numCache>
                <c:formatCode>General</c:formatCode>
                <c:ptCount val="5"/>
                <c:pt idx="0">
                  <c:v>1.5211638610312583</c:v>
                </c:pt>
                <c:pt idx="1">
                  <c:v>1.7402113088478686</c:v>
                </c:pt>
                <c:pt idx="2">
                  <c:v>2.4181047894113883</c:v>
                </c:pt>
                <c:pt idx="3">
                  <c:v>2.6630449334062392</c:v>
                </c:pt>
                <c:pt idx="4">
                  <c:v>2.8549590885607867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21-48E4-A86F-36566F1D9D0C}"/>
            </c:ext>
          </c:extLst>
        </c:ser>
        <c:ser>
          <c:idx val="7"/>
          <c:order val="6"/>
          <c:tx>
            <c:v>Model, y(CO2)=0.9099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'Fan-Guo'!$C$11:$C$14</c:f>
              <c:numCache>
                <c:formatCode>General</c:formatCode>
                <c:ptCount val="4"/>
                <c:pt idx="0">
                  <c:v>273.39999999999998</c:v>
                </c:pt>
                <c:pt idx="1">
                  <c:v>274.10000000000002</c:v>
                </c:pt>
                <c:pt idx="2">
                  <c:v>276.7</c:v>
                </c:pt>
                <c:pt idx="3">
                  <c:v>279.10000000000002</c:v>
                </c:pt>
              </c:numCache>
            </c:numRef>
          </c:xVal>
          <c:yVal>
            <c:numRef>
              <c:f>'Fan-Guo'!$D$11:$D$14</c:f>
              <c:numCache>
                <c:formatCode>General</c:formatCode>
                <c:ptCount val="4"/>
                <c:pt idx="0">
                  <c:v>1.6559111813059388</c:v>
                </c:pt>
                <c:pt idx="1">
                  <c:v>1.7643455060267172</c:v>
                </c:pt>
                <c:pt idx="2">
                  <c:v>2.2315024874826643</c:v>
                </c:pt>
                <c:pt idx="3">
                  <c:v>2.7669021396637969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21-48E4-A86F-36566F1D9D0C}"/>
            </c:ext>
          </c:extLst>
        </c:ser>
        <c:ser>
          <c:idx val="8"/>
          <c:order val="7"/>
          <c:tx>
            <c:v>Model, y(CO2)=0.101</c:v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Sun!$A$12:$A$16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274.5</c:v>
                </c:pt>
                <c:pt idx="2">
                  <c:v>275.3</c:v>
                </c:pt>
                <c:pt idx="3">
                  <c:v>275.8</c:v>
                </c:pt>
                <c:pt idx="4">
                  <c:v>276.8</c:v>
                </c:pt>
              </c:numCache>
            </c:numRef>
          </c:xVal>
          <c:yVal>
            <c:numRef>
              <c:f>Sun!$B$12:$B$16</c:f>
              <c:numCache>
                <c:formatCode>General</c:formatCode>
                <c:ptCount val="5"/>
                <c:pt idx="0">
                  <c:v>10.504613199518285</c:v>
                </c:pt>
                <c:pt idx="1">
                  <c:v>12.000951685128262</c:v>
                </c:pt>
                <c:pt idx="2">
                  <c:v>13.282596248787508</c:v>
                </c:pt>
                <c:pt idx="3">
                  <c:v>14.18693349917417</c:v>
                </c:pt>
                <c:pt idx="4">
                  <c:v>16.29983634280293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21-48E4-A86F-36566F1D9D0C}"/>
            </c:ext>
          </c:extLst>
        </c:ser>
        <c:ser>
          <c:idx val="9"/>
          <c:order val="8"/>
          <c:tx>
            <c:v>Model, y(CO2)=0.18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Sun!$C$12:$C$17</c:f>
              <c:numCache>
                <c:formatCode>General</c:formatCode>
                <c:ptCount val="6"/>
                <c:pt idx="0">
                  <c:v>273.5</c:v>
                </c:pt>
                <c:pt idx="1">
                  <c:v>274.39999999999998</c:v>
                </c:pt>
                <c:pt idx="2">
                  <c:v>275.5</c:v>
                </c:pt>
                <c:pt idx="3">
                  <c:v>276.3</c:v>
                </c:pt>
                <c:pt idx="4">
                  <c:v>276.8</c:v>
                </c:pt>
                <c:pt idx="5">
                  <c:v>277.39999999999998</c:v>
                </c:pt>
              </c:numCache>
            </c:numRef>
          </c:xVal>
          <c:yVal>
            <c:numRef>
              <c:f>Sun!$D$12:$D$17</c:f>
              <c:numCache>
                <c:formatCode>General</c:formatCode>
                <c:ptCount val="6"/>
                <c:pt idx="0">
                  <c:v>7.1585788364649066</c:v>
                </c:pt>
                <c:pt idx="1">
                  <c:v>7.9260152018729872</c:v>
                </c:pt>
                <c:pt idx="2">
                  <c:v>9.0140514946169308</c:v>
                </c:pt>
                <c:pt idx="3">
                  <c:v>9.933942804370874</c:v>
                </c:pt>
                <c:pt idx="4">
                  <c:v>10.576117924766816</c:v>
                </c:pt>
                <c:pt idx="5">
                  <c:v>11.428194504982937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21-48E4-A86F-36566F1D9D0C}"/>
            </c:ext>
          </c:extLst>
        </c:ser>
        <c:ser>
          <c:idx val="10"/>
          <c:order val="9"/>
          <c:tx>
            <c:v>Model, y(CO2)=0.251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Sun!$E$12:$E$17</c:f>
              <c:numCache>
                <c:formatCode>General</c:formatCode>
                <c:ptCount val="6"/>
                <c:pt idx="0">
                  <c:v>273.60000000000002</c:v>
                </c:pt>
                <c:pt idx="1">
                  <c:v>274.8</c:v>
                </c:pt>
                <c:pt idx="2">
                  <c:v>275.89999999999998</c:v>
                </c:pt>
                <c:pt idx="3">
                  <c:v>276.8</c:v>
                </c:pt>
                <c:pt idx="4">
                  <c:v>277.60000000000002</c:v>
                </c:pt>
                <c:pt idx="5">
                  <c:v>278.39999999999998</c:v>
                </c:pt>
              </c:numCache>
            </c:numRef>
          </c:xVal>
          <c:yVal>
            <c:numRef>
              <c:f>Sun!$F$12:$F$17</c:f>
              <c:numCache>
                <c:formatCode>General</c:formatCode>
                <c:ptCount val="6"/>
                <c:pt idx="0">
                  <c:v>5.5468531497490137</c:v>
                </c:pt>
                <c:pt idx="1">
                  <c:v>6.3218186945814185</c:v>
                </c:pt>
                <c:pt idx="2">
                  <c:v>7.1521389482219728</c:v>
                </c:pt>
                <c:pt idx="3">
                  <c:v>7.9374332681637156</c:v>
                </c:pt>
                <c:pt idx="4">
                  <c:v>8.7342812118320694</c:v>
                </c:pt>
                <c:pt idx="5">
                  <c:v>9.64594287043092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21-48E4-A86F-36566F1D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valAx>
        <c:axId val="32682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8816"/>
        <c:crosses val="autoZero"/>
        <c:crossBetween val="midCat"/>
      </c:valAx>
      <c:valAx>
        <c:axId val="3268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7832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24978882220605"/>
          <c:y val="0.79715214945957846"/>
          <c:w val="0.85769777946715797"/>
          <c:h val="0.19834364600905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T=275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Bruusgaard!$A$3:$A$9</c:f>
              <c:numCache>
                <c:formatCode>General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0.20999999999999996</c:v>
                </c:pt>
                <c:pt idx="6">
                  <c:v>0</c:v>
                </c:pt>
              </c:numCache>
            </c:numRef>
          </c:xVal>
          <c:yVal>
            <c:numRef>
              <c:f>Bruusgaard!$B$3:$B$9</c:f>
              <c:numCache>
                <c:formatCode>General</c:formatCode>
                <c:ptCount val="7"/>
                <c:pt idx="0">
                  <c:v>1.6</c:v>
                </c:pt>
                <c:pt idx="1">
                  <c:v>2.2000000000000002</c:v>
                </c:pt>
                <c:pt idx="2">
                  <c:v>3.4</c:v>
                </c:pt>
                <c:pt idx="3">
                  <c:v>3.6</c:v>
                </c:pt>
                <c:pt idx="4">
                  <c:v>4</c:v>
                </c:pt>
                <c:pt idx="5">
                  <c:v>7.7</c:v>
                </c:pt>
                <c:pt idx="6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D-455F-981D-3A881F228A74}"/>
            </c:ext>
          </c:extLst>
        </c:ser>
        <c:ser>
          <c:idx val="2"/>
          <c:order val="1"/>
          <c:tx>
            <c:v>T=281 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Bruusgaard!$C$3:$C$6</c:f>
              <c:numCache>
                <c:formatCode>General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0.20999999999999996</c:v>
                </c:pt>
                <c:pt idx="3">
                  <c:v>0.20999999999999996</c:v>
                </c:pt>
              </c:numCache>
            </c:numRef>
          </c:xVal>
          <c:yVal>
            <c:numRef>
              <c:f>Bruusgaard!$D$3:$D$6</c:f>
              <c:numCache>
                <c:formatCode>General</c:formatCode>
                <c:ptCount val="4"/>
                <c:pt idx="0">
                  <c:v>4</c:v>
                </c:pt>
                <c:pt idx="1">
                  <c:v>7.8</c:v>
                </c:pt>
                <c:pt idx="2">
                  <c:v>16</c:v>
                </c:pt>
                <c:pt idx="3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D-455F-981D-3A881F22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69416"/>
        <c:axId val="349874664"/>
      </c:scatterChart>
      <c:scatterChart>
        <c:scatterStyle val="smoothMarker"/>
        <c:varyColors val="0"/>
        <c:ser>
          <c:idx val="1"/>
          <c:order val="2"/>
          <c:tx>
            <c:v>Model, T=275 K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Bruusgaard!$A$13:$A$19</c:f>
              <c:numCache>
                <c:formatCode>0.000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0.20999999999999996</c:v>
                </c:pt>
                <c:pt idx="6">
                  <c:v>0</c:v>
                </c:pt>
              </c:numCache>
            </c:numRef>
          </c:xVal>
          <c:yVal>
            <c:numRef>
              <c:f>Bruusgaard!$B$13:$B$19</c:f>
              <c:numCache>
                <c:formatCode>General</c:formatCode>
                <c:ptCount val="7"/>
                <c:pt idx="0">
                  <c:v>1.7872024662941191</c:v>
                </c:pt>
                <c:pt idx="1">
                  <c:v>2.2388996226171982</c:v>
                </c:pt>
                <c:pt idx="2">
                  <c:v>3.5539301782696526</c:v>
                </c:pt>
                <c:pt idx="3">
                  <c:v>3.5896880855865176</c:v>
                </c:pt>
                <c:pt idx="4">
                  <c:v>3.5185616414162277</c:v>
                </c:pt>
                <c:pt idx="5">
                  <c:v>7.8606511308874172</c:v>
                </c:pt>
                <c:pt idx="6">
                  <c:v>22.382038792266485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D-455F-981D-3A881F228A74}"/>
            </c:ext>
          </c:extLst>
        </c:ser>
        <c:ser>
          <c:idx val="3"/>
          <c:order val="3"/>
          <c:tx>
            <c:v>Model, T=281 K</c:v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Bruusgaard!$C$13:$C$16</c:f>
              <c:numCache>
                <c:formatCode>0.000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0.20999999999999996</c:v>
                </c:pt>
                <c:pt idx="3">
                  <c:v>0.20999999999999996</c:v>
                </c:pt>
              </c:numCache>
            </c:numRef>
          </c:xVal>
          <c:yVal>
            <c:numRef>
              <c:f>Bruusgaard!$D$13:$D$16</c:f>
              <c:numCache>
                <c:formatCode>General</c:formatCode>
                <c:ptCount val="4"/>
                <c:pt idx="0">
                  <c:v>3.791125918690299</c:v>
                </c:pt>
                <c:pt idx="1">
                  <c:v>6.5056465810555411</c:v>
                </c:pt>
                <c:pt idx="2">
                  <c:v>17.199345053066246</c:v>
                </c:pt>
                <c:pt idx="3">
                  <c:v>17.199345052566535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7D-455F-981D-3A881F22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69416"/>
        <c:axId val="349874664"/>
      </c:scatterChart>
      <c:valAx>
        <c:axId val="3498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y(CO2) in vapour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74664"/>
        <c:crosses val="autoZero"/>
        <c:crossBetween val="midCat"/>
      </c:valAx>
      <c:valAx>
        <c:axId val="3498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69416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y(CO2)=0.75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Olsen!$A$3:$A$7</c:f>
              <c:numCache>
                <c:formatCode>General</c:formatCode>
                <c:ptCount val="5"/>
                <c:pt idx="0">
                  <c:v>274.10000000000002</c:v>
                </c:pt>
                <c:pt idx="1">
                  <c:v>277.5</c:v>
                </c:pt>
                <c:pt idx="2">
                  <c:v>279.7</c:v>
                </c:pt>
                <c:pt idx="3">
                  <c:v>281.3</c:v>
                </c:pt>
                <c:pt idx="4">
                  <c:v>281.89999999999998</c:v>
                </c:pt>
              </c:numCache>
            </c:numRef>
          </c:xVal>
          <c:yVal>
            <c:numRef>
              <c:f>Olsen!$B$3:$B$7</c:f>
              <c:numCache>
                <c:formatCode>General</c:formatCode>
                <c:ptCount val="5"/>
                <c:pt idx="0">
                  <c:v>1.986</c:v>
                </c:pt>
                <c:pt idx="1">
                  <c:v>2.8029999999999999</c:v>
                </c:pt>
                <c:pt idx="2">
                  <c:v>3.7770000000000001</c:v>
                </c:pt>
                <c:pt idx="3">
                  <c:v>4.8520000000000003</c:v>
                </c:pt>
                <c:pt idx="4">
                  <c:v>5.4530000000000003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8-417A-94AF-E41F77CBA506}"/>
            </c:ext>
          </c:extLst>
        </c:ser>
        <c:ser>
          <c:idx val="1"/>
          <c:order val="1"/>
          <c:tx>
            <c:v>y(CO2)=0.5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Olsen!$C$3:$C$7</c:f>
              <c:numCache>
                <c:formatCode>General</c:formatCode>
                <c:ptCount val="5"/>
                <c:pt idx="0">
                  <c:v>274.39999999999998</c:v>
                </c:pt>
                <c:pt idx="1">
                  <c:v>276</c:v>
                </c:pt>
                <c:pt idx="2">
                  <c:v>278.10000000000002</c:v>
                </c:pt>
                <c:pt idx="3">
                  <c:v>280.2</c:v>
                </c:pt>
                <c:pt idx="4">
                  <c:v>281.10000000000002</c:v>
                </c:pt>
              </c:numCache>
            </c:numRef>
          </c:xVal>
          <c:yVal>
            <c:numRef>
              <c:f>Olsen!$D$3:$D$7</c:f>
              <c:numCache>
                <c:formatCode>General</c:formatCode>
                <c:ptCount val="5"/>
                <c:pt idx="0">
                  <c:v>3.0739999999999998</c:v>
                </c:pt>
                <c:pt idx="1">
                  <c:v>3.7530000000000001</c:v>
                </c:pt>
                <c:pt idx="2">
                  <c:v>4.8220000000000001</c:v>
                </c:pt>
                <c:pt idx="3">
                  <c:v>6.5609999999999999</c:v>
                </c:pt>
                <c:pt idx="4">
                  <c:v>7.266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8-417A-94AF-E41F77CBA506}"/>
            </c:ext>
          </c:extLst>
        </c:ser>
        <c:ser>
          <c:idx val="2"/>
          <c:order val="2"/>
          <c:tx>
            <c:v>y(CO2)=0.2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Olsen!$E$3:$E$7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</c:v>
                </c:pt>
                <c:pt idx="2">
                  <c:v>275.10000000000002</c:v>
                </c:pt>
                <c:pt idx="3">
                  <c:v>276.3</c:v>
                </c:pt>
                <c:pt idx="4">
                  <c:v>277.2</c:v>
                </c:pt>
              </c:numCache>
            </c:numRef>
          </c:xVal>
          <c:yVal>
            <c:numRef>
              <c:f>Olsen!$F$3:$F$7</c:f>
              <c:numCache>
                <c:formatCode>General</c:formatCode>
                <c:ptCount val="5"/>
                <c:pt idx="0">
                  <c:v>6.2430000000000003</c:v>
                </c:pt>
                <c:pt idx="1">
                  <c:v>6.51</c:v>
                </c:pt>
                <c:pt idx="2">
                  <c:v>7.3239999999999998</c:v>
                </c:pt>
                <c:pt idx="3">
                  <c:v>8.4580000000000002</c:v>
                </c:pt>
                <c:pt idx="4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8-417A-94AF-E41F77CB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scatterChart>
        <c:scatterStyle val="smoothMarker"/>
        <c:varyColors val="0"/>
        <c:ser>
          <c:idx val="6"/>
          <c:order val="3"/>
          <c:tx>
            <c:v>CPA-PR, y(CO2)=0.75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Olsen!$A$11:$A$15</c:f>
              <c:numCache>
                <c:formatCode>General</c:formatCode>
                <c:ptCount val="5"/>
                <c:pt idx="0">
                  <c:v>274.10000000000002</c:v>
                </c:pt>
                <c:pt idx="1">
                  <c:v>277.5</c:v>
                </c:pt>
                <c:pt idx="2">
                  <c:v>279.7</c:v>
                </c:pt>
                <c:pt idx="3">
                  <c:v>281.3</c:v>
                </c:pt>
                <c:pt idx="4">
                  <c:v>281.89999999999998</c:v>
                </c:pt>
              </c:numCache>
            </c:numRef>
          </c:xVal>
          <c:yVal>
            <c:numRef>
              <c:f>Olsen!$B$11:$B$15</c:f>
              <c:numCache>
                <c:formatCode>General</c:formatCode>
                <c:ptCount val="5"/>
                <c:pt idx="0">
                  <c:v>2.1346216040309507</c:v>
                </c:pt>
                <c:pt idx="1">
                  <c:v>2.9351536649933663</c:v>
                </c:pt>
                <c:pt idx="2">
                  <c:v>3.6093768581531527</c:v>
                </c:pt>
                <c:pt idx="3">
                  <c:v>4.1961647795119479</c:v>
                </c:pt>
                <c:pt idx="4">
                  <c:v>4.4400795641330397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48-417A-94AF-E41F77CBA506}"/>
            </c:ext>
          </c:extLst>
        </c:ser>
        <c:ser>
          <c:idx val="7"/>
          <c:order val="4"/>
          <c:tx>
            <c:v>CPA-PR, y(CO2)=0.5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Olsen!$C$11:$C$15</c:f>
              <c:numCache>
                <c:formatCode>General</c:formatCode>
                <c:ptCount val="5"/>
                <c:pt idx="0">
                  <c:v>274.39999999999998</c:v>
                </c:pt>
                <c:pt idx="1">
                  <c:v>276</c:v>
                </c:pt>
                <c:pt idx="2">
                  <c:v>278.10000000000002</c:v>
                </c:pt>
                <c:pt idx="3">
                  <c:v>280.2</c:v>
                </c:pt>
                <c:pt idx="4">
                  <c:v>281.10000000000002</c:v>
                </c:pt>
              </c:numCache>
            </c:numRef>
          </c:xVal>
          <c:yVal>
            <c:numRef>
              <c:f>Olsen!$D$11:$D$15</c:f>
              <c:numCache>
                <c:formatCode>General</c:formatCode>
                <c:ptCount val="5"/>
                <c:pt idx="0">
                  <c:v>3.2490320827105088</c:v>
                </c:pt>
                <c:pt idx="1">
                  <c:v>3.8127128635731227</c:v>
                </c:pt>
                <c:pt idx="2">
                  <c:v>4.7241394667270935</c:v>
                </c:pt>
                <c:pt idx="3">
                  <c:v>5.8966410747474454</c:v>
                </c:pt>
                <c:pt idx="4">
                  <c:v>6.5056465809122672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48-417A-94AF-E41F77CBA506}"/>
            </c:ext>
          </c:extLst>
        </c:ser>
        <c:ser>
          <c:idx val="8"/>
          <c:order val="5"/>
          <c:tx>
            <c:v>CPA-PR, y(CO2)=0.2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Olsen!$E$11:$E$15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</c:v>
                </c:pt>
                <c:pt idx="2">
                  <c:v>275.10000000000002</c:v>
                </c:pt>
                <c:pt idx="3">
                  <c:v>276.3</c:v>
                </c:pt>
                <c:pt idx="4">
                  <c:v>277.2</c:v>
                </c:pt>
              </c:numCache>
            </c:numRef>
          </c:xVal>
          <c:yVal>
            <c:numRef>
              <c:f>Olsen!$F$11:$F$15</c:f>
              <c:numCache>
                <c:formatCode>General</c:formatCode>
                <c:ptCount val="5"/>
                <c:pt idx="0">
                  <c:v>6.5253834742311074</c:v>
                </c:pt>
                <c:pt idx="1">
                  <c:v>6.9743306313706794</c:v>
                </c:pt>
                <c:pt idx="2">
                  <c:v>7.9024589071654123</c:v>
                </c:pt>
                <c:pt idx="3">
                  <c:v>9.1062944874976104</c:v>
                </c:pt>
                <c:pt idx="4">
                  <c:v>10.178183420169965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48-417A-94AF-E41F77CB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valAx>
        <c:axId val="32682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8816"/>
        <c:crosses val="autoZero"/>
        <c:crossBetween val="midCat"/>
      </c:valAx>
      <c:valAx>
        <c:axId val="3268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y(CO2)=0.75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Sadeq!$A$3:$A$7</c:f>
              <c:numCache>
                <c:formatCode>General</c:formatCode>
                <c:ptCount val="5"/>
                <c:pt idx="0">
                  <c:v>277.8</c:v>
                </c:pt>
                <c:pt idx="1">
                  <c:v>280.10000000000002</c:v>
                </c:pt>
                <c:pt idx="2">
                  <c:v>281.60000000000002</c:v>
                </c:pt>
                <c:pt idx="3">
                  <c:v>283.3</c:v>
                </c:pt>
                <c:pt idx="4">
                  <c:v>284.45</c:v>
                </c:pt>
              </c:numCache>
            </c:numRef>
          </c:xVal>
          <c:yVal>
            <c:numRef>
              <c:f>Sadeq!$B$3:$B$7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1-44D1-BA0F-9353F33B392C}"/>
            </c:ext>
          </c:extLst>
        </c:ser>
        <c:ser>
          <c:idx val="1"/>
          <c:order val="1"/>
          <c:tx>
            <c:v>y(CO2)=0.5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Sadeq!$C$3:$C$7</c:f>
              <c:numCache>
                <c:formatCode>General</c:formatCode>
                <c:ptCount val="5"/>
                <c:pt idx="0">
                  <c:v>275.75</c:v>
                </c:pt>
                <c:pt idx="1">
                  <c:v>278.64999999999998</c:v>
                </c:pt>
                <c:pt idx="2">
                  <c:v>280.60000000000002</c:v>
                </c:pt>
                <c:pt idx="3">
                  <c:v>282.75</c:v>
                </c:pt>
                <c:pt idx="4">
                  <c:v>283.89999999999998</c:v>
                </c:pt>
              </c:numCache>
            </c:numRef>
          </c:xVal>
          <c:yVal>
            <c:numRef>
              <c:f>Sadeq!$D$3:$D$7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1-44D1-BA0F-9353F33B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scatterChart>
        <c:scatterStyle val="smoothMarker"/>
        <c:varyColors val="0"/>
        <c:ser>
          <c:idx val="6"/>
          <c:order val="2"/>
          <c:tx>
            <c:v>CPA-PR, y(CO2)=0.75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Sadeq!$A$14:$A$18</c:f>
              <c:numCache>
                <c:formatCode>General</c:formatCode>
                <c:ptCount val="5"/>
                <c:pt idx="0">
                  <c:v>277.8</c:v>
                </c:pt>
                <c:pt idx="1">
                  <c:v>280.10000000000002</c:v>
                </c:pt>
                <c:pt idx="2">
                  <c:v>281.60000000000002</c:v>
                </c:pt>
                <c:pt idx="3">
                  <c:v>283.3</c:v>
                </c:pt>
                <c:pt idx="4">
                  <c:v>284.45</c:v>
                </c:pt>
              </c:numCache>
            </c:numRef>
          </c:xVal>
          <c:yVal>
            <c:numRef>
              <c:f>Sadeq!$B$14:$B$18</c:f>
              <c:numCache>
                <c:formatCode>General</c:formatCode>
                <c:ptCount val="5"/>
                <c:pt idx="0">
                  <c:v>6.3479953108484182</c:v>
                </c:pt>
                <c:pt idx="1">
                  <c:v>8.2929852081833495</c:v>
                </c:pt>
                <c:pt idx="2">
                  <c:v>10.038438639930776</c:v>
                </c:pt>
                <c:pt idx="3">
                  <c:v>12.852676405480281</c:v>
                </c:pt>
                <c:pt idx="4">
                  <c:v>15.772847727187102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1-44D1-BA0F-9353F33B392C}"/>
            </c:ext>
          </c:extLst>
        </c:ser>
        <c:ser>
          <c:idx val="7"/>
          <c:order val="3"/>
          <c:tx>
            <c:v>CPA-PR, y(CO2)=0.5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Sadeq!$C$14:$C$18</c:f>
              <c:numCache>
                <c:formatCode>General</c:formatCode>
                <c:ptCount val="5"/>
                <c:pt idx="0">
                  <c:v>275.75</c:v>
                </c:pt>
                <c:pt idx="1">
                  <c:v>278.64999999999998</c:v>
                </c:pt>
                <c:pt idx="2">
                  <c:v>280.60000000000002</c:v>
                </c:pt>
                <c:pt idx="3">
                  <c:v>282.75</c:v>
                </c:pt>
                <c:pt idx="4">
                  <c:v>283.89999999999998</c:v>
                </c:pt>
              </c:numCache>
            </c:numRef>
          </c:xVal>
          <c:yVal>
            <c:numRef>
              <c:f>Sadeq!$D$14:$D$18</c:f>
              <c:numCache>
                <c:formatCode>General</c:formatCode>
                <c:ptCount val="5"/>
                <c:pt idx="0">
                  <c:v>6.8177969288959677</c:v>
                </c:pt>
                <c:pt idx="1">
                  <c:v>9.6271151122031249</c:v>
                </c:pt>
                <c:pt idx="2">
                  <c:v>12.551513451481641</c:v>
                </c:pt>
                <c:pt idx="3">
                  <c:v>18.116242655706127</c:v>
                </c:pt>
                <c:pt idx="4">
                  <c:v>24.052628770692259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1-44D1-BA0F-9353F33B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valAx>
        <c:axId val="32682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8816"/>
        <c:crosses val="autoZero"/>
        <c:crossBetween val="midCat"/>
      </c:valAx>
      <c:valAx>
        <c:axId val="3268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y(CO2)=0.75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Lee!$A$3:$A$11</c:f>
              <c:numCache>
                <c:formatCode>General</c:formatCode>
                <c:ptCount val="9"/>
                <c:pt idx="0">
                  <c:v>275</c:v>
                </c:pt>
                <c:pt idx="1">
                  <c:v>276.39999999999998</c:v>
                </c:pt>
                <c:pt idx="2">
                  <c:v>277.5</c:v>
                </c:pt>
                <c:pt idx="3">
                  <c:v>277.5</c:v>
                </c:pt>
                <c:pt idx="4">
                  <c:v>278.7</c:v>
                </c:pt>
                <c:pt idx="5">
                  <c:v>279</c:v>
                </c:pt>
                <c:pt idx="6">
                  <c:v>279.7</c:v>
                </c:pt>
                <c:pt idx="7">
                  <c:v>280.60000000000002</c:v>
                </c:pt>
                <c:pt idx="8">
                  <c:v>280.8</c:v>
                </c:pt>
              </c:numCache>
            </c:numRef>
          </c:xVal>
          <c:yVal>
            <c:numRef>
              <c:f>Lee!$B$3:$B$11</c:f>
              <c:numCache>
                <c:formatCode>General</c:formatCode>
                <c:ptCount val="9"/>
                <c:pt idx="0">
                  <c:v>11.28</c:v>
                </c:pt>
                <c:pt idx="1">
                  <c:v>13.32</c:v>
                </c:pt>
                <c:pt idx="2">
                  <c:v>15.67</c:v>
                </c:pt>
                <c:pt idx="3">
                  <c:v>15.59</c:v>
                </c:pt>
                <c:pt idx="4">
                  <c:v>18.13</c:v>
                </c:pt>
                <c:pt idx="5">
                  <c:v>19.04</c:v>
                </c:pt>
                <c:pt idx="6">
                  <c:v>20.77</c:v>
                </c:pt>
                <c:pt idx="7">
                  <c:v>23.36</c:v>
                </c:pt>
                <c:pt idx="8">
                  <c:v>24.51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4-4843-9BB2-4C8E076E8FA5}"/>
            </c:ext>
          </c:extLst>
        </c:ser>
        <c:ser>
          <c:idx val="1"/>
          <c:order val="1"/>
          <c:tx>
            <c:v>y(CO2)=0.5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Lee!$C$3:$C$10</c:f>
              <c:numCache>
                <c:formatCode>General</c:formatCode>
                <c:ptCount val="8"/>
                <c:pt idx="0">
                  <c:v>275.39999999999998</c:v>
                </c:pt>
                <c:pt idx="1">
                  <c:v>276.60000000000002</c:v>
                </c:pt>
                <c:pt idx="2">
                  <c:v>277.60000000000002</c:v>
                </c:pt>
                <c:pt idx="3">
                  <c:v>278.10000000000002</c:v>
                </c:pt>
                <c:pt idx="4">
                  <c:v>279.5</c:v>
                </c:pt>
                <c:pt idx="5">
                  <c:v>279.5</c:v>
                </c:pt>
                <c:pt idx="6">
                  <c:v>280.8</c:v>
                </c:pt>
                <c:pt idx="7">
                  <c:v>281.10000000000002</c:v>
                </c:pt>
              </c:numCache>
            </c:numRef>
          </c:xVal>
          <c:yVal>
            <c:numRef>
              <c:f>Lee!$D$3:$D$10</c:f>
              <c:numCache>
                <c:formatCode>General</c:formatCode>
                <c:ptCount val="8"/>
                <c:pt idx="0">
                  <c:v>8.23</c:v>
                </c:pt>
                <c:pt idx="1">
                  <c:v>9.42</c:v>
                </c:pt>
                <c:pt idx="2">
                  <c:v>10.51</c:v>
                </c:pt>
                <c:pt idx="3">
                  <c:v>11.28</c:v>
                </c:pt>
                <c:pt idx="4">
                  <c:v>13.36</c:v>
                </c:pt>
                <c:pt idx="5">
                  <c:v>13.44</c:v>
                </c:pt>
                <c:pt idx="6">
                  <c:v>16.53</c:v>
                </c:pt>
                <c:pt idx="7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4-4843-9BB2-4C8E076E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scatterChart>
        <c:scatterStyle val="smoothMarker"/>
        <c:varyColors val="0"/>
        <c:ser>
          <c:idx val="6"/>
          <c:order val="2"/>
          <c:tx>
            <c:v>CPA-PR, y(CO2)=0.75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Lee!$A$15:$A$23</c:f>
              <c:numCache>
                <c:formatCode>General</c:formatCode>
                <c:ptCount val="9"/>
                <c:pt idx="0">
                  <c:v>275</c:v>
                </c:pt>
                <c:pt idx="1">
                  <c:v>276.39999999999998</c:v>
                </c:pt>
                <c:pt idx="2">
                  <c:v>277.5</c:v>
                </c:pt>
                <c:pt idx="3">
                  <c:v>277.5</c:v>
                </c:pt>
                <c:pt idx="4">
                  <c:v>278.7</c:v>
                </c:pt>
                <c:pt idx="5">
                  <c:v>279</c:v>
                </c:pt>
                <c:pt idx="6">
                  <c:v>279.7</c:v>
                </c:pt>
                <c:pt idx="7">
                  <c:v>280.60000000000002</c:v>
                </c:pt>
                <c:pt idx="8">
                  <c:v>280.8</c:v>
                </c:pt>
              </c:numCache>
            </c:numRef>
          </c:xVal>
          <c:yVal>
            <c:numRef>
              <c:f>Lee!$B$15:$B$23</c:f>
              <c:numCache>
                <c:formatCode>General</c:formatCode>
                <c:ptCount val="9"/>
                <c:pt idx="0">
                  <c:v>12.859007175350575</c:v>
                </c:pt>
                <c:pt idx="1">
                  <c:v>15.499590669103776</c:v>
                </c:pt>
                <c:pt idx="2">
                  <c:v>18.21585270195143</c:v>
                </c:pt>
                <c:pt idx="3">
                  <c:v>18.215852701951313</c:v>
                </c:pt>
                <c:pt idx="4">
                  <c:v>22.224075136426812</c:v>
                </c:pt>
                <c:pt idx="5">
                  <c:v>23.479053521182287</c:v>
                </c:pt>
                <c:pt idx="6">
                  <c:v>26.994629304328736</c:v>
                </c:pt>
                <c:pt idx="7">
                  <c:v>33.407112829018615</c:v>
                </c:pt>
                <c:pt idx="8">
                  <c:v>35.293584547972301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4-4843-9BB2-4C8E076E8FA5}"/>
            </c:ext>
          </c:extLst>
        </c:ser>
        <c:ser>
          <c:idx val="7"/>
          <c:order val="3"/>
          <c:tx>
            <c:v>CPA-PR, y(CO2)=0.5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Lee!$C$15:$C$22</c:f>
              <c:numCache>
                <c:formatCode>General</c:formatCode>
                <c:ptCount val="8"/>
                <c:pt idx="0">
                  <c:v>275.39999999999998</c:v>
                </c:pt>
                <c:pt idx="1">
                  <c:v>276.60000000000002</c:v>
                </c:pt>
                <c:pt idx="2">
                  <c:v>277.60000000000002</c:v>
                </c:pt>
                <c:pt idx="3">
                  <c:v>278.10000000000002</c:v>
                </c:pt>
                <c:pt idx="4">
                  <c:v>279.5</c:v>
                </c:pt>
                <c:pt idx="5">
                  <c:v>279.5</c:v>
                </c:pt>
                <c:pt idx="6">
                  <c:v>280.8</c:v>
                </c:pt>
                <c:pt idx="7">
                  <c:v>281.10000000000002</c:v>
                </c:pt>
              </c:numCache>
            </c:numRef>
          </c:xVal>
          <c:yVal>
            <c:numRef>
              <c:f>Lee!$D$15:$D$22</c:f>
              <c:numCache>
                <c:formatCode>General</c:formatCode>
                <c:ptCount val="8"/>
                <c:pt idx="0">
                  <c:v>8.1826978911084449</c:v>
                </c:pt>
                <c:pt idx="1">
                  <c:v>9.445365179226858</c:v>
                </c:pt>
                <c:pt idx="2">
                  <c:v>10.712465816579785</c:v>
                </c:pt>
                <c:pt idx="3">
                  <c:v>11.440063345705633</c:v>
                </c:pt>
                <c:pt idx="4">
                  <c:v>13.938268554534654</c:v>
                </c:pt>
                <c:pt idx="5">
                  <c:v>13.938268554570183</c:v>
                </c:pt>
                <c:pt idx="6">
                  <c:v>17.204099840316047</c:v>
                </c:pt>
                <c:pt idx="7">
                  <c:v>18.163635571207372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4-4843-9BB2-4C8E076E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valAx>
        <c:axId val="32682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8816"/>
        <c:crosses val="autoZero"/>
        <c:crossBetween val="midCat"/>
      </c:valAx>
      <c:valAx>
        <c:axId val="3268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0047050214226"/>
          <c:y val="3.944224097430523E-2"/>
          <c:w val="0.83509214016582811"/>
          <c:h val="0.67999849110185362"/>
        </c:manualLayout>
      </c:layout>
      <c:scatterChart>
        <c:scatterStyle val="lineMarker"/>
        <c:varyColors val="0"/>
        <c:ser>
          <c:idx val="0"/>
          <c:order val="0"/>
          <c:tx>
            <c:v>y(CO2)=0.1 [Lee]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Lee!$A$3:$A$11</c:f>
              <c:numCache>
                <c:formatCode>General</c:formatCode>
                <c:ptCount val="9"/>
                <c:pt idx="0">
                  <c:v>275</c:v>
                </c:pt>
                <c:pt idx="1">
                  <c:v>276.39999999999998</c:v>
                </c:pt>
                <c:pt idx="2">
                  <c:v>277.5</c:v>
                </c:pt>
                <c:pt idx="3">
                  <c:v>277.5</c:v>
                </c:pt>
                <c:pt idx="4">
                  <c:v>278.7</c:v>
                </c:pt>
                <c:pt idx="5">
                  <c:v>279</c:v>
                </c:pt>
                <c:pt idx="6">
                  <c:v>279.7</c:v>
                </c:pt>
                <c:pt idx="7">
                  <c:v>280.60000000000002</c:v>
                </c:pt>
                <c:pt idx="8">
                  <c:v>280.8</c:v>
                </c:pt>
              </c:numCache>
            </c:numRef>
          </c:xVal>
          <c:yVal>
            <c:numRef>
              <c:f>Lee!$B$3:$B$11</c:f>
              <c:numCache>
                <c:formatCode>General</c:formatCode>
                <c:ptCount val="9"/>
                <c:pt idx="0">
                  <c:v>11.28</c:v>
                </c:pt>
                <c:pt idx="1">
                  <c:v>13.32</c:v>
                </c:pt>
                <c:pt idx="2">
                  <c:v>15.67</c:v>
                </c:pt>
                <c:pt idx="3">
                  <c:v>15.59</c:v>
                </c:pt>
                <c:pt idx="4">
                  <c:v>18.13</c:v>
                </c:pt>
                <c:pt idx="5">
                  <c:v>19.04</c:v>
                </c:pt>
                <c:pt idx="6">
                  <c:v>20.77</c:v>
                </c:pt>
                <c:pt idx="7">
                  <c:v>23.36</c:v>
                </c:pt>
                <c:pt idx="8">
                  <c:v>24.51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F-415E-B7D1-7A48B6C93765}"/>
            </c:ext>
          </c:extLst>
        </c:ser>
        <c:ser>
          <c:idx val="1"/>
          <c:order val="1"/>
          <c:tx>
            <c:v>y(CO2)=0.2 [Lee]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Lee!$C$3:$C$10</c:f>
              <c:numCache>
                <c:formatCode>General</c:formatCode>
                <c:ptCount val="8"/>
                <c:pt idx="0">
                  <c:v>275.39999999999998</c:v>
                </c:pt>
                <c:pt idx="1">
                  <c:v>276.60000000000002</c:v>
                </c:pt>
                <c:pt idx="2">
                  <c:v>277.60000000000002</c:v>
                </c:pt>
                <c:pt idx="3">
                  <c:v>278.10000000000002</c:v>
                </c:pt>
                <c:pt idx="4">
                  <c:v>279.5</c:v>
                </c:pt>
                <c:pt idx="5">
                  <c:v>279.5</c:v>
                </c:pt>
                <c:pt idx="6">
                  <c:v>280.8</c:v>
                </c:pt>
                <c:pt idx="7">
                  <c:v>281.10000000000002</c:v>
                </c:pt>
              </c:numCache>
            </c:numRef>
          </c:xVal>
          <c:yVal>
            <c:numRef>
              <c:f>Lee!$D$3:$D$10</c:f>
              <c:numCache>
                <c:formatCode>General</c:formatCode>
                <c:ptCount val="8"/>
                <c:pt idx="0">
                  <c:v>8.23</c:v>
                </c:pt>
                <c:pt idx="1">
                  <c:v>9.42</c:v>
                </c:pt>
                <c:pt idx="2">
                  <c:v>10.51</c:v>
                </c:pt>
                <c:pt idx="3">
                  <c:v>11.28</c:v>
                </c:pt>
                <c:pt idx="4">
                  <c:v>13.36</c:v>
                </c:pt>
                <c:pt idx="5">
                  <c:v>13.44</c:v>
                </c:pt>
                <c:pt idx="6">
                  <c:v>16.53</c:v>
                </c:pt>
                <c:pt idx="7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F-415E-B7D1-7A48B6C93765}"/>
            </c:ext>
          </c:extLst>
        </c:ser>
        <c:ser>
          <c:idx val="4"/>
          <c:order val="2"/>
          <c:tx>
            <c:v>y(CO2)=0.26 [Saddeq]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Sadeq!$C$3:$C$7</c:f>
              <c:numCache>
                <c:formatCode>General</c:formatCode>
                <c:ptCount val="5"/>
                <c:pt idx="0">
                  <c:v>275.75</c:v>
                </c:pt>
                <c:pt idx="1">
                  <c:v>278.64999999999998</c:v>
                </c:pt>
                <c:pt idx="2">
                  <c:v>280.60000000000002</c:v>
                </c:pt>
                <c:pt idx="3">
                  <c:v>282.75</c:v>
                </c:pt>
                <c:pt idx="4">
                  <c:v>283.89999999999998</c:v>
                </c:pt>
              </c:numCache>
            </c:numRef>
          </c:xVal>
          <c:yVal>
            <c:numRef>
              <c:f>Sadeq!$D$3:$D$7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0F-415E-B7D1-7A48B6C93765}"/>
            </c:ext>
          </c:extLst>
        </c:ser>
        <c:ser>
          <c:idx val="2"/>
          <c:order val="3"/>
          <c:tx>
            <c:v>y(CO2)=0.36 [Sadeq}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Sadeq!$A$3:$A$7</c:f>
              <c:numCache>
                <c:formatCode>General</c:formatCode>
                <c:ptCount val="5"/>
                <c:pt idx="0">
                  <c:v>277.8</c:v>
                </c:pt>
                <c:pt idx="1">
                  <c:v>280.10000000000002</c:v>
                </c:pt>
                <c:pt idx="2">
                  <c:v>281.60000000000002</c:v>
                </c:pt>
                <c:pt idx="3">
                  <c:v>283.3</c:v>
                </c:pt>
                <c:pt idx="4">
                  <c:v>284.45</c:v>
                </c:pt>
              </c:numCache>
            </c:numRef>
          </c:xVal>
          <c:yVal>
            <c:numRef>
              <c:f>Sadeq!$B$3:$B$7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F-415E-B7D1-7A48B6C93765}"/>
            </c:ext>
          </c:extLst>
        </c:ser>
        <c:ser>
          <c:idx val="8"/>
          <c:order val="4"/>
          <c:tx>
            <c:v>y(CO2)=0.5 [Olsen]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Olsen!$C$3:$C$7</c:f>
              <c:numCache>
                <c:formatCode>General</c:formatCode>
                <c:ptCount val="5"/>
                <c:pt idx="0">
                  <c:v>274.39999999999998</c:v>
                </c:pt>
                <c:pt idx="1">
                  <c:v>276</c:v>
                </c:pt>
                <c:pt idx="2">
                  <c:v>278.10000000000002</c:v>
                </c:pt>
                <c:pt idx="3">
                  <c:v>280.2</c:v>
                </c:pt>
                <c:pt idx="4">
                  <c:v>281.10000000000002</c:v>
                </c:pt>
              </c:numCache>
            </c:numRef>
          </c:xVal>
          <c:yVal>
            <c:numRef>
              <c:f>Olsen!$D$3:$D$7</c:f>
              <c:numCache>
                <c:formatCode>General</c:formatCode>
                <c:ptCount val="5"/>
                <c:pt idx="0">
                  <c:v>3.0739999999999998</c:v>
                </c:pt>
                <c:pt idx="1">
                  <c:v>3.7530000000000001</c:v>
                </c:pt>
                <c:pt idx="2">
                  <c:v>4.8220000000000001</c:v>
                </c:pt>
                <c:pt idx="3">
                  <c:v>6.5609999999999999</c:v>
                </c:pt>
                <c:pt idx="4">
                  <c:v>7.266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0F-415E-B7D1-7A48B6C93765}"/>
            </c:ext>
          </c:extLst>
        </c:ser>
        <c:ser>
          <c:idx val="10"/>
          <c:order val="5"/>
          <c:tx>
            <c:v>y(CO2)=0.75 [Olsen]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Olsen!$A$3:$A$7</c:f>
              <c:numCache>
                <c:formatCode>General</c:formatCode>
                <c:ptCount val="5"/>
                <c:pt idx="0">
                  <c:v>274.10000000000002</c:v>
                </c:pt>
                <c:pt idx="1">
                  <c:v>277.5</c:v>
                </c:pt>
                <c:pt idx="2">
                  <c:v>279.7</c:v>
                </c:pt>
                <c:pt idx="3">
                  <c:v>281.3</c:v>
                </c:pt>
                <c:pt idx="4">
                  <c:v>281.89999999999998</c:v>
                </c:pt>
              </c:numCache>
            </c:numRef>
          </c:xVal>
          <c:yVal>
            <c:numRef>
              <c:f>Olsen!$B$3:$B$7</c:f>
              <c:numCache>
                <c:formatCode>General</c:formatCode>
                <c:ptCount val="5"/>
                <c:pt idx="0">
                  <c:v>1.986</c:v>
                </c:pt>
                <c:pt idx="1">
                  <c:v>2.8029999999999999</c:v>
                </c:pt>
                <c:pt idx="2">
                  <c:v>3.7770000000000001</c:v>
                </c:pt>
                <c:pt idx="3">
                  <c:v>4.8520000000000003</c:v>
                </c:pt>
                <c:pt idx="4">
                  <c:v>5.4530000000000003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0F-415E-B7D1-7A48B6C9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scatterChart>
        <c:scatterStyle val="smoothMarker"/>
        <c:varyColors val="0"/>
        <c:ser>
          <c:idx val="6"/>
          <c:order val="6"/>
          <c:tx>
            <c:v>Model, y(CO2)=0.1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Lee!$A$15:$A$23</c:f>
              <c:numCache>
                <c:formatCode>General</c:formatCode>
                <c:ptCount val="9"/>
                <c:pt idx="0">
                  <c:v>275</c:v>
                </c:pt>
                <c:pt idx="1">
                  <c:v>276.39999999999998</c:v>
                </c:pt>
                <c:pt idx="2">
                  <c:v>277.5</c:v>
                </c:pt>
                <c:pt idx="3">
                  <c:v>277.5</c:v>
                </c:pt>
                <c:pt idx="4">
                  <c:v>278.7</c:v>
                </c:pt>
                <c:pt idx="5">
                  <c:v>279</c:v>
                </c:pt>
                <c:pt idx="6">
                  <c:v>279.7</c:v>
                </c:pt>
                <c:pt idx="7">
                  <c:v>280.60000000000002</c:v>
                </c:pt>
                <c:pt idx="8">
                  <c:v>280.8</c:v>
                </c:pt>
              </c:numCache>
            </c:numRef>
          </c:xVal>
          <c:yVal>
            <c:numRef>
              <c:f>Lee!$B$15:$B$23</c:f>
              <c:numCache>
                <c:formatCode>General</c:formatCode>
                <c:ptCount val="9"/>
                <c:pt idx="0">
                  <c:v>12.859007175350575</c:v>
                </c:pt>
                <c:pt idx="1">
                  <c:v>15.499590669103776</c:v>
                </c:pt>
                <c:pt idx="2">
                  <c:v>18.21585270195143</c:v>
                </c:pt>
                <c:pt idx="3">
                  <c:v>18.215852701951313</c:v>
                </c:pt>
                <c:pt idx="4">
                  <c:v>22.224075136426812</c:v>
                </c:pt>
                <c:pt idx="5">
                  <c:v>23.479053521182287</c:v>
                </c:pt>
                <c:pt idx="6">
                  <c:v>26.994629304328736</c:v>
                </c:pt>
                <c:pt idx="7">
                  <c:v>33.407112829018615</c:v>
                </c:pt>
                <c:pt idx="8">
                  <c:v>35.293584547972301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0F-415E-B7D1-7A48B6C93765}"/>
            </c:ext>
          </c:extLst>
        </c:ser>
        <c:ser>
          <c:idx val="7"/>
          <c:order val="7"/>
          <c:tx>
            <c:v>Model, y(CO2)=0.2</c:v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Lee!$C$15:$C$22</c:f>
              <c:numCache>
                <c:formatCode>General</c:formatCode>
                <c:ptCount val="8"/>
                <c:pt idx="0">
                  <c:v>275.39999999999998</c:v>
                </c:pt>
                <c:pt idx="1">
                  <c:v>276.60000000000002</c:v>
                </c:pt>
                <c:pt idx="2">
                  <c:v>277.60000000000002</c:v>
                </c:pt>
                <c:pt idx="3">
                  <c:v>278.10000000000002</c:v>
                </c:pt>
                <c:pt idx="4">
                  <c:v>279.5</c:v>
                </c:pt>
                <c:pt idx="5">
                  <c:v>279.5</c:v>
                </c:pt>
                <c:pt idx="6">
                  <c:v>280.8</c:v>
                </c:pt>
                <c:pt idx="7">
                  <c:v>281.10000000000002</c:v>
                </c:pt>
              </c:numCache>
            </c:numRef>
          </c:xVal>
          <c:yVal>
            <c:numRef>
              <c:f>Lee!$D$15:$D$22</c:f>
              <c:numCache>
                <c:formatCode>General</c:formatCode>
                <c:ptCount val="8"/>
                <c:pt idx="0">
                  <c:v>8.1826978911084449</c:v>
                </c:pt>
                <c:pt idx="1">
                  <c:v>9.445365179226858</c:v>
                </c:pt>
                <c:pt idx="2">
                  <c:v>10.712465816579785</c:v>
                </c:pt>
                <c:pt idx="3">
                  <c:v>11.440063345705633</c:v>
                </c:pt>
                <c:pt idx="4">
                  <c:v>13.938268554534654</c:v>
                </c:pt>
                <c:pt idx="5">
                  <c:v>13.938268554570183</c:v>
                </c:pt>
                <c:pt idx="6">
                  <c:v>17.204099840316047</c:v>
                </c:pt>
                <c:pt idx="7">
                  <c:v>18.163635571207372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0F-415E-B7D1-7A48B6C93765}"/>
            </c:ext>
          </c:extLst>
        </c:ser>
        <c:ser>
          <c:idx val="5"/>
          <c:order val="8"/>
          <c:tx>
            <c:v>Model, y(CO2)=0.26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Sadeq!$C$14:$C$18</c:f>
              <c:numCache>
                <c:formatCode>General</c:formatCode>
                <c:ptCount val="5"/>
                <c:pt idx="0">
                  <c:v>275.75</c:v>
                </c:pt>
                <c:pt idx="1">
                  <c:v>278.64999999999998</c:v>
                </c:pt>
                <c:pt idx="2">
                  <c:v>280.60000000000002</c:v>
                </c:pt>
                <c:pt idx="3">
                  <c:v>282.75</c:v>
                </c:pt>
                <c:pt idx="4">
                  <c:v>283.89999999999998</c:v>
                </c:pt>
              </c:numCache>
            </c:numRef>
          </c:xVal>
          <c:yVal>
            <c:numRef>
              <c:f>Sadeq!$D$14:$D$18</c:f>
              <c:numCache>
                <c:formatCode>General</c:formatCode>
                <c:ptCount val="5"/>
                <c:pt idx="0">
                  <c:v>6.8177969288959677</c:v>
                </c:pt>
                <c:pt idx="1">
                  <c:v>9.6271151122031249</c:v>
                </c:pt>
                <c:pt idx="2">
                  <c:v>12.551513451481641</c:v>
                </c:pt>
                <c:pt idx="3">
                  <c:v>18.116242655706127</c:v>
                </c:pt>
                <c:pt idx="4">
                  <c:v>24.052628770692259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0F-415E-B7D1-7A48B6C93765}"/>
            </c:ext>
          </c:extLst>
        </c:ser>
        <c:ser>
          <c:idx val="3"/>
          <c:order val="9"/>
          <c:tx>
            <c:v>Model, y(CO2)=0.36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Sadeq!$A$14:$A$18</c:f>
              <c:numCache>
                <c:formatCode>General</c:formatCode>
                <c:ptCount val="5"/>
                <c:pt idx="0">
                  <c:v>277.8</c:v>
                </c:pt>
                <c:pt idx="1">
                  <c:v>280.10000000000002</c:v>
                </c:pt>
                <c:pt idx="2">
                  <c:v>281.60000000000002</c:v>
                </c:pt>
                <c:pt idx="3">
                  <c:v>283.3</c:v>
                </c:pt>
                <c:pt idx="4">
                  <c:v>284.45</c:v>
                </c:pt>
              </c:numCache>
            </c:numRef>
          </c:xVal>
          <c:yVal>
            <c:numRef>
              <c:f>Sadeq!$B$14:$B$18</c:f>
              <c:numCache>
                <c:formatCode>General</c:formatCode>
                <c:ptCount val="5"/>
                <c:pt idx="0">
                  <c:v>6.3479953108484182</c:v>
                </c:pt>
                <c:pt idx="1">
                  <c:v>8.2929852081833495</c:v>
                </c:pt>
                <c:pt idx="2">
                  <c:v>10.038438639930776</c:v>
                </c:pt>
                <c:pt idx="3">
                  <c:v>12.852676405480281</c:v>
                </c:pt>
                <c:pt idx="4">
                  <c:v>15.772847727187102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0F-415E-B7D1-7A48B6C93765}"/>
            </c:ext>
          </c:extLst>
        </c:ser>
        <c:ser>
          <c:idx val="9"/>
          <c:order val="10"/>
          <c:tx>
            <c:v>Model, y(CO2)=0.5</c:v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Olsen!$C$11:$C$15</c:f>
              <c:numCache>
                <c:formatCode>General</c:formatCode>
                <c:ptCount val="5"/>
                <c:pt idx="0">
                  <c:v>274.39999999999998</c:v>
                </c:pt>
                <c:pt idx="1">
                  <c:v>276</c:v>
                </c:pt>
                <c:pt idx="2">
                  <c:v>278.10000000000002</c:v>
                </c:pt>
                <c:pt idx="3">
                  <c:v>280.2</c:v>
                </c:pt>
                <c:pt idx="4">
                  <c:v>281.10000000000002</c:v>
                </c:pt>
              </c:numCache>
            </c:numRef>
          </c:xVal>
          <c:yVal>
            <c:numRef>
              <c:f>Olsen!$D$11:$D$15</c:f>
              <c:numCache>
                <c:formatCode>General</c:formatCode>
                <c:ptCount val="5"/>
                <c:pt idx="0">
                  <c:v>3.2490320827105088</c:v>
                </c:pt>
                <c:pt idx="1">
                  <c:v>3.8127128635731227</c:v>
                </c:pt>
                <c:pt idx="2">
                  <c:v>4.7241394667270935</c:v>
                </c:pt>
                <c:pt idx="3">
                  <c:v>5.8966410747474454</c:v>
                </c:pt>
                <c:pt idx="4">
                  <c:v>6.5056465809122672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0F-415E-B7D1-7A48B6C93765}"/>
            </c:ext>
          </c:extLst>
        </c:ser>
        <c:ser>
          <c:idx val="11"/>
          <c:order val="11"/>
          <c:tx>
            <c:v>Model, y(CO2)=0.75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Olsen!$A$11:$A$15</c:f>
              <c:numCache>
                <c:formatCode>General</c:formatCode>
                <c:ptCount val="5"/>
                <c:pt idx="0">
                  <c:v>274.10000000000002</c:v>
                </c:pt>
                <c:pt idx="1">
                  <c:v>277.5</c:v>
                </c:pt>
                <c:pt idx="2">
                  <c:v>279.7</c:v>
                </c:pt>
                <c:pt idx="3">
                  <c:v>281.3</c:v>
                </c:pt>
                <c:pt idx="4">
                  <c:v>281.89999999999998</c:v>
                </c:pt>
              </c:numCache>
            </c:numRef>
          </c:xVal>
          <c:yVal>
            <c:numRef>
              <c:f>Olsen!$B$11:$B$15</c:f>
              <c:numCache>
                <c:formatCode>General</c:formatCode>
                <c:ptCount val="5"/>
                <c:pt idx="0">
                  <c:v>2.1346216040309507</c:v>
                </c:pt>
                <c:pt idx="1">
                  <c:v>2.9351536649933663</c:v>
                </c:pt>
                <c:pt idx="2">
                  <c:v>3.6093768581531527</c:v>
                </c:pt>
                <c:pt idx="3">
                  <c:v>4.1961647795119479</c:v>
                </c:pt>
                <c:pt idx="4">
                  <c:v>4.4400795641330397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0F-415E-B7D1-7A48B6C9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valAx>
        <c:axId val="326827832"/>
        <c:scaling>
          <c:orientation val="minMax"/>
          <c:max val="286"/>
          <c:min val="2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8816"/>
        <c:crosses val="autoZero"/>
        <c:crossBetween val="midCat"/>
      </c:valAx>
      <c:valAx>
        <c:axId val="326828816"/>
        <c:scaling>
          <c:logBase val="10"/>
          <c:orientation val="minMax"/>
          <c:max val="4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7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4159516278419519E-2"/>
          <c:y val="0.82630821952920441"/>
          <c:w val="0.91798969050080947"/>
          <c:h val="0.1507301459690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2897999818989"/>
          <c:y val="5.1044102177357976E-2"/>
          <c:w val="0.81189632545931756"/>
          <c:h val="0.60634670666166735"/>
        </c:manualLayout>
      </c:layout>
      <c:scatterChart>
        <c:scatterStyle val="lineMarker"/>
        <c:varyColors val="0"/>
        <c:ser>
          <c:idx val="0"/>
          <c:order val="0"/>
          <c:tx>
            <c:v>Exp Data [van Cleef and Diepen]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'pure N2'!$A$2:$A$22</c:f>
              <c:numCache>
                <c:formatCode>General</c:formatCode>
                <c:ptCount val="21"/>
                <c:pt idx="0">
                  <c:v>272.84999999999997</c:v>
                </c:pt>
                <c:pt idx="1">
                  <c:v>272.95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273.34999999999997</c:v>
                </c:pt>
                <c:pt idx="5">
                  <c:v>273.95</c:v>
                </c:pt>
                <c:pt idx="6">
                  <c:v>274.14999999999998</c:v>
                </c:pt>
                <c:pt idx="7">
                  <c:v>274.84999999999997</c:v>
                </c:pt>
                <c:pt idx="8">
                  <c:v>274.84999999999997</c:v>
                </c:pt>
                <c:pt idx="9">
                  <c:v>275.25</c:v>
                </c:pt>
                <c:pt idx="10">
                  <c:v>275.54999999999995</c:v>
                </c:pt>
                <c:pt idx="11">
                  <c:v>275.84999999999997</c:v>
                </c:pt>
                <c:pt idx="12">
                  <c:v>276.25</c:v>
                </c:pt>
                <c:pt idx="13">
                  <c:v>276.54999999999995</c:v>
                </c:pt>
                <c:pt idx="14">
                  <c:v>277.25</c:v>
                </c:pt>
                <c:pt idx="15">
                  <c:v>278.25</c:v>
                </c:pt>
                <c:pt idx="16">
                  <c:v>278.25</c:v>
                </c:pt>
                <c:pt idx="17">
                  <c:v>278.64999999999998</c:v>
                </c:pt>
                <c:pt idx="18">
                  <c:v>279.14999999999998</c:v>
                </c:pt>
                <c:pt idx="19">
                  <c:v>279.25</c:v>
                </c:pt>
                <c:pt idx="20">
                  <c:v>280.25</c:v>
                </c:pt>
              </c:numCache>
            </c:numRef>
          </c:xVal>
          <c:yVal>
            <c:numRef>
              <c:f>'pure N2'!$B$2:$B$22</c:f>
              <c:numCache>
                <c:formatCode>0.00</c:formatCode>
                <c:ptCount val="21"/>
                <c:pt idx="0">
                  <c:v>18.947775</c:v>
                </c:pt>
                <c:pt idx="1">
                  <c:v>15.300075</c:v>
                </c:pt>
                <c:pt idx="2">
                  <c:v>16.009349999999998</c:v>
                </c:pt>
                <c:pt idx="3">
                  <c:v>16.313324999999999</c:v>
                </c:pt>
                <c:pt idx="4">
                  <c:v>16.6173</c:v>
                </c:pt>
                <c:pt idx="5">
                  <c:v>17.529225</c:v>
                </c:pt>
                <c:pt idx="6">
                  <c:v>17.731874999999999</c:v>
                </c:pt>
                <c:pt idx="7">
                  <c:v>19.150424999999998</c:v>
                </c:pt>
                <c:pt idx="8">
                  <c:v>19.251749999999998</c:v>
                </c:pt>
                <c:pt idx="9">
                  <c:v>19.657049999999998</c:v>
                </c:pt>
                <c:pt idx="10">
                  <c:v>20.670299999999997</c:v>
                </c:pt>
                <c:pt idx="11">
                  <c:v>21.582224999999998</c:v>
                </c:pt>
                <c:pt idx="12">
                  <c:v>22.392824999999998</c:v>
                </c:pt>
                <c:pt idx="13">
                  <c:v>23.1021</c:v>
                </c:pt>
                <c:pt idx="14">
                  <c:v>24.824624999999997</c:v>
                </c:pt>
                <c:pt idx="15">
                  <c:v>27.357749999999999</c:v>
                </c:pt>
                <c:pt idx="16">
                  <c:v>27.965699999999998</c:v>
                </c:pt>
                <c:pt idx="17">
                  <c:v>28.269674999999999</c:v>
                </c:pt>
                <c:pt idx="18">
                  <c:v>29.890874999999998</c:v>
                </c:pt>
                <c:pt idx="19">
                  <c:v>30.296174999999998</c:v>
                </c:pt>
                <c:pt idx="20">
                  <c:v>33.943874999999998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4-4156-AD71-82D5CBE0D6D6}"/>
            </c:ext>
          </c:extLst>
        </c:ser>
        <c:ser>
          <c:idx val="1"/>
          <c:order val="1"/>
          <c:tx>
            <c:v>Exp. Data [Jhaver and Robinson]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>
                    <a:alpha val="96000"/>
                  </a:schemeClr>
                </a:solidFill>
              </a:ln>
              <a:effectLst/>
            </c:spPr>
          </c:marker>
          <c:xVal>
            <c:numRef>
              <c:f>'pure N2'!$A$23:$A$29</c:f>
              <c:numCache>
                <c:formatCode>General</c:formatCode>
                <c:ptCount val="7"/>
                <c:pt idx="0">
                  <c:v>273.178</c:v>
                </c:pt>
                <c:pt idx="1">
                  <c:v>273.70299999999997</c:v>
                </c:pt>
                <c:pt idx="2">
                  <c:v>274.89699999999999</c:v>
                </c:pt>
                <c:pt idx="3">
                  <c:v>276.51900000000001</c:v>
                </c:pt>
                <c:pt idx="4">
                  <c:v>277.41399999999999</c:v>
                </c:pt>
                <c:pt idx="5">
                  <c:v>278.601</c:v>
                </c:pt>
                <c:pt idx="6">
                  <c:v>279.303</c:v>
                </c:pt>
              </c:numCache>
            </c:numRef>
          </c:xVal>
          <c:yVal>
            <c:numRef>
              <c:f>'pure N2'!$B$23:$B$29</c:f>
              <c:numCache>
                <c:formatCode>General</c:formatCode>
                <c:ptCount val="7"/>
                <c:pt idx="0">
                  <c:v>16.306100000000001</c:v>
                </c:pt>
                <c:pt idx="1">
                  <c:v>17.150400000000001</c:v>
                </c:pt>
                <c:pt idx="2">
                  <c:v>19.208400000000001</c:v>
                </c:pt>
                <c:pt idx="3">
                  <c:v>23.641200000000001</c:v>
                </c:pt>
                <c:pt idx="4">
                  <c:v>25.224299999999999</c:v>
                </c:pt>
                <c:pt idx="5">
                  <c:v>28.654399999999999</c:v>
                </c:pt>
                <c:pt idx="6">
                  <c:v>30.290199999999999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4-4156-AD71-82D5CBE0D6D6}"/>
            </c:ext>
          </c:extLst>
        </c:ser>
        <c:ser>
          <c:idx val="3"/>
          <c:order val="3"/>
          <c:tx>
            <c:v>Exp. Data [Lee et al.]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'pure N2'!$A$30:$A$36</c:f>
              <c:numCache>
                <c:formatCode>General</c:formatCode>
                <c:ptCount val="7"/>
                <c:pt idx="0">
                  <c:v>273</c:v>
                </c:pt>
                <c:pt idx="1">
                  <c:v>273.89999999999998</c:v>
                </c:pt>
                <c:pt idx="2">
                  <c:v>274.3</c:v>
                </c:pt>
                <c:pt idx="3">
                  <c:v>274.60000000000002</c:v>
                </c:pt>
                <c:pt idx="4">
                  <c:v>276.10000000000002</c:v>
                </c:pt>
                <c:pt idx="5">
                  <c:v>276.60000000000002</c:v>
                </c:pt>
                <c:pt idx="6">
                  <c:v>277.5</c:v>
                </c:pt>
              </c:numCache>
            </c:numRef>
          </c:xVal>
          <c:yVal>
            <c:numRef>
              <c:f>'pure N2'!$B$30:$B$36</c:f>
              <c:numCache>
                <c:formatCode>General</c:formatCode>
                <c:ptCount val="7"/>
                <c:pt idx="0">
                  <c:v>16.13</c:v>
                </c:pt>
                <c:pt idx="1">
                  <c:v>17.489999999999998</c:v>
                </c:pt>
                <c:pt idx="2">
                  <c:v>18.55</c:v>
                </c:pt>
                <c:pt idx="3">
                  <c:v>19.23</c:v>
                </c:pt>
                <c:pt idx="4">
                  <c:v>20.74</c:v>
                </c:pt>
                <c:pt idx="5">
                  <c:v>21.87</c:v>
                </c:pt>
                <c:pt idx="6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45E4-BB93-08963284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scatterChart>
        <c:scatterStyle val="smoothMarker"/>
        <c:varyColors val="0"/>
        <c:ser>
          <c:idx val="2"/>
          <c:order val="2"/>
          <c:tx>
            <c:v>Model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'pure N2'!$D$2:$D$36</c:f>
              <c:numCache>
                <c:formatCode>General</c:formatCode>
                <c:ptCount val="35"/>
                <c:pt idx="0">
                  <c:v>272.84999999999997</c:v>
                </c:pt>
                <c:pt idx="1">
                  <c:v>272.95</c:v>
                </c:pt>
                <c:pt idx="2">
                  <c:v>273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273.178</c:v>
                </c:pt>
                <c:pt idx="6">
                  <c:v>273.34999999999997</c:v>
                </c:pt>
                <c:pt idx="7">
                  <c:v>273.70299999999997</c:v>
                </c:pt>
                <c:pt idx="8">
                  <c:v>273.89999999999998</c:v>
                </c:pt>
                <c:pt idx="9">
                  <c:v>273.95</c:v>
                </c:pt>
                <c:pt idx="10">
                  <c:v>274.14999999999998</c:v>
                </c:pt>
                <c:pt idx="11">
                  <c:v>274.3</c:v>
                </c:pt>
                <c:pt idx="12">
                  <c:v>274.60000000000002</c:v>
                </c:pt>
                <c:pt idx="13">
                  <c:v>274.84999999999997</c:v>
                </c:pt>
                <c:pt idx="14">
                  <c:v>274.84999999999997</c:v>
                </c:pt>
                <c:pt idx="15">
                  <c:v>274.89699999999999</c:v>
                </c:pt>
                <c:pt idx="16">
                  <c:v>275.25</c:v>
                </c:pt>
                <c:pt idx="17">
                  <c:v>275.54999999999995</c:v>
                </c:pt>
                <c:pt idx="18">
                  <c:v>275.84999999999997</c:v>
                </c:pt>
                <c:pt idx="19">
                  <c:v>276.10000000000002</c:v>
                </c:pt>
                <c:pt idx="20">
                  <c:v>276.25</c:v>
                </c:pt>
                <c:pt idx="21">
                  <c:v>276.51900000000001</c:v>
                </c:pt>
                <c:pt idx="22">
                  <c:v>276.54999999999995</c:v>
                </c:pt>
                <c:pt idx="23">
                  <c:v>276.60000000000002</c:v>
                </c:pt>
                <c:pt idx="24">
                  <c:v>277.25</c:v>
                </c:pt>
                <c:pt idx="25">
                  <c:v>277.41399999999999</c:v>
                </c:pt>
                <c:pt idx="26">
                  <c:v>277.5</c:v>
                </c:pt>
                <c:pt idx="27">
                  <c:v>278.25</c:v>
                </c:pt>
                <c:pt idx="28">
                  <c:v>278.25</c:v>
                </c:pt>
                <c:pt idx="29">
                  <c:v>278.601</c:v>
                </c:pt>
                <c:pt idx="30">
                  <c:v>278.64999999999998</c:v>
                </c:pt>
                <c:pt idx="31">
                  <c:v>279.14999999999998</c:v>
                </c:pt>
                <c:pt idx="32">
                  <c:v>279.25</c:v>
                </c:pt>
                <c:pt idx="33">
                  <c:v>279.303</c:v>
                </c:pt>
                <c:pt idx="34">
                  <c:v>280.25</c:v>
                </c:pt>
              </c:numCache>
            </c:numRef>
          </c:xVal>
          <c:yVal>
            <c:numRef>
              <c:f>'pure N2'!$E$2:$E$36</c:f>
              <c:numCache>
                <c:formatCode>General</c:formatCode>
                <c:ptCount val="35"/>
                <c:pt idx="0">
                  <c:v>15.714293943582195</c:v>
                </c:pt>
                <c:pt idx="1">
                  <c:v>15.901628184156298</c:v>
                </c:pt>
                <c:pt idx="2">
                  <c:v>15.9964836629016</c:v>
                </c:pt>
                <c:pt idx="3">
                  <c:v>16.285933208078671</c:v>
                </c:pt>
                <c:pt idx="4">
                  <c:v>16.285933208225078</c:v>
                </c:pt>
                <c:pt idx="5">
                  <c:v>16.34079194178198</c:v>
                </c:pt>
                <c:pt idx="6">
                  <c:v>16.683684182746454</c:v>
                </c:pt>
                <c:pt idx="7">
                  <c:v>17.420909975787001</c:v>
                </c:pt>
                <c:pt idx="8">
                  <c:v>17.853327862393762</c:v>
                </c:pt>
                <c:pt idx="9">
                  <c:v>17.965615453320094</c:v>
                </c:pt>
                <c:pt idx="10">
                  <c:v>18.425511032344957</c:v>
                </c:pt>
                <c:pt idx="11">
                  <c:v>18.782189129600734</c:v>
                </c:pt>
                <c:pt idx="12">
                  <c:v>19.527926849996867</c:v>
                </c:pt>
                <c:pt idx="13">
                  <c:v>20.184977242511554</c:v>
                </c:pt>
                <c:pt idx="14">
                  <c:v>20.184977242511817</c:v>
                </c:pt>
                <c:pt idx="15">
                  <c:v>20.31236420435792</c:v>
                </c:pt>
                <c:pt idx="16">
                  <c:v>21.311244557536384</c:v>
                </c:pt>
                <c:pt idx="17">
                  <c:v>22.223760334078392</c:v>
                </c:pt>
                <c:pt idx="18">
                  <c:v>23.202123821304291</c:v>
                </c:pt>
                <c:pt idx="19">
                  <c:v>24.073652198997774</c:v>
                </c:pt>
                <c:pt idx="20">
                  <c:v>24.623571122253161</c:v>
                </c:pt>
                <c:pt idx="21">
                  <c:v>25.665593271550563</c:v>
                </c:pt>
                <c:pt idx="22">
                  <c:v>25.790599471327766</c:v>
                </c:pt>
                <c:pt idx="23">
                  <c:v>25.994486403623984</c:v>
                </c:pt>
                <c:pt idx="24">
                  <c:v>28.931414388734311</c:v>
                </c:pt>
                <c:pt idx="25">
                  <c:v>29.769689868727585</c:v>
                </c:pt>
                <c:pt idx="26">
                  <c:v>30.227588000717304</c:v>
                </c:pt>
                <c:pt idx="27">
                  <c:v>34.875718281910885</c:v>
                </c:pt>
                <c:pt idx="28">
                  <c:v>34.875718281910757</c:v>
                </c:pt>
                <c:pt idx="29">
                  <c:v>37.576184100701383</c:v>
                </c:pt>
                <c:pt idx="30">
                  <c:v>37.987918036281464</c:v>
                </c:pt>
                <c:pt idx="31">
                  <c:v>42.816637938155807</c:v>
                </c:pt>
                <c:pt idx="32">
                  <c:v>43.950172713483255</c:v>
                </c:pt>
                <c:pt idx="33">
                  <c:v>44.578970370433851</c:v>
                </c:pt>
                <c:pt idx="34">
                  <c:v>61.377453762454856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4-4156-AD71-82D5CBE0D6D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'pure N2'!$G$2:$G$36</c:f>
              <c:numCache>
                <c:formatCode>General</c:formatCode>
                <c:ptCount val="35"/>
                <c:pt idx="0">
                  <c:v>272.84999999999997</c:v>
                </c:pt>
                <c:pt idx="1">
                  <c:v>272.95</c:v>
                </c:pt>
                <c:pt idx="2">
                  <c:v>273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273.178</c:v>
                </c:pt>
                <c:pt idx="6">
                  <c:v>273.34999999999997</c:v>
                </c:pt>
                <c:pt idx="7">
                  <c:v>273.70299999999997</c:v>
                </c:pt>
                <c:pt idx="8">
                  <c:v>273.89999999999998</c:v>
                </c:pt>
                <c:pt idx="9">
                  <c:v>273.95</c:v>
                </c:pt>
                <c:pt idx="10">
                  <c:v>274.14999999999998</c:v>
                </c:pt>
                <c:pt idx="11">
                  <c:v>274.3</c:v>
                </c:pt>
                <c:pt idx="12">
                  <c:v>274.60000000000002</c:v>
                </c:pt>
                <c:pt idx="13">
                  <c:v>274.84999999999997</c:v>
                </c:pt>
                <c:pt idx="14">
                  <c:v>274.84999999999997</c:v>
                </c:pt>
                <c:pt idx="15">
                  <c:v>274.89699999999999</c:v>
                </c:pt>
                <c:pt idx="16">
                  <c:v>275.25</c:v>
                </c:pt>
                <c:pt idx="17">
                  <c:v>275.54999999999995</c:v>
                </c:pt>
                <c:pt idx="18">
                  <c:v>275.84999999999997</c:v>
                </c:pt>
                <c:pt idx="19">
                  <c:v>276.10000000000002</c:v>
                </c:pt>
                <c:pt idx="20">
                  <c:v>276.25</c:v>
                </c:pt>
                <c:pt idx="21">
                  <c:v>276.51900000000001</c:v>
                </c:pt>
                <c:pt idx="22">
                  <c:v>276.54999999999995</c:v>
                </c:pt>
                <c:pt idx="23">
                  <c:v>276.60000000000002</c:v>
                </c:pt>
                <c:pt idx="24">
                  <c:v>277.25</c:v>
                </c:pt>
                <c:pt idx="25">
                  <c:v>277.41399999999999</c:v>
                </c:pt>
                <c:pt idx="26">
                  <c:v>277.5</c:v>
                </c:pt>
                <c:pt idx="27">
                  <c:v>278.25</c:v>
                </c:pt>
                <c:pt idx="28">
                  <c:v>278.25</c:v>
                </c:pt>
                <c:pt idx="29">
                  <c:v>278.601</c:v>
                </c:pt>
                <c:pt idx="30">
                  <c:v>278.64999999999998</c:v>
                </c:pt>
                <c:pt idx="31">
                  <c:v>279.14999999999998</c:v>
                </c:pt>
                <c:pt idx="32">
                  <c:v>279.25</c:v>
                </c:pt>
                <c:pt idx="33">
                  <c:v>279.303</c:v>
                </c:pt>
                <c:pt idx="34">
                  <c:v>280.25</c:v>
                </c:pt>
              </c:numCache>
            </c:numRef>
          </c:xVal>
          <c:yVal>
            <c:numRef>
              <c:f>'pure N2'!$H$2:$H$36</c:f>
              <c:numCache>
                <c:formatCode>0.00</c:formatCode>
                <c:ptCount val="35"/>
                <c:pt idx="0">
                  <c:v>14.696936418358453</c:v>
                </c:pt>
                <c:pt idx="1">
                  <c:v>14.860588630684195</c:v>
                </c:pt>
                <c:pt idx="2" formatCode="General">
                  <c:v>14.943353285117254</c:v>
                </c:pt>
                <c:pt idx="3">
                  <c:v>15.195493820194121</c:v>
                </c:pt>
                <c:pt idx="4">
                  <c:v>15.195493820194333</c:v>
                </c:pt>
                <c:pt idx="5" formatCode="General">
                  <c:v>15.243210804027026</c:v>
                </c:pt>
                <c:pt idx="6">
                  <c:v>15.540939786079544</c:v>
                </c:pt>
                <c:pt idx="7" formatCode="General">
                  <c:v>16.178073566396328</c:v>
                </c:pt>
                <c:pt idx="8" formatCode="General">
                  <c:v>16.549842115164207</c:v>
                </c:pt>
                <c:pt idx="9">
                  <c:v>16.646144053120445</c:v>
                </c:pt>
                <c:pt idx="10">
                  <c:v>17.039540922980983</c:v>
                </c:pt>
                <c:pt idx="11" formatCode="General">
                  <c:v>17.343503629846925</c:v>
                </c:pt>
                <c:pt idx="12" formatCode="General">
                  <c:v>17.975764117063473</c:v>
                </c:pt>
                <c:pt idx="13">
                  <c:v>18.52913506076462</c:v>
                </c:pt>
                <c:pt idx="14">
                  <c:v>18.52913506078584</c:v>
                </c:pt>
                <c:pt idx="15" formatCode="General">
                  <c:v>18.636016485998852</c:v>
                </c:pt>
                <c:pt idx="16">
                  <c:v>19.46950356855525</c:v>
                </c:pt>
                <c:pt idx="17">
                  <c:v>20.223698567454441</c:v>
                </c:pt>
                <c:pt idx="18">
                  <c:v>21.024515719978019</c:v>
                </c:pt>
                <c:pt idx="19" formatCode="General">
                  <c:v>21.730990031987567</c:v>
                </c:pt>
                <c:pt idx="20">
                  <c:v>22.173374517004088</c:v>
                </c:pt>
                <c:pt idx="21" formatCode="General">
                  <c:v>23.004381720167419</c:v>
                </c:pt>
                <c:pt idx="22">
                  <c:v>23.10342925652251</c:v>
                </c:pt>
                <c:pt idx="23" formatCode="General">
                  <c:v>23.26467611886271</c:v>
                </c:pt>
                <c:pt idx="24">
                  <c:v>25.545742009668647</c:v>
                </c:pt>
                <c:pt idx="25" formatCode="General">
                  <c:v>26.18228443334575</c:v>
                </c:pt>
                <c:pt idx="26" formatCode="General">
                  <c:v>26.527215466253125</c:v>
                </c:pt>
                <c:pt idx="27">
                  <c:v>29.915242319979274</c:v>
                </c:pt>
                <c:pt idx="28">
                  <c:v>29.915242319981878</c:v>
                </c:pt>
                <c:pt idx="29" formatCode="General">
                  <c:v>31.78628040344957</c:v>
                </c:pt>
                <c:pt idx="30">
                  <c:v>32.065113202696253</c:v>
                </c:pt>
                <c:pt idx="31">
                  <c:v>35.205286658056096</c:v>
                </c:pt>
                <c:pt idx="32">
                  <c:v>35.907191124142344</c:v>
                </c:pt>
                <c:pt idx="33" formatCode="General">
                  <c:v>36.290689520218628</c:v>
                </c:pt>
                <c:pt idx="34">
                  <c:v>44.944531433209121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0-4632-A017-CF0080ED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valAx>
        <c:axId val="3542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8376"/>
        <c:crosses val="autoZero"/>
        <c:crossBetween val="midCat"/>
      </c:valAx>
      <c:valAx>
        <c:axId val="354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 / MPa</a:t>
                </a:r>
              </a:p>
            </c:rich>
          </c:tx>
          <c:layout>
            <c:manualLayout>
              <c:xMode val="edge"/>
              <c:yMode val="edge"/>
              <c:x val="1.9785953479952937E-2"/>
              <c:y val="0.26374586764440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4936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8446692008326564E-2"/>
          <c:y val="0.80319866266716655"/>
          <c:w val="0.81402570368359128"/>
          <c:h val="0.19494188226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y(CO2)=0.9659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Kang1!$A$3:$A$7</c:f>
              <c:numCache>
                <c:formatCode>General</c:formatCode>
                <c:ptCount val="5"/>
                <c:pt idx="0">
                  <c:v>274.95</c:v>
                </c:pt>
                <c:pt idx="1">
                  <c:v>277.45</c:v>
                </c:pt>
                <c:pt idx="2">
                  <c:v>280.25</c:v>
                </c:pt>
                <c:pt idx="3">
                  <c:v>282.55</c:v>
                </c:pt>
                <c:pt idx="4">
                  <c:v>283.55</c:v>
                </c:pt>
              </c:numCache>
            </c:numRef>
          </c:xVal>
          <c:yVal>
            <c:numRef>
              <c:f>Kang1!$B$3:$B$7</c:f>
              <c:numCache>
                <c:formatCode>General</c:formatCode>
                <c:ptCount val="5"/>
                <c:pt idx="0">
                  <c:v>1.5649999999999999</c:v>
                </c:pt>
                <c:pt idx="1">
                  <c:v>2.06</c:v>
                </c:pt>
                <c:pt idx="2">
                  <c:v>2.9</c:v>
                </c:pt>
                <c:pt idx="3">
                  <c:v>4</c:v>
                </c:pt>
                <c:pt idx="4">
                  <c:v>5.1150000000000002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486B-8754-EF786343F817}"/>
            </c:ext>
          </c:extLst>
        </c:ser>
        <c:ser>
          <c:idx val="1"/>
          <c:order val="1"/>
          <c:tx>
            <c:v>y(CO2)=0.778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Kang1!$C$3:$C$7</c:f>
              <c:numCache>
                <c:formatCode>General</c:formatCode>
                <c:ptCount val="5"/>
                <c:pt idx="0">
                  <c:v>274</c:v>
                </c:pt>
                <c:pt idx="1">
                  <c:v>276.14999999999998</c:v>
                </c:pt>
                <c:pt idx="2">
                  <c:v>280.64999999999998</c:v>
                </c:pt>
                <c:pt idx="3">
                  <c:v>283.45</c:v>
                </c:pt>
                <c:pt idx="4">
                  <c:v>284.25</c:v>
                </c:pt>
              </c:numCache>
            </c:numRef>
          </c:xVal>
          <c:yVal>
            <c:numRef>
              <c:f>Kang1!$D$3:$D$7</c:f>
              <c:numCache>
                <c:formatCode>General</c:formatCode>
                <c:ptCount val="5"/>
                <c:pt idx="0">
                  <c:v>2</c:v>
                </c:pt>
                <c:pt idx="1">
                  <c:v>2.6</c:v>
                </c:pt>
                <c:pt idx="2">
                  <c:v>4.2249999999999996</c:v>
                </c:pt>
                <c:pt idx="3">
                  <c:v>6.45</c:v>
                </c:pt>
                <c:pt idx="4">
                  <c:v>7.4450000000000003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0-486B-8754-EF786343F817}"/>
            </c:ext>
          </c:extLst>
        </c:ser>
        <c:ser>
          <c:idx val="2"/>
          <c:order val="2"/>
          <c:tx>
            <c:v>y(CO2)=0.482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Kang1!$E$3:$E$7</c:f>
              <c:numCache>
                <c:formatCode>General</c:formatCode>
                <c:ptCount val="5"/>
                <c:pt idx="0">
                  <c:v>273.75</c:v>
                </c:pt>
                <c:pt idx="1">
                  <c:v>276</c:v>
                </c:pt>
                <c:pt idx="2">
                  <c:v>279</c:v>
                </c:pt>
                <c:pt idx="3">
                  <c:v>281</c:v>
                </c:pt>
                <c:pt idx="4">
                  <c:v>282</c:v>
                </c:pt>
              </c:numCache>
            </c:numRef>
          </c:xVal>
          <c:yVal>
            <c:numRef>
              <c:f>Kang1!$F$3:$F$7</c:f>
              <c:numCache>
                <c:formatCode>General</c:formatCode>
                <c:ptCount val="5"/>
                <c:pt idx="0">
                  <c:v>3.1949999999999998</c:v>
                </c:pt>
                <c:pt idx="1">
                  <c:v>4.2569999999999997</c:v>
                </c:pt>
                <c:pt idx="2">
                  <c:v>5.867</c:v>
                </c:pt>
                <c:pt idx="3">
                  <c:v>7.4489999999999998</c:v>
                </c:pt>
                <c:pt idx="4">
                  <c:v>8.9749999999999996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0-486B-8754-EF786343F817}"/>
            </c:ext>
          </c:extLst>
        </c:ser>
        <c:ser>
          <c:idx val="3"/>
          <c:order val="3"/>
          <c:tx>
            <c:v>y(CO2)=0.176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Kang1!$G$3:$G$7</c:f>
              <c:numCache>
                <c:formatCode>General</c:formatCode>
                <c:ptCount val="5"/>
                <c:pt idx="0">
                  <c:v>272.85000000000002</c:v>
                </c:pt>
                <c:pt idx="1">
                  <c:v>274.05</c:v>
                </c:pt>
                <c:pt idx="2">
                  <c:v>277.45</c:v>
                </c:pt>
                <c:pt idx="3">
                  <c:v>278.64999999999998</c:v>
                </c:pt>
                <c:pt idx="4">
                  <c:v>280.55</c:v>
                </c:pt>
              </c:numCache>
            </c:numRef>
          </c:xVal>
          <c:yVal>
            <c:numRef>
              <c:f>Kang1!$H$3:$H$7</c:f>
              <c:numCache>
                <c:formatCode>General</c:formatCode>
                <c:ptCount val="5"/>
                <c:pt idx="0">
                  <c:v>7.24</c:v>
                </c:pt>
                <c:pt idx="1">
                  <c:v>8.120000000000001</c:v>
                </c:pt>
                <c:pt idx="2">
                  <c:v>10.65</c:v>
                </c:pt>
                <c:pt idx="3">
                  <c:v>11.748000000000001</c:v>
                </c:pt>
                <c:pt idx="4">
                  <c:v>14.219999999999999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0-486B-8754-EF786343F817}"/>
            </c:ext>
          </c:extLst>
        </c:ser>
        <c:ser>
          <c:idx val="4"/>
          <c:order val="4"/>
          <c:tx>
            <c:v>y(CO2)=0.116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Kang1!$I$3:$I$6</c:f>
              <c:numCache>
                <c:formatCode>General</c:formatCode>
                <c:ptCount val="4"/>
                <c:pt idx="0">
                  <c:v>274.25</c:v>
                </c:pt>
                <c:pt idx="1">
                  <c:v>275.64999999999998</c:v>
                </c:pt>
                <c:pt idx="2">
                  <c:v>277.60000000000002</c:v>
                </c:pt>
                <c:pt idx="3">
                  <c:v>278.95</c:v>
                </c:pt>
              </c:numCache>
            </c:numRef>
          </c:xVal>
          <c:yVal>
            <c:numRef>
              <c:f>Kang1!$J$3:$J$6</c:f>
              <c:numCache>
                <c:formatCode>General</c:formatCode>
                <c:ptCount val="4"/>
                <c:pt idx="0">
                  <c:v>11.02</c:v>
                </c:pt>
                <c:pt idx="1">
                  <c:v>13.87</c:v>
                </c:pt>
                <c:pt idx="2">
                  <c:v>18.100000000000001</c:v>
                </c:pt>
                <c:pt idx="3">
                  <c:v>22.23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10-486B-8754-EF786343F817}"/>
            </c:ext>
          </c:extLst>
        </c:ser>
        <c:ser>
          <c:idx val="5"/>
          <c:order val="5"/>
          <c:tx>
            <c:v>y(CO2)=0.066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Kang1!$K$3:$K$6</c:f>
              <c:numCache>
                <c:formatCode>General</c:formatCode>
                <c:ptCount val="4"/>
                <c:pt idx="0">
                  <c:v>273.95</c:v>
                </c:pt>
                <c:pt idx="1">
                  <c:v>274.55</c:v>
                </c:pt>
                <c:pt idx="2">
                  <c:v>277</c:v>
                </c:pt>
                <c:pt idx="3">
                  <c:v>278.25</c:v>
                </c:pt>
              </c:numCache>
            </c:numRef>
          </c:xVal>
          <c:yVal>
            <c:numRef>
              <c:f>Kang1!$L$3:$L$6</c:f>
              <c:numCache>
                <c:formatCode>General</c:formatCode>
                <c:ptCount val="4"/>
                <c:pt idx="0">
                  <c:v>14.084999999999999</c:v>
                </c:pt>
                <c:pt idx="1">
                  <c:v>15.4</c:v>
                </c:pt>
                <c:pt idx="2">
                  <c:v>20.68</c:v>
                </c:pt>
                <c:pt idx="3">
                  <c:v>24.119999999999997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0-486B-8754-EF786343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scatterChart>
        <c:scatterStyle val="smoothMarker"/>
        <c:varyColors val="0"/>
        <c:ser>
          <c:idx val="6"/>
          <c:order val="6"/>
          <c:tx>
            <c:v>Model, y(CO2)=0.9659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Kang1!$A$11:$A$15</c:f>
              <c:numCache>
                <c:formatCode>General</c:formatCode>
                <c:ptCount val="5"/>
                <c:pt idx="0">
                  <c:v>274.95</c:v>
                </c:pt>
                <c:pt idx="1">
                  <c:v>277.45</c:v>
                </c:pt>
                <c:pt idx="2">
                  <c:v>280.25</c:v>
                </c:pt>
                <c:pt idx="3">
                  <c:v>282.55</c:v>
                </c:pt>
                <c:pt idx="4">
                  <c:v>283.55</c:v>
                </c:pt>
              </c:numCache>
            </c:numRef>
          </c:xVal>
          <c:yVal>
            <c:numRef>
              <c:f>Kang1!$B$11:$B$15</c:f>
              <c:numCache>
                <c:formatCode>General</c:formatCode>
                <c:ptCount val="5"/>
                <c:pt idx="0">
                  <c:v>1.7942532067305539</c:v>
                </c:pt>
                <c:pt idx="1">
                  <c:v>2.2415135816981886</c:v>
                </c:pt>
                <c:pt idx="2">
                  <c:v>2.8650062182018767</c:v>
                </c:pt>
                <c:pt idx="3">
                  <c:v>3.485184459108654</c:v>
                </c:pt>
                <c:pt idx="4">
                  <c:v>3.7853426169769406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10-486B-8754-EF786343F817}"/>
            </c:ext>
          </c:extLst>
        </c:ser>
        <c:ser>
          <c:idx val="7"/>
          <c:order val="7"/>
          <c:tx>
            <c:v>Model, y(CO2)=0.778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Kang1!$C$11:$C$15</c:f>
              <c:numCache>
                <c:formatCode>General</c:formatCode>
                <c:ptCount val="5"/>
                <c:pt idx="0">
                  <c:v>274</c:v>
                </c:pt>
                <c:pt idx="1">
                  <c:v>276.14999999999998</c:v>
                </c:pt>
                <c:pt idx="2">
                  <c:v>280.64999999999998</c:v>
                </c:pt>
                <c:pt idx="3">
                  <c:v>283.45</c:v>
                </c:pt>
                <c:pt idx="4">
                  <c:v>284.25</c:v>
                </c:pt>
              </c:numCache>
            </c:numRef>
          </c:xVal>
          <c:yVal>
            <c:numRef>
              <c:f>Kang1!$D$11:$D$15</c:f>
              <c:numCache>
                <c:formatCode>General</c:formatCode>
                <c:ptCount val="5"/>
                <c:pt idx="0">
                  <c:v>2.0401960361902587</c:v>
                </c:pt>
                <c:pt idx="1">
                  <c:v>2.4917619657998644</c:v>
                </c:pt>
                <c:pt idx="2">
                  <c:v>3.787923699947227</c:v>
                </c:pt>
                <c:pt idx="3">
                  <c:v>4.9092181354052578</c:v>
                </c:pt>
                <c:pt idx="4">
                  <c:v>5.2833058183678272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10-486B-8754-EF786343F817}"/>
            </c:ext>
          </c:extLst>
        </c:ser>
        <c:ser>
          <c:idx val="8"/>
          <c:order val="8"/>
          <c:tx>
            <c:v>Model, y(CO2)=0.482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Kang1!$E$11:$E$15</c:f>
              <c:numCache>
                <c:formatCode>General</c:formatCode>
                <c:ptCount val="5"/>
                <c:pt idx="0">
                  <c:v>273.75</c:v>
                </c:pt>
                <c:pt idx="1">
                  <c:v>276</c:v>
                </c:pt>
                <c:pt idx="2">
                  <c:v>279</c:v>
                </c:pt>
                <c:pt idx="3">
                  <c:v>281</c:v>
                </c:pt>
                <c:pt idx="4">
                  <c:v>282</c:v>
                </c:pt>
              </c:numCache>
            </c:numRef>
          </c:xVal>
          <c:yVal>
            <c:numRef>
              <c:f>Kang1!$F$11:$F$15</c:f>
              <c:numCache>
                <c:formatCode>General</c:formatCode>
                <c:ptCount val="5"/>
                <c:pt idx="0">
                  <c:v>3.1559694084233572</c:v>
                </c:pt>
                <c:pt idx="1">
                  <c:v>3.9548449682905917</c:v>
                </c:pt>
                <c:pt idx="2">
                  <c:v>5.3969792958345568</c:v>
                </c:pt>
                <c:pt idx="3">
                  <c:v>6.710879535065092</c:v>
                </c:pt>
                <c:pt idx="4">
                  <c:v>7.521818916026918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10-486B-8754-EF786343F817}"/>
            </c:ext>
          </c:extLst>
        </c:ser>
        <c:ser>
          <c:idx val="9"/>
          <c:order val="9"/>
          <c:tx>
            <c:v>Model, y(CO2)=0.176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Kang1!$G$11:$G$15</c:f>
              <c:numCache>
                <c:formatCode>General</c:formatCode>
                <c:ptCount val="5"/>
                <c:pt idx="0">
                  <c:v>272.85000000000002</c:v>
                </c:pt>
                <c:pt idx="1">
                  <c:v>274.05</c:v>
                </c:pt>
                <c:pt idx="2">
                  <c:v>277.45</c:v>
                </c:pt>
                <c:pt idx="3">
                  <c:v>278.64999999999998</c:v>
                </c:pt>
                <c:pt idx="4">
                  <c:v>280.55</c:v>
                </c:pt>
              </c:numCache>
            </c:numRef>
          </c:xVal>
          <c:yVal>
            <c:numRef>
              <c:f>Kang1!$H$11:$H$15</c:f>
              <c:numCache>
                <c:formatCode>General</c:formatCode>
                <c:ptCount val="5"/>
                <c:pt idx="0">
                  <c:v>6.7718334816676249</c:v>
                </c:pt>
                <c:pt idx="1">
                  <c:v>7.7447783968043336</c:v>
                </c:pt>
                <c:pt idx="2">
                  <c:v>11.718670113237099</c:v>
                </c:pt>
                <c:pt idx="3">
                  <c:v>13.839871457254915</c:v>
                </c:pt>
                <c:pt idx="4">
                  <c:v>18.823462519934253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10-486B-8754-EF786343F817}"/>
            </c:ext>
          </c:extLst>
        </c:ser>
        <c:ser>
          <c:idx val="10"/>
          <c:order val="10"/>
          <c:tx>
            <c:v>Model, y(CO2)=0.116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Kang1!$I$11:$I$14</c:f>
              <c:numCache>
                <c:formatCode>General</c:formatCode>
                <c:ptCount val="4"/>
                <c:pt idx="0">
                  <c:v>274.25</c:v>
                </c:pt>
                <c:pt idx="1">
                  <c:v>275.64999999999998</c:v>
                </c:pt>
                <c:pt idx="2">
                  <c:v>277.60000000000002</c:v>
                </c:pt>
                <c:pt idx="3">
                  <c:v>278.95</c:v>
                </c:pt>
              </c:numCache>
            </c:numRef>
          </c:xVal>
          <c:yVal>
            <c:numRef>
              <c:f>Kang1!$J$11:$J$14</c:f>
              <c:numCache>
                <c:formatCode>General</c:formatCode>
                <c:ptCount val="4"/>
                <c:pt idx="0">
                  <c:v>10.669083855239993</c:v>
                </c:pt>
                <c:pt idx="1">
                  <c:v>12.708050221033712</c:v>
                </c:pt>
                <c:pt idx="2">
                  <c:v>16.660035261179125</c:v>
                </c:pt>
                <c:pt idx="3">
                  <c:v>20.729334997869945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310-486B-8754-EF786343F817}"/>
            </c:ext>
          </c:extLst>
        </c:ser>
        <c:ser>
          <c:idx val="11"/>
          <c:order val="11"/>
          <c:tx>
            <c:v>Model, y(CO2)=0.066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Kang1!$K$11:$K$14</c:f>
              <c:numCache>
                <c:formatCode>General</c:formatCode>
                <c:ptCount val="4"/>
                <c:pt idx="0">
                  <c:v>273.95</c:v>
                </c:pt>
                <c:pt idx="1">
                  <c:v>274.55</c:v>
                </c:pt>
                <c:pt idx="2">
                  <c:v>277</c:v>
                </c:pt>
                <c:pt idx="3">
                  <c:v>278.25</c:v>
                </c:pt>
              </c:numCache>
            </c:numRef>
          </c:xVal>
          <c:yVal>
            <c:numRef>
              <c:f>Kang1!$L$11:$L$14</c:f>
              <c:numCache>
                <c:formatCode>General</c:formatCode>
                <c:ptCount val="4"/>
                <c:pt idx="0">
                  <c:v>14.083402091363904</c:v>
                </c:pt>
                <c:pt idx="1">
                  <c:v>15.207550286569756</c:v>
                </c:pt>
                <c:pt idx="2">
                  <c:v>21.602540313564216</c:v>
                </c:pt>
                <c:pt idx="3">
                  <c:v>26.836011737594824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310-486B-8754-EF786343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valAx>
        <c:axId val="32682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 /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8816"/>
        <c:crosses val="autoZero"/>
        <c:crossBetween val="midCat"/>
      </c:valAx>
      <c:valAx>
        <c:axId val="3268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 / MPa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7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490917883403277"/>
          <c:y val="0.78362524251490007"/>
          <c:w val="0.85046390763124113"/>
          <c:h val="0.19834364600905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T=274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Kang2!$A$3:$A$11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Kang2!$B$3:$B$11</c:f>
              <c:numCache>
                <c:formatCode>General</c:formatCode>
                <c:ptCount val="9"/>
                <c:pt idx="0">
                  <c:v>1.3939999999999999</c:v>
                </c:pt>
                <c:pt idx="1">
                  <c:v>1.7690000000000001</c:v>
                </c:pt>
                <c:pt idx="2">
                  <c:v>2.3540000000000001</c:v>
                </c:pt>
                <c:pt idx="3">
                  <c:v>2.835</c:v>
                </c:pt>
                <c:pt idx="4">
                  <c:v>3.56</c:v>
                </c:pt>
                <c:pt idx="5">
                  <c:v>7.2349999999999994</c:v>
                </c:pt>
                <c:pt idx="6">
                  <c:v>11.2</c:v>
                </c:pt>
                <c:pt idx="7">
                  <c:v>14.928000000000001</c:v>
                </c:pt>
                <c:pt idx="8">
                  <c:v>17.925999999999998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C65-BB6E-8A40036FCF59}"/>
            </c:ext>
          </c:extLst>
        </c:ser>
        <c:ser>
          <c:idx val="1"/>
          <c:order val="1"/>
          <c:tx>
            <c:v>T=277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Kang2!$C$3:$C$10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Kang2!$D$3:$D$10</c:f>
              <c:numCache>
                <c:formatCode>General</c:formatCode>
                <c:ptCount val="8"/>
                <c:pt idx="0">
                  <c:v>1.9530000000000001</c:v>
                </c:pt>
                <c:pt idx="1">
                  <c:v>2.6</c:v>
                </c:pt>
                <c:pt idx="2">
                  <c:v>3.3770000000000002</c:v>
                </c:pt>
                <c:pt idx="3">
                  <c:v>5.2329999999999997</c:v>
                </c:pt>
                <c:pt idx="4">
                  <c:v>11.98</c:v>
                </c:pt>
                <c:pt idx="5">
                  <c:v>15.5</c:v>
                </c:pt>
                <c:pt idx="6">
                  <c:v>19.173999999999999</c:v>
                </c:pt>
                <c:pt idx="7">
                  <c:v>24.041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6-4C65-BB6E-8A40036FCF59}"/>
            </c:ext>
          </c:extLst>
        </c:ser>
        <c:ser>
          <c:idx val="2"/>
          <c:order val="2"/>
          <c:tx>
            <c:v>T=280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Kang2!$E$3:$E$11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Kang2!$F$3:$F$11</c:f>
              <c:numCache>
                <c:formatCode>General</c:formatCode>
                <c:ptCount val="9"/>
                <c:pt idx="0">
                  <c:v>2.8010000000000002</c:v>
                </c:pt>
                <c:pt idx="1">
                  <c:v>3.6</c:v>
                </c:pt>
                <c:pt idx="2">
                  <c:v>4.2329999999999997</c:v>
                </c:pt>
                <c:pt idx="3">
                  <c:v>5.0679999999999996</c:v>
                </c:pt>
                <c:pt idx="4">
                  <c:v>8.2750000000000004</c:v>
                </c:pt>
                <c:pt idx="5">
                  <c:v>14.974</c:v>
                </c:pt>
                <c:pt idx="6">
                  <c:v>20.753</c:v>
                </c:pt>
                <c:pt idx="7">
                  <c:v>26.689999999999998</c:v>
                </c:pt>
                <c:pt idx="8">
                  <c:v>32.308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6-4C65-BB6E-8A40036F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scatterChart>
        <c:scatterStyle val="smoothMarker"/>
        <c:varyColors val="0"/>
        <c:ser>
          <c:idx val="3"/>
          <c:order val="3"/>
          <c:tx>
            <c:v>CPA-PR, T=274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Kang2!$A$14:$A$22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Kang2!$B$14:$B$22</c:f>
              <c:numCache>
                <c:formatCode>General</c:formatCode>
                <c:ptCount val="9"/>
                <c:pt idx="0">
                  <c:v>1.5921145623461306</c:v>
                </c:pt>
                <c:pt idx="1">
                  <c:v>1.9363360971864725</c:v>
                </c:pt>
                <c:pt idx="2">
                  <c:v>2.6259175903191556</c:v>
                </c:pt>
                <c:pt idx="3">
                  <c:v>3.0947269147718894</c:v>
                </c:pt>
                <c:pt idx="4">
                  <c:v>3.8474315076083068</c:v>
                </c:pt>
                <c:pt idx="5">
                  <c:v>6.8199162331471639</c:v>
                </c:pt>
                <c:pt idx="6">
                  <c:v>10.353494875474416</c:v>
                </c:pt>
                <c:pt idx="7">
                  <c:v>15.261570000000001</c:v>
                </c:pt>
                <c:pt idx="8">
                  <c:v>18.078961901828521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D6-4C65-BB6E-8A40036FCF59}"/>
            </c:ext>
          </c:extLst>
        </c:ser>
        <c:ser>
          <c:idx val="4"/>
          <c:order val="4"/>
          <c:tx>
            <c:v>CPA-PR, T=277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Kang2!$C$14:$C$20</c:f>
              <c:numCache>
                <c:formatCode>0.000</c:formatCode>
                <c:ptCount val="7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</c:numCache>
            </c:numRef>
          </c:xVal>
          <c:yVal>
            <c:numRef>
              <c:f>Kang2!$D$14:$D$20</c:f>
              <c:numCache>
                <c:formatCode>General</c:formatCode>
                <c:ptCount val="7"/>
                <c:pt idx="0">
                  <c:v>2.0769463929059233</c:v>
                </c:pt>
                <c:pt idx="1">
                  <c:v>2.4636040913968285</c:v>
                </c:pt>
                <c:pt idx="2">
                  <c:v>3.5959621720458221</c:v>
                </c:pt>
                <c:pt idx="3">
                  <c:v>5.3826940192777917</c:v>
                </c:pt>
                <c:pt idx="4">
                  <c:v>11.048728071720342</c:v>
                </c:pt>
                <c:pt idx="5">
                  <c:v>15.260903843941254</c:v>
                </c:pt>
                <c:pt idx="6">
                  <c:v>21.602540313657073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D6-4C65-BB6E-8A40036FCF59}"/>
            </c:ext>
          </c:extLst>
        </c:ser>
        <c:ser>
          <c:idx val="5"/>
          <c:order val="5"/>
          <c:tx>
            <c:v>CPA-PR, T=280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Kang2!$E$14:$E$22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0.13</c:v>
                </c:pt>
                <c:pt idx="8">
                  <c:v>9.0499999999999997E-2</c:v>
                </c:pt>
              </c:numCache>
            </c:numRef>
          </c:xVal>
          <c:yVal>
            <c:numRef>
              <c:f>Kang2!$F$14:$F$22</c:f>
              <c:numCache>
                <c:formatCode>General</c:formatCode>
                <c:ptCount val="9"/>
                <c:pt idx="0">
                  <c:v>2.696617583792412</c:v>
                </c:pt>
                <c:pt idx="1">
                  <c:v>3.3418089365571562</c:v>
                </c:pt>
                <c:pt idx="2">
                  <c:v>4.0056987731841742</c:v>
                </c:pt>
                <c:pt idx="3">
                  <c:v>4.8109642494603193</c:v>
                </c:pt>
                <c:pt idx="4">
                  <c:v>7.4775736487732285</c:v>
                </c:pt>
                <c:pt idx="5">
                  <c:v>11.944316347665325</c:v>
                </c:pt>
                <c:pt idx="6">
                  <c:v>17.597886608818069</c:v>
                </c:pt>
                <c:pt idx="7">
                  <c:v>22.838000000000001</c:v>
                </c:pt>
                <c:pt idx="8">
                  <c:v>31.350204002600123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D6-4C65-BB6E-8A40036F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valAx>
        <c:axId val="460897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y(CO2) in vapour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9808"/>
        <c:crosses val="autoZero"/>
        <c:crossBetween val="midCat"/>
        <c:majorUnit val="0.1"/>
      </c:valAx>
      <c:valAx>
        <c:axId val="4608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T=274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xVal>
            <c:numRef>
              <c:f>Kang2!$A$3:$A$11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Kang2!$B$3:$B$11</c:f>
              <c:numCache>
                <c:formatCode>General</c:formatCode>
                <c:ptCount val="9"/>
                <c:pt idx="0">
                  <c:v>1.3939999999999999</c:v>
                </c:pt>
                <c:pt idx="1">
                  <c:v>1.7690000000000001</c:v>
                </c:pt>
                <c:pt idx="2">
                  <c:v>2.3540000000000001</c:v>
                </c:pt>
                <c:pt idx="3">
                  <c:v>2.835</c:v>
                </c:pt>
                <c:pt idx="4">
                  <c:v>3.56</c:v>
                </c:pt>
                <c:pt idx="5">
                  <c:v>7.2349999999999994</c:v>
                </c:pt>
                <c:pt idx="6">
                  <c:v>11.2</c:v>
                </c:pt>
                <c:pt idx="7">
                  <c:v>14.928000000000001</c:v>
                </c:pt>
                <c:pt idx="8">
                  <c:v>17.925999999999998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2-4988-9910-AED066F90B46}"/>
            </c:ext>
          </c:extLst>
        </c:ser>
        <c:ser>
          <c:idx val="1"/>
          <c:order val="1"/>
          <c:tx>
            <c:v>T=277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xVal>
            <c:numRef>
              <c:f>Kang2!$C$3:$C$10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Kang2!$D$3:$D$10</c:f>
              <c:numCache>
                <c:formatCode>General</c:formatCode>
                <c:ptCount val="8"/>
                <c:pt idx="0">
                  <c:v>1.9530000000000001</c:v>
                </c:pt>
                <c:pt idx="1">
                  <c:v>2.6</c:v>
                </c:pt>
                <c:pt idx="2">
                  <c:v>3.3770000000000002</c:v>
                </c:pt>
                <c:pt idx="3">
                  <c:v>5.2329999999999997</c:v>
                </c:pt>
                <c:pt idx="4">
                  <c:v>11.98</c:v>
                </c:pt>
                <c:pt idx="5">
                  <c:v>15.5</c:v>
                </c:pt>
                <c:pt idx="6">
                  <c:v>19.173999999999999</c:v>
                </c:pt>
                <c:pt idx="7">
                  <c:v>24.041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2-4988-9910-AED066F90B46}"/>
            </c:ext>
          </c:extLst>
        </c:ser>
        <c:ser>
          <c:idx val="2"/>
          <c:order val="2"/>
          <c:tx>
            <c:v>T=280 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xVal>
            <c:numRef>
              <c:f>Kang2!$E$3:$E$11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Kang2!$F$3:$F$11</c:f>
              <c:numCache>
                <c:formatCode>General</c:formatCode>
                <c:ptCount val="9"/>
                <c:pt idx="0">
                  <c:v>2.8010000000000002</c:v>
                </c:pt>
                <c:pt idx="1">
                  <c:v>3.6</c:v>
                </c:pt>
                <c:pt idx="2">
                  <c:v>4.2329999999999997</c:v>
                </c:pt>
                <c:pt idx="3">
                  <c:v>5.0679999999999996</c:v>
                </c:pt>
                <c:pt idx="4">
                  <c:v>8.2750000000000004</c:v>
                </c:pt>
                <c:pt idx="5">
                  <c:v>14.974</c:v>
                </c:pt>
                <c:pt idx="6">
                  <c:v>20.753</c:v>
                </c:pt>
                <c:pt idx="7">
                  <c:v>26.689999999999998</c:v>
                </c:pt>
                <c:pt idx="8">
                  <c:v>32.308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2-4988-9910-AED066F9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scatterChart>
        <c:scatterStyle val="smoothMarker"/>
        <c:varyColors val="0"/>
        <c:ser>
          <c:idx val="3"/>
          <c:order val="3"/>
          <c:tx>
            <c:v>CPA-PR, T=274 K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Kang2!$A$14:$A$22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Kang2!$B$14:$B$22</c:f>
              <c:numCache>
                <c:formatCode>General</c:formatCode>
                <c:ptCount val="9"/>
                <c:pt idx="0">
                  <c:v>1.5921145623461306</c:v>
                </c:pt>
                <c:pt idx="1">
                  <c:v>1.9363360971864725</c:v>
                </c:pt>
                <c:pt idx="2">
                  <c:v>2.6259175903191556</c:v>
                </c:pt>
                <c:pt idx="3">
                  <c:v>3.0947269147718894</c:v>
                </c:pt>
                <c:pt idx="4">
                  <c:v>3.8474315076083068</c:v>
                </c:pt>
                <c:pt idx="5">
                  <c:v>6.8199162331471639</c:v>
                </c:pt>
                <c:pt idx="6">
                  <c:v>10.353494875474416</c:v>
                </c:pt>
                <c:pt idx="7">
                  <c:v>15.261570000000001</c:v>
                </c:pt>
                <c:pt idx="8">
                  <c:v>18.078961901828521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12-4988-9910-AED066F90B46}"/>
            </c:ext>
          </c:extLst>
        </c:ser>
        <c:ser>
          <c:idx val="4"/>
          <c:order val="4"/>
          <c:tx>
            <c:v>CPA-PR, T=277 K</c:v>
          </c:tx>
          <c:spPr>
            <a:ln w="127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Kang2!$C$14:$C$27</c:f>
              <c:numCache>
                <c:formatCode>0.000</c:formatCode>
                <c:ptCount val="14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0.01</c:v>
                </c:pt>
                <c:pt idx="13">
                  <c:v>0</c:v>
                </c:pt>
              </c:numCache>
            </c:numRef>
          </c:xVal>
          <c:yVal>
            <c:numRef>
              <c:f>Kang2!$D$14:$D$27</c:f>
              <c:numCache>
                <c:formatCode>General</c:formatCode>
                <c:ptCount val="14"/>
                <c:pt idx="0">
                  <c:v>2.0769463929059233</c:v>
                </c:pt>
                <c:pt idx="1">
                  <c:v>2.4636040913968285</c:v>
                </c:pt>
                <c:pt idx="2">
                  <c:v>3.5959621720458221</c:v>
                </c:pt>
                <c:pt idx="3">
                  <c:v>5.3826940192777917</c:v>
                </c:pt>
                <c:pt idx="4">
                  <c:v>11.048728071720342</c:v>
                </c:pt>
                <c:pt idx="5">
                  <c:v>15.260903843941254</c:v>
                </c:pt>
                <c:pt idx="6">
                  <c:v>21.602540313657073</c:v>
                </c:pt>
                <c:pt idx="7">
                  <c:v>22.355650000000001</c:v>
                </c:pt>
                <c:pt idx="8">
                  <c:v>23.111339999999998</c:v>
                </c:pt>
                <c:pt idx="9">
                  <c:v>23.91527</c:v>
                </c:pt>
                <c:pt idx="10">
                  <c:v>24.7728</c:v>
                </c:pt>
                <c:pt idx="11">
                  <c:v>25.69</c:v>
                </c:pt>
                <c:pt idx="12">
                  <c:v>26.674199999999999</c:v>
                </c:pt>
                <c:pt idx="13">
                  <c:v>27.734112442901523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12-4988-9910-AED066F90B46}"/>
            </c:ext>
          </c:extLst>
        </c:ser>
        <c:ser>
          <c:idx val="5"/>
          <c:order val="5"/>
          <c:tx>
            <c:v>CPA-PR, T=280 K</c:v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Kang2!$E$14:$E$32</c:f>
              <c:numCache>
                <c:formatCode>0.000</c:formatCode>
                <c:ptCount val="1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0.13</c:v>
                </c:pt>
                <c:pt idx="8">
                  <c:v>9.0499999999999997E-2</c:v>
                </c:pt>
                <c:pt idx="9">
                  <c:v>8.5000000000000006E-2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0</c:v>
                </c:pt>
              </c:numCache>
            </c:numRef>
          </c:xVal>
          <c:yVal>
            <c:numRef>
              <c:f>Kang2!$F$14:$F$32</c:f>
              <c:numCache>
                <c:formatCode>General</c:formatCode>
                <c:ptCount val="19"/>
                <c:pt idx="0">
                  <c:v>2.696617583792412</c:v>
                </c:pt>
                <c:pt idx="1">
                  <c:v>3.3418089365571562</c:v>
                </c:pt>
                <c:pt idx="2">
                  <c:v>4.0056987731841742</c:v>
                </c:pt>
                <c:pt idx="3">
                  <c:v>4.8109642494603193</c:v>
                </c:pt>
                <c:pt idx="4">
                  <c:v>7.4775736487732285</c:v>
                </c:pt>
                <c:pt idx="5">
                  <c:v>11.944316347665325</c:v>
                </c:pt>
                <c:pt idx="6">
                  <c:v>17.597886608818069</c:v>
                </c:pt>
                <c:pt idx="7">
                  <c:v>22.838000000000001</c:v>
                </c:pt>
                <c:pt idx="8">
                  <c:v>31.350204002600123</c:v>
                </c:pt>
                <c:pt idx="9">
                  <c:v>32.991</c:v>
                </c:pt>
                <c:pt idx="10">
                  <c:v>34.619300000000003</c:v>
                </c:pt>
                <c:pt idx="11">
                  <c:v>38.340000000000003</c:v>
                </c:pt>
                <c:pt idx="12">
                  <c:v>41.329900000000002</c:v>
                </c:pt>
                <c:pt idx="13">
                  <c:v>43.138599999999997</c:v>
                </c:pt>
                <c:pt idx="14">
                  <c:v>45.113999999999997</c:v>
                </c:pt>
                <c:pt idx="15">
                  <c:v>47.286900000000003</c:v>
                </c:pt>
                <c:pt idx="16">
                  <c:v>49.697800000000001</c:v>
                </c:pt>
                <c:pt idx="17">
                  <c:v>52.400500000000001</c:v>
                </c:pt>
                <c:pt idx="18">
                  <c:v>55.469492955338069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12-4988-9910-AED066F9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valAx>
        <c:axId val="46089784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y(CO2) in vapour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9808"/>
        <c:crosses val="autoZero"/>
        <c:crossBetween val="midCat"/>
        <c:majorUnit val="0.2"/>
      </c:valAx>
      <c:valAx>
        <c:axId val="4608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784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783902012248469"/>
          <c:y val="0.86648660852877257"/>
          <c:w val="0.79709951881014873"/>
          <c:h val="0.11559224451782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T=274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>
                    <a:alpha val="95000"/>
                  </a:sysClr>
                </a:solidFill>
              </a:ln>
              <a:effectLst/>
            </c:spPr>
          </c:marker>
          <c:xVal>
            <c:numRef>
              <c:f>Kang3!$A$3:$A$11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Kang3!$B$3:$B$11</c:f>
              <c:numCache>
                <c:formatCode>General</c:formatCode>
                <c:ptCount val="9"/>
                <c:pt idx="0">
                  <c:v>1</c:v>
                </c:pt>
                <c:pt idx="1">
                  <c:v>0.98499999999999999</c:v>
                </c:pt>
                <c:pt idx="2">
                  <c:v>0.95169999999999999</c:v>
                </c:pt>
                <c:pt idx="3">
                  <c:v>0.93010000000000004</c:v>
                </c:pt>
                <c:pt idx="4">
                  <c:v>0.90010000000000001</c:v>
                </c:pt>
                <c:pt idx="5">
                  <c:v>0.58360000000000001</c:v>
                </c:pt>
                <c:pt idx="6">
                  <c:v>0.34260000000000002</c:v>
                </c:pt>
                <c:pt idx="7">
                  <c:v>0.17929999999999999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1-401F-9581-C334EBA55D2C}"/>
            </c:ext>
          </c:extLst>
        </c:ser>
        <c:ser>
          <c:idx val="1"/>
          <c:order val="1"/>
          <c:tx>
            <c:v>T=277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Kang3!$C$3:$C$10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Kang3!$D$3:$D$10</c:f>
              <c:numCache>
                <c:formatCode>General</c:formatCode>
                <c:ptCount val="8"/>
                <c:pt idx="0">
                  <c:v>1</c:v>
                </c:pt>
                <c:pt idx="1">
                  <c:v>0.97819999999999996</c:v>
                </c:pt>
                <c:pt idx="2">
                  <c:v>0.94550000000000001</c:v>
                </c:pt>
                <c:pt idx="3">
                  <c:v>0.88670000000000004</c:v>
                </c:pt>
                <c:pt idx="4">
                  <c:v>0.54</c:v>
                </c:pt>
                <c:pt idx="5">
                  <c:v>0.35260000000000002</c:v>
                </c:pt>
                <c:pt idx="6">
                  <c:v>0.1928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1-401F-9581-C334EBA55D2C}"/>
            </c:ext>
          </c:extLst>
        </c:ser>
        <c:ser>
          <c:idx val="2"/>
          <c:order val="2"/>
          <c:tx>
            <c:v>T=280 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Kang3!$E$3:$E$11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Kang3!$F$3:$F$11</c:f>
              <c:numCache>
                <c:formatCode>General</c:formatCode>
                <c:ptCount val="9"/>
                <c:pt idx="0">
                  <c:v>1</c:v>
                </c:pt>
                <c:pt idx="1">
                  <c:v>0.97650000000000003</c:v>
                </c:pt>
                <c:pt idx="2">
                  <c:v>0.96120000000000005</c:v>
                </c:pt>
                <c:pt idx="3">
                  <c:v>0.94320000000000004</c:v>
                </c:pt>
                <c:pt idx="4">
                  <c:v>0.86409999999999998</c:v>
                </c:pt>
                <c:pt idx="5">
                  <c:v>0.64</c:v>
                </c:pt>
                <c:pt idx="6">
                  <c:v>0.45</c:v>
                </c:pt>
                <c:pt idx="7">
                  <c:v>0.22170000000000001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1-401F-9581-C334EBA5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scatterChart>
        <c:scatterStyle val="smoothMarker"/>
        <c:varyColors val="0"/>
        <c:ser>
          <c:idx val="3"/>
          <c:order val="3"/>
          <c:tx>
            <c:v>Model, T=274 K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Kang3!$A$14:$A$22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Kang3!$B$14:$B$22</c:f>
              <c:numCache>
                <c:formatCode>General</c:formatCode>
                <c:ptCount val="9"/>
                <c:pt idx="0">
                  <c:v>0.99999999999999989</c:v>
                </c:pt>
                <c:pt idx="1">
                  <c:v>0.97459425509598607</c:v>
                </c:pt>
                <c:pt idx="2">
                  <c:v>0.92580002233604253</c:v>
                </c:pt>
                <c:pt idx="3">
                  <c:v>0.89396609741858679</c:v>
                </c:pt>
                <c:pt idx="4">
                  <c:v>0.8448036920132469</c:v>
                </c:pt>
                <c:pt idx="5">
                  <c:v>0.6698231070050652</c:v>
                </c:pt>
                <c:pt idx="6">
                  <c:v>0.49339083828739067</c:v>
                </c:pt>
                <c:pt idx="7">
                  <c:v>0.13211000000000001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11-401F-9581-C334EBA55D2C}"/>
            </c:ext>
          </c:extLst>
        </c:ser>
        <c:ser>
          <c:idx val="4"/>
          <c:order val="4"/>
          <c:tx>
            <c:v>Model, T=277 K</c:v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Kang3!$C$14:$C$21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Kang3!$D$14:$D$21</c:f>
              <c:numCache>
                <c:formatCode>General</c:formatCode>
                <c:ptCount val="8"/>
                <c:pt idx="0">
                  <c:v>1</c:v>
                </c:pt>
                <c:pt idx="1">
                  <c:v>0.97743732876670331</c:v>
                </c:pt>
                <c:pt idx="2">
                  <c:v>0.91468172052620633</c:v>
                </c:pt>
                <c:pt idx="3">
                  <c:v>0.82393838939671205</c:v>
                </c:pt>
                <c:pt idx="4">
                  <c:v>0.58760677633943814</c:v>
                </c:pt>
                <c:pt idx="5">
                  <c:v>0.45144565969120537</c:v>
                </c:pt>
                <c:pt idx="6">
                  <c:v>0.29311542537307705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11-401F-9581-C334EBA55D2C}"/>
            </c:ext>
          </c:extLst>
        </c:ser>
        <c:ser>
          <c:idx val="5"/>
          <c:order val="5"/>
          <c:tx>
            <c:v>Model, T=280 K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Kang3!$E$14:$E$22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Kang3!$F$14:$F$22</c:f>
              <c:numCache>
                <c:formatCode>General</c:formatCode>
                <c:ptCount val="9"/>
                <c:pt idx="0">
                  <c:v>0.99999999999999989</c:v>
                </c:pt>
                <c:pt idx="1">
                  <c:v>0.97028257854354116</c:v>
                </c:pt>
                <c:pt idx="2">
                  <c:v>0.94090682137482817</c:v>
                </c:pt>
                <c:pt idx="3">
                  <c:v>0.90676777752659354</c:v>
                </c:pt>
                <c:pt idx="4">
                  <c:v>0.80410685230118972</c:v>
                </c:pt>
                <c:pt idx="5">
                  <c:v>0.6624998601138592</c:v>
                </c:pt>
                <c:pt idx="6">
                  <c:v>0.52599858067952732</c:v>
                </c:pt>
                <c:pt idx="7">
                  <c:v>0.31885553410761758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11-401F-9581-C334EBA5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valAx>
        <c:axId val="46089784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y(CO2) in vapour 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9808"/>
        <c:crosses val="autoZero"/>
        <c:crossBetween val="midCat"/>
      </c:valAx>
      <c:valAx>
        <c:axId val="46089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Y(CO2)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in hydrate phase (water free)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567639257294429E-2"/>
              <c:y val="0.14375229039766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7840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7792142693038714E-2"/>
          <c:y val="0.87577087586273938"/>
          <c:w val="0.91624553562104472"/>
          <c:h val="0.10571060561874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y(CO2)=0.9652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'Fan-Guo'!$A$3:$A$7</c:f>
              <c:numCache>
                <c:formatCode>General</c:formatCode>
                <c:ptCount val="5"/>
                <c:pt idx="0">
                  <c:v>273.10000000000002</c:v>
                </c:pt>
                <c:pt idx="1">
                  <c:v>274.60000000000002</c:v>
                </c:pt>
                <c:pt idx="2">
                  <c:v>278.3</c:v>
                </c:pt>
                <c:pt idx="3">
                  <c:v>279.39999999999998</c:v>
                </c:pt>
                <c:pt idx="4">
                  <c:v>280.2</c:v>
                </c:pt>
              </c:numCache>
            </c:numRef>
          </c:xVal>
          <c:yVal>
            <c:numRef>
              <c:f>'Fan-Guo'!$B$3:$B$7</c:f>
              <c:numCache>
                <c:formatCode>General</c:formatCode>
                <c:ptCount val="5"/>
                <c:pt idx="0">
                  <c:v>1.22</c:v>
                </c:pt>
                <c:pt idx="1">
                  <c:v>1.54</c:v>
                </c:pt>
                <c:pt idx="2">
                  <c:v>2.42</c:v>
                </c:pt>
                <c:pt idx="3">
                  <c:v>2.89</c:v>
                </c:pt>
                <c:pt idx="4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F-4FF8-92AC-7DDD08736E1D}"/>
            </c:ext>
          </c:extLst>
        </c:ser>
        <c:ser>
          <c:idx val="1"/>
          <c:order val="1"/>
          <c:tx>
            <c:v>y(CO2)=0.9099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'Fan-Guo'!$C$3:$C$6</c:f>
              <c:numCache>
                <c:formatCode>General</c:formatCode>
                <c:ptCount val="4"/>
                <c:pt idx="0">
                  <c:v>273.39999999999998</c:v>
                </c:pt>
                <c:pt idx="1">
                  <c:v>274.10000000000002</c:v>
                </c:pt>
                <c:pt idx="2">
                  <c:v>276.7</c:v>
                </c:pt>
                <c:pt idx="3">
                  <c:v>279.10000000000002</c:v>
                </c:pt>
              </c:numCache>
            </c:numRef>
          </c:xVal>
          <c:yVal>
            <c:numRef>
              <c:f>'Fan-Guo'!$D$3:$D$6</c:f>
              <c:numCache>
                <c:formatCode>General</c:formatCode>
                <c:ptCount val="4"/>
                <c:pt idx="0">
                  <c:v>1.37</c:v>
                </c:pt>
                <c:pt idx="1">
                  <c:v>1.53</c:v>
                </c:pt>
                <c:pt idx="2">
                  <c:v>1.89</c:v>
                </c:pt>
                <c:pt idx="3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F-4FF8-92AC-7DDD0873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4688"/>
        <c:axId val="465588296"/>
      </c:scatterChart>
      <c:scatterChart>
        <c:scatterStyle val="smoothMarker"/>
        <c:varyColors val="0"/>
        <c:ser>
          <c:idx val="2"/>
          <c:order val="2"/>
          <c:tx>
            <c:v>CPA-PR, y(CO2)=0.9652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'Fan-Guo'!$A$11:$A$15</c:f>
              <c:numCache>
                <c:formatCode>General</c:formatCode>
                <c:ptCount val="5"/>
                <c:pt idx="0">
                  <c:v>273.10000000000002</c:v>
                </c:pt>
                <c:pt idx="1">
                  <c:v>274.60000000000002</c:v>
                </c:pt>
                <c:pt idx="2">
                  <c:v>278.3</c:v>
                </c:pt>
                <c:pt idx="3">
                  <c:v>279.39999999999998</c:v>
                </c:pt>
                <c:pt idx="4">
                  <c:v>280.2</c:v>
                </c:pt>
              </c:numCache>
            </c:numRef>
          </c:xVal>
          <c:yVal>
            <c:numRef>
              <c:f>'Fan-Guo'!$B$11:$B$15</c:f>
              <c:numCache>
                <c:formatCode>General</c:formatCode>
                <c:ptCount val="5"/>
                <c:pt idx="0">
                  <c:v>1.5211638610312583</c:v>
                </c:pt>
                <c:pt idx="1">
                  <c:v>1.7402113088478686</c:v>
                </c:pt>
                <c:pt idx="2">
                  <c:v>2.4181047894113883</c:v>
                </c:pt>
                <c:pt idx="3">
                  <c:v>2.6630449334062392</c:v>
                </c:pt>
                <c:pt idx="4">
                  <c:v>2.8549590885607867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7F-4FF8-92AC-7DDD08736E1D}"/>
            </c:ext>
          </c:extLst>
        </c:ser>
        <c:ser>
          <c:idx val="3"/>
          <c:order val="3"/>
          <c:tx>
            <c:v>CPA-PR, y(CO2)=0.9099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'Fan-Guo'!$C$11:$C$14</c:f>
              <c:numCache>
                <c:formatCode>General</c:formatCode>
                <c:ptCount val="4"/>
                <c:pt idx="0">
                  <c:v>273.39999999999998</c:v>
                </c:pt>
                <c:pt idx="1">
                  <c:v>274.10000000000002</c:v>
                </c:pt>
                <c:pt idx="2">
                  <c:v>276.7</c:v>
                </c:pt>
                <c:pt idx="3">
                  <c:v>279.10000000000002</c:v>
                </c:pt>
              </c:numCache>
            </c:numRef>
          </c:xVal>
          <c:yVal>
            <c:numRef>
              <c:f>'Fan-Guo'!$D$11:$D$14</c:f>
              <c:numCache>
                <c:formatCode>General</c:formatCode>
                <c:ptCount val="4"/>
                <c:pt idx="0">
                  <c:v>1.6559111813059388</c:v>
                </c:pt>
                <c:pt idx="1">
                  <c:v>1.7643455060267172</c:v>
                </c:pt>
                <c:pt idx="2">
                  <c:v>2.2315024874826643</c:v>
                </c:pt>
                <c:pt idx="3">
                  <c:v>2.7669021396637969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7F-4FF8-92AC-7DDD0873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4688"/>
        <c:axId val="465588296"/>
      </c:scatterChart>
      <c:valAx>
        <c:axId val="4655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</a:t>
                </a:r>
                <a:r>
                  <a:rPr lang="en-US" baseline="0"/>
                  <a:t> 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8296"/>
        <c:crosses val="autoZero"/>
        <c:crossBetween val="midCat"/>
      </c:valAx>
      <c:valAx>
        <c:axId val="4655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1714785651793"/>
          <c:y val="4.8929663608562692E-2"/>
          <c:w val="0.82496062992125985"/>
          <c:h val="0.6181303025195245"/>
        </c:manualLayout>
      </c:layout>
      <c:scatterChart>
        <c:scatterStyle val="lineMarker"/>
        <c:varyColors val="0"/>
        <c:ser>
          <c:idx val="0"/>
          <c:order val="0"/>
          <c:tx>
            <c:v>y(CO2)=0.101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Sun!$A$3:$A$7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274.5</c:v>
                </c:pt>
                <c:pt idx="2">
                  <c:v>275.3</c:v>
                </c:pt>
                <c:pt idx="3">
                  <c:v>275.8</c:v>
                </c:pt>
                <c:pt idx="4">
                  <c:v>276.8</c:v>
                </c:pt>
              </c:numCache>
            </c:numRef>
          </c:xVal>
          <c:yVal>
            <c:numRef>
              <c:f>Sun!$B$3:$B$7</c:f>
              <c:numCache>
                <c:formatCode>General</c:formatCode>
                <c:ptCount val="5"/>
                <c:pt idx="0">
                  <c:v>12.02</c:v>
                </c:pt>
                <c:pt idx="1">
                  <c:v>13.43</c:v>
                </c:pt>
                <c:pt idx="2">
                  <c:v>14.71</c:v>
                </c:pt>
                <c:pt idx="3">
                  <c:v>15.62</c:v>
                </c:pt>
                <c:pt idx="4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32C-81F0-66BFAD687E73}"/>
            </c:ext>
          </c:extLst>
        </c:ser>
        <c:ser>
          <c:idx val="1"/>
          <c:order val="1"/>
          <c:tx>
            <c:v>y(CO2)=0.18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Sun!$C$3:$C$8</c:f>
              <c:numCache>
                <c:formatCode>General</c:formatCode>
                <c:ptCount val="6"/>
                <c:pt idx="0">
                  <c:v>273.5</c:v>
                </c:pt>
                <c:pt idx="1">
                  <c:v>274.39999999999998</c:v>
                </c:pt>
                <c:pt idx="2">
                  <c:v>275.5</c:v>
                </c:pt>
                <c:pt idx="3">
                  <c:v>276.3</c:v>
                </c:pt>
                <c:pt idx="4">
                  <c:v>276.8</c:v>
                </c:pt>
                <c:pt idx="5">
                  <c:v>277.39999999999998</c:v>
                </c:pt>
              </c:numCache>
            </c:numRef>
          </c:xVal>
          <c:yVal>
            <c:numRef>
              <c:f>Sun!$D$3:$D$8</c:f>
              <c:numCache>
                <c:formatCode>General</c:formatCode>
                <c:ptCount val="6"/>
                <c:pt idx="0">
                  <c:v>7.24</c:v>
                </c:pt>
                <c:pt idx="1">
                  <c:v>8.23</c:v>
                </c:pt>
                <c:pt idx="2">
                  <c:v>9.7200000000000006</c:v>
                </c:pt>
                <c:pt idx="3">
                  <c:v>11.03</c:v>
                </c:pt>
                <c:pt idx="4">
                  <c:v>11.84</c:v>
                </c:pt>
                <c:pt idx="5">
                  <c:v>12.91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32C-81F0-66BFAD687E73}"/>
            </c:ext>
          </c:extLst>
        </c:ser>
        <c:ser>
          <c:idx val="2"/>
          <c:order val="2"/>
          <c:tx>
            <c:v>y(CO2)=0.251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Sun!$E$3:$E$8</c:f>
              <c:numCache>
                <c:formatCode>General</c:formatCode>
                <c:ptCount val="6"/>
                <c:pt idx="0">
                  <c:v>273.60000000000002</c:v>
                </c:pt>
                <c:pt idx="1">
                  <c:v>274.8</c:v>
                </c:pt>
                <c:pt idx="2">
                  <c:v>275.89999999999998</c:v>
                </c:pt>
                <c:pt idx="3">
                  <c:v>276.8</c:v>
                </c:pt>
                <c:pt idx="4">
                  <c:v>277.60000000000002</c:v>
                </c:pt>
                <c:pt idx="5">
                  <c:v>278.39999999999998</c:v>
                </c:pt>
              </c:numCache>
            </c:numRef>
          </c:xVal>
          <c:yVal>
            <c:numRef>
              <c:f>Sun!$F$3:$F$8</c:f>
              <c:numCache>
                <c:formatCode>General</c:formatCode>
                <c:ptCount val="6"/>
                <c:pt idx="0">
                  <c:v>5.28</c:v>
                </c:pt>
                <c:pt idx="1">
                  <c:v>6.42</c:v>
                </c:pt>
                <c:pt idx="2">
                  <c:v>7.29</c:v>
                </c:pt>
                <c:pt idx="3">
                  <c:v>8.43</c:v>
                </c:pt>
                <c:pt idx="4">
                  <c:v>9.39</c:v>
                </c:pt>
                <c:pt idx="5">
                  <c:v>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32C-81F0-66BFAD687E73}"/>
            </c:ext>
          </c:extLst>
        </c:ser>
        <c:ser>
          <c:idx val="4"/>
          <c:order val="4"/>
          <c:tx>
            <c:v>CPA-PR, y(CO2)=0.18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Sun!$C$12:$C$17</c:f>
              <c:numCache>
                <c:formatCode>General</c:formatCode>
                <c:ptCount val="6"/>
                <c:pt idx="0">
                  <c:v>273.5</c:v>
                </c:pt>
                <c:pt idx="1">
                  <c:v>274.39999999999998</c:v>
                </c:pt>
                <c:pt idx="2">
                  <c:v>275.5</c:v>
                </c:pt>
                <c:pt idx="3">
                  <c:v>276.3</c:v>
                </c:pt>
                <c:pt idx="4">
                  <c:v>276.8</c:v>
                </c:pt>
                <c:pt idx="5">
                  <c:v>277.39999999999998</c:v>
                </c:pt>
              </c:numCache>
            </c:numRef>
          </c:xVal>
          <c:yVal>
            <c:numRef>
              <c:f>Sun!$D$12:$D$17</c:f>
              <c:numCache>
                <c:formatCode>General</c:formatCode>
                <c:ptCount val="6"/>
                <c:pt idx="0">
                  <c:v>7.1585788364649066</c:v>
                </c:pt>
                <c:pt idx="1">
                  <c:v>7.9260152018729872</c:v>
                </c:pt>
                <c:pt idx="2">
                  <c:v>9.0140514946169308</c:v>
                </c:pt>
                <c:pt idx="3">
                  <c:v>9.933942804370874</c:v>
                </c:pt>
                <c:pt idx="4">
                  <c:v>10.576117924766816</c:v>
                </c:pt>
                <c:pt idx="5">
                  <c:v>11.428194504982937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32C-81F0-66BFAD68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4688"/>
        <c:axId val="465588296"/>
      </c:scatterChart>
      <c:scatterChart>
        <c:scatterStyle val="smoothMarker"/>
        <c:varyColors val="0"/>
        <c:ser>
          <c:idx val="3"/>
          <c:order val="3"/>
          <c:tx>
            <c:v>CPA-PR, y(CO2)=0.101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Sun!$A$12:$A$16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274.5</c:v>
                </c:pt>
                <c:pt idx="2">
                  <c:v>275.3</c:v>
                </c:pt>
                <c:pt idx="3">
                  <c:v>275.8</c:v>
                </c:pt>
                <c:pt idx="4">
                  <c:v>276.8</c:v>
                </c:pt>
              </c:numCache>
            </c:numRef>
          </c:xVal>
          <c:yVal>
            <c:numRef>
              <c:f>Sun!$B$12:$B$16</c:f>
              <c:numCache>
                <c:formatCode>General</c:formatCode>
                <c:ptCount val="5"/>
                <c:pt idx="0">
                  <c:v>10.504613199518285</c:v>
                </c:pt>
                <c:pt idx="1">
                  <c:v>12.000951685128262</c:v>
                </c:pt>
                <c:pt idx="2">
                  <c:v>13.282596248787508</c:v>
                </c:pt>
                <c:pt idx="3">
                  <c:v>14.18693349917417</c:v>
                </c:pt>
                <c:pt idx="4">
                  <c:v>16.29983634280293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3-432C-81F0-66BFAD687E73}"/>
            </c:ext>
          </c:extLst>
        </c:ser>
        <c:ser>
          <c:idx val="5"/>
          <c:order val="5"/>
          <c:tx>
            <c:v>CPA-PR, y(CO2)=0.251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Sun!$E$12:$E$17</c:f>
              <c:numCache>
                <c:formatCode>General</c:formatCode>
                <c:ptCount val="6"/>
                <c:pt idx="0">
                  <c:v>273.60000000000002</c:v>
                </c:pt>
                <c:pt idx="1">
                  <c:v>274.8</c:v>
                </c:pt>
                <c:pt idx="2">
                  <c:v>275.89999999999998</c:v>
                </c:pt>
                <c:pt idx="3">
                  <c:v>276.8</c:v>
                </c:pt>
                <c:pt idx="4">
                  <c:v>277.60000000000002</c:v>
                </c:pt>
                <c:pt idx="5">
                  <c:v>278.39999999999998</c:v>
                </c:pt>
              </c:numCache>
            </c:numRef>
          </c:xVal>
          <c:yVal>
            <c:numRef>
              <c:f>Sun!$F$12:$F$17</c:f>
              <c:numCache>
                <c:formatCode>General</c:formatCode>
                <c:ptCount val="6"/>
                <c:pt idx="0">
                  <c:v>5.5468531497490137</c:v>
                </c:pt>
                <c:pt idx="1">
                  <c:v>6.3218186945814185</c:v>
                </c:pt>
                <c:pt idx="2">
                  <c:v>7.1521389482219728</c:v>
                </c:pt>
                <c:pt idx="3">
                  <c:v>7.9374332681637156</c:v>
                </c:pt>
                <c:pt idx="4">
                  <c:v>8.7342812118320694</c:v>
                </c:pt>
                <c:pt idx="5">
                  <c:v>9.64594287043092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63-432C-81F0-66BFAD68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4688"/>
        <c:axId val="465588296"/>
      </c:scatterChart>
      <c:valAx>
        <c:axId val="4655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8296"/>
        <c:crosses val="autoZero"/>
        <c:crossBetween val="midCat"/>
      </c:valAx>
      <c:valAx>
        <c:axId val="4655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2380800578068"/>
          <c:y val="2.5273311897106111E-2"/>
          <c:w val="0.82400650323567859"/>
          <c:h val="0.530770944628706"/>
        </c:manualLayout>
      </c:layout>
      <c:scatterChart>
        <c:scatterStyle val="lineMarker"/>
        <c:varyColors val="0"/>
        <c:ser>
          <c:idx val="0"/>
          <c:order val="0"/>
          <c:tx>
            <c:v>y(CO2)=0.101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Sun!$A$3:$A$7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274.5</c:v>
                </c:pt>
                <c:pt idx="2">
                  <c:v>275.3</c:v>
                </c:pt>
                <c:pt idx="3">
                  <c:v>275.8</c:v>
                </c:pt>
                <c:pt idx="4">
                  <c:v>276.8</c:v>
                </c:pt>
              </c:numCache>
            </c:numRef>
          </c:xVal>
          <c:yVal>
            <c:numRef>
              <c:f>Sun!$B$3:$B$7</c:f>
              <c:numCache>
                <c:formatCode>General</c:formatCode>
                <c:ptCount val="5"/>
                <c:pt idx="0">
                  <c:v>12.02</c:v>
                </c:pt>
                <c:pt idx="1">
                  <c:v>13.43</c:v>
                </c:pt>
                <c:pt idx="2">
                  <c:v>14.71</c:v>
                </c:pt>
                <c:pt idx="3">
                  <c:v>15.62</c:v>
                </c:pt>
                <c:pt idx="4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E-4AF6-84F3-4C6A5261DE3A}"/>
            </c:ext>
          </c:extLst>
        </c:ser>
        <c:ser>
          <c:idx val="1"/>
          <c:order val="1"/>
          <c:tx>
            <c:v>y(CO2)=0.18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Sun!$C$3:$C$8</c:f>
              <c:numCache>
                <c:formatCode>General</c:formatCode>
                <c:ptCount val="6"/>
                <c:pt idx="0">
                  <c:v>273.5</c:v>
                </c:pt>
                <c:pt idx="1">
                  <c:v>274.39999999999998</c:v>
                </c:pt>
                <c:pt idx="2">
                  <c:v>275.5</c:v>
                </c:pt>
                <c:pt idx="3">
                  <c:v>276.3</c:v>
                </c:pt>
                <c:pt idx="4">
                  <c:v>276.8</c:v>
                </c:pt>
                <c:pt idx="5">
                  <c:v>277.39999999999998</c:v>
                </c:pt>
              </c:numCache>
            </c:numRef>
          </c:xVal>
          <c:yVal>
            <c:numRef>
              <c:f>Sun!$D$3:$D$8</c:f>
              <c:numCache>
                <c:formatCode>General</c:formatCode>
                <c:ptCount val="6"/>
                <c:pt idx="0">
                  <c:v>7.24</c:v>
                </c:pt>
                <c:pt idx="1">
                  <c:v>8.23</c:v>
                </c:pt>
                <c:pt idx="2">
                  <c:v>9.7200000000000006</c:v>
                </c:pt>
                <c:pt idx="3">
                  <c:v>11.03</c:v>
                </c:pt>
                <c:pt idx="4">
                  <c:v>11.84</c:v>
                </c:pt>
                <c:pt idx="5">
                  <c:v>12.91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E-4AF6-84F3-4C6A5261DE3A}"/>
            </c:ext>
          </c:extLst>
        </c:ser>
        <c:ser>
          <c:idx val="2"/>
          <c:order val="2"/>
          <c:tx>
            <c:v>y(CO2)=0.251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Sun!$E$3:$E$8</c:f>
              <c:numCache>
                <c:formatCode>General</c:formatCode>
                <c:ptCount val="6"/>
                <c:pt idx="0">
                  <c:v>273.60000000000002</c:v>
                </c:pt>
                <c:pt idx="1">
                  <c:v>274.8</c:v>
                </c:pt>
                <c:pt idx="2">
                  <c:v>275.89999999999998</c:v>
                </c:pt>
                <c:pt idx="3">
                  <c:v>276.8</c:v>
                </c:pt>
                <c:pt idx="4">
                  <c:v>277.60000000000002</c:v>
                </c:pt>
                <c:pt idx="5">
                  <c:v>278.39999999999998</c:v>
                </c:pt>
              </c:numCache>
            </c:numRef>
          </c:xVal>
          <c:yVal>
            <c:numRef>
              <c:f>Sun!$F$3:$F$8</c:f>
              <c:numCache>
                <c:formatCode>General</c:formatCode>
                <c:ptCount val="6"/>
                <c:pt idx="0">
                  <c:v>5.28</c:v>
                </c:pt>
                <c:pt idx="1">
                  <c:v>6.42</c:v>
                </c:pt>
                <c:pt idx="2">
                  <c:v>7.29</c:v>
                </c:pt>
                <c:pt idx="3">
                  <c:v>8.43</c:v>
                </c:pt>
                <c:pt idx="4">
                  <c:v>9.39</c:v>
                </c:pt>
                <c:pt idx="5">
                  <c:v>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E-4AF6-84F3-4C6A5261DE3A}"/>
            </c:ext>
          </c:extLst>
        </c:ser>
        <c:ser>
          <c:idx val="4"/>
          <c:order val="4"/>
          <c:tx>
            <c:v>CPA-PR, y(CO2)=0.18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Sun!$C$12:$C$17</c:f>
              <c:numCache>
                <c:formatCode>General</c:formatCode>
                <c:ptCount val="6"/>
                <c:pt idx="0">
                  <c:v>273.5</c:v>
                </c:pt>
                <c:pt idx="1">
                  <c:v>274.39999999999998</c:v>
                </c:pt>
                <c:pt idx="2">
                  <c:v>275.5</c:v>
                </c:pt>
                <c:pt idx="3">
                  <c:v>276.3</c:v>
                </c:pt>
                <c:pt idx="4">
                  <c:v>276.8</c:v>
                </c:pt>
                <c:pt idx="5">
                  <c:v>277.39999999999998</c:v>
                </c:pt>
              </c:numCache>
            </c:numRef>
          </c:xVal>
          <c:yVal>
            <c:numRef>
              <c:f>Sun!$D$12:$D$17</c:f>
              <c:numCache>
                <c:formatCode>General</c:formatCode>
                <c:ptCount val="6"/>
                <c:pt idx="0">
                  <c:v>7.1585788364649066</c:v>
                </c:pt>
                <c:pt idx="1">
                  <c:v>7.9260152018729872</c:v>
                </c:pt>
                <c:pt idx="2">
                  <c:v>9.0140514946169308</c:v>
                </c:pt>
                <c:pt idx="3">
                  <c:v>9.933942804370874</c:v>
                </c:pt>
                <c:pt idx="4">
                  <c:v>10.576117924766816</c:v>
                </c:pt>
                <c:pt idx="5">
                  <c:v>11.428194504982937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E-4AF6-84F3-4C6A5261DE3A}"/>
            </c:ext>
          </c:extLst>
        </c:ser>
        <c:ser>
          <c:idx val="6"/>
          <c:order val="6"/>
          <c:tx>
            <c:v>F&amp;G y(CO2)=0.9099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'Fan-Guo'!$C$3:$C$6</c:f>
              <c:numCache>
                <c:formatCode>General</c:formatCode>
                <c:ptCount val="4"/>
                <c:pt idx="0">
                  <c:v>273.39999999999998</c:v>
                </c:pt>
                <c:pt idx="1">
                  <c:v>274.10000000000002</c:v>
                </c:pt>
                <c:pt idx="2">
                  <c:v>276.7</c:v>
                </c:pt>
                <c:pt idx="3">
                  <c:v>279.10000000000002</c:v>
                </c:pt>
              </c:numCache>
            </c:numRef>
          </c:xVal>
          <c:yVal>
            <c:numRef>
              <c:f>'Fan-Guo'!$D$3:$D$6</c:f>
              <c:numCache>
                <c:formatCode>General</c:formatCode>
                <c:ptCount val="4"/>
                <c:pt idx="0">
                  <c:v>1.37</c:v>
                </c:pt>
                <c:pt idx="1">
                  <c:v>1.53</c:v>
                </c:pt>
                <c:pt idx="2">
                  <c:v>1.89</c:v>
                </c:pt>
                <c:pt idx="3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AE-4AF6-84F3-4C6A5261DE3A}"/>
            </c:ext>
          </c:extLst>
        </c:ser>
        <c:ser>
          <c:idx val="7"/>
          <c:order val="7"/>
          <c:tx>
            <c:v>F&amp;G y(CO2)=0.9652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'Fan-Guo'!$A$3:$A$7</c:f>
              <c:numCache>
                <c:formatCode>General</c:formatCode>
                <c:ptCount val="5"/>
                <c:pt idx="0">
                  <c:v>273.10000000000002</c:v>
                </c:pt>
                <c:pt idx="1">
                  <c:v>274.60000000000002</c:v>
                </c:pt>
                <c:pt idx="2">
                  <c:v>278.3</c:v>
                </c:pt>
                <c:pt idx="3">
                  <c:v>279.39999999999998</c:v>
                </c:pt>
                <c:pt idx="4">
                  <c:v>280.2</c:v>
                </c:pt>
              </c:numCache>
            </c:numRef>
          </c:xVal>
          <c:yVal>
            <c:numRef>
              <c:f>'Fan-Guo'!$B$3:$B$7</c:f>
              <c:numCache>
                <c:formatCode>General</c:formatCode>
                <c:ptCount val="5"/>
                <c:pt idx="0">
                  <c:v>1.22</c:v>
                </c:pt>
                <c:pt idx="1">
                  <c:v>1.54</c:v>
                </c:pt>
                <c:pt idx="2">
                  <c:v>2.42</c:v>
                </c:pt>
                <c:pt idx="3">
                  <c:v>2.89</c:v>
                </c:pt>
                <c:pt idx="4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AE-4AF6-84F3-4C6A5261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4688"/>
        <c:axId val="465588296"/>
      </c:scatterChart>
      <c:scatterChart>
        <c:scatterStyle val="smoothMarker"/>
        <c:varyColors val="0"/>
        <c:ser>
          <c:idx val="3"/>
          <c:order val="3"/>
          <c:tx>
            <c:v>CPA-PR, y(CO2)=0.101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Sun!$A$12:$A$16</c:f>
              <c:numCache>
                <c:formatCode>General</c:formatCode>
                <c:ptCount val="5"/>
                <c:pt idx="0">
                  <c:v>273.39999999999998</c:v>
                </c:pt>
                <c:pt idx="1">
                  <c:v>274.5</c:v>
                </c:pt>
                <c:pt idx="2">
                  <c:v>275.3</c:v>
                </c:pt>
                <c:pt idx="3">
                  <c:v>275.8</c:v>
                </c:pt>
                <c:pt idx="4">
                  <c:v>276.8</c:v>
                </c:pt>
              </c:numCache>
            </c:numRef>
          </c:xVal>
          <c:yVal>
            <c:numRef>
              <c:f>Sun!$B$12:$B$16</c:f>
              <c:numCache>
                <c:formatCode>General</c:formatCode>
                <c:ptCount val="5"/>
                <c:pt idx="0">
                  <c:v>10.504613199518285</c:v>
                </c:pt>
                <c:pt idx="1">
                  <c:v>12.000951685128262</c:v>
                </c:pt>
                <c:pt idx="2">
                  <c:v>13.282596248787508</c:v>
                </c:pt>
                <c:pt idx="3">
                  <c:v>14.18693349917417</c:v>
                </c:pt>
                <c:pt idx="4">
                  <c:v>16.29983634280293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AE-4AF6-84F3-4C6A5261DE3A}"/>
            </c:ext>
          </c:extLst>
        </c:ser>
        <c:ser>
          <c:idx val="5"/>
          <c:order val="5"/>
          <c:tx>
            <c:v>CPA-PR, y(CO2)=0.251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Sun!$E$12:$E$17</c:f>
              <c:numCache>
                <c:formatCode>General</c:formatCode>
                <c:ptCount val="6"/>
                <c:pt idx="0">
                  <c:v>273.60000000000002</c:v>
                </c:pt>
                <c:pt idx="1">
                  <c:v>274.8</c:v>
                </c:pt>
                <c:pt idx="2">
                  <c:v>275.89999999999998</c:v>
                </c:pt>
                <c:pt idx="3">
                  <c:v>276.8</c:v>
                </c:pt>
                <c:pt idx="4">
                  <c:v>277.60000000000002</c:v>
                </c:pt>
                <c:pt idx="5">
                  <c:v>278.39999999999998</c:v>
                </c:pt>
              </c:numCache>
            </c:numRef>
          </c:xVal>
          <c:yVal>
            <c:numRef>
              <c:f>Sun!$F$12:$F$17</c:f>
              <c:numCache>
                <c:formatCode>General</c:formatCode>
                <c:ptCount val="6"/>
                <c:pt idx="0">
                  <c:v>5.5468531497490137</c:v>
                </c:pt>
                <c:pt idx="1">
                  <c:v>6.3218186945814185</c:v>
                </c:pt>
                <c:pt idx="2">
                  <c:v>7.1521389482219728</c:v>
                </c:pt>
                <c:pt idx="3">
                  <c:v>7.9374332681637156</c:v>
                </c:pt>
                <c:pt idx="4">
                  <c:v>8.7342812118320694</c:v>
                </c:pt>
                <c:pt idx="5">
                  <c:v>9.64594287043092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AE-4AF6-84F3-4C6A5261DE3A}"/>
            </c:ext>
          </c:extLst>
        </c:ser>
        <c:ser>
          <c:idx val="8"/>
          <c:order val="8"/>
          <c:tx>
            <c:v>model, y(CO2)=0.9099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AE-4AF6-84F3-4C6A5261DE3A}"/>
              </c:ext>
            </c:extLst>
          </c:dPt>
          <c:xVal>
            <c:numRef>
              <c:f>'Fan-Guo'!$C$11:$C$14</c:f>
              <c:numCache>
                <c:formatCode>General</c:formatCode>
                <c:ptCount val="4"/>
                <c:pt idx="0">
                  <c:v>273.39999999999998</c:v>
                </c:pt>
                <c:pt idx="1">
                  <c:v>274.10000000000002</c:v>
                </c:pt>
                <c:pt idx="2">
                  <c:v>276.7</c:v>
                </c:pt>
                <c:pt idx="3">
                  <c:v>279.10000000000002</c:v>
                </c:pt>
              </c:numCache>
            </c:numRef>
          </c:xVal>
          <c:yVal>
            <c:numRef>
              <c:f>'Fan-Guo'!$D$11:$D$14</c:f>
              <c:numCache>
                <c:formatCode>General</c:formatCode>
                <c:ptCount val="4"/>
                <c:pt idx="0">
                  <c:v>1.6559111813059388</c:v>
                </c:pt>
                <c:pt idx="1">
                  <c:v>1.7643455060267172</c:v>
                </c:pt>
                <c:pt idx="2">
                  <c:v>2.2315024874826643</c:v>
                </c:pt>
                <c:pt idx="3">
                  <c:v>2.7669021396637969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AE-4AF6-84F3-4C6A5261DE3A}"/>
            </c:ext>
          </c:extLst>
        </c:ser>
        <c:ser>
          <c:idx val="9"/>
          <c:order val="9"/>
          <c:tx>
            <c:v>model, y(CO2)=0.9652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'Fan-Guo'!$A$11:$A$15</c:f>
              <c:numCache>
                <c:formatCode>General</c:formatCode>
                <c:ptCount val="5"/>
                <c:pt idx="0">
                  <c:v>273.10000000000002</c:v>
                </c:pt>
                <c:pt idx="1">
                  <c:v>274.60000000000002</c:v>
                </c:pt>
                <c:pt idx="2">
                  <c:v>278.3</c:v>
                </c:pt>
                <c:pt idx="3">
                  <c:v>279.39999999999998</c:v>
                </c:pt>
                <c:pt idx="4">
                  <c:v>280.2</c:v>
                </c:pt>
              </c:numCache>
            </c:numRef>
          </c:xVal>
          <c:yVal>
            <c:numRef>
              <c:f>'Fan-Guo'!$B$11:$B$15</c:f>
              <c:numCache>
                <c:formatCode>General</c:formatCode>
                <c:ptCount val="5"/>
                <c:pt idx="0">
                  <c:v>1.5211638610312583</c:v>
                </c:pt>
                <c:pt idx="1">
                  <c:v>1.7402113088478686</c:v>
                </c:pt>
                <c:pt idx="2">
                  <c:v>2.4181047894113883</c:v>
                </c:pt>
                <c:pt idx="3">
                  <c:v>2.6630449334062392</c:v>
                </c:pt>
                <c:pt idx="4">
                  <c:v>2.8549590885607867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8-42D9-99C2-E4ED5BC4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4688"/>
        <c:axId val="465588296"/>
      </c:scatterChart>
      <c:valAx>
        <c:axId val="4655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8296"/>
        <c:crosses val="autoZero"/>
        <c:crossBetween val="midCat"/>
      </c:valAx>
      <c:valAx>
        <c:axId val="4655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33571347059879E-2"/>
          <c:y val="0.74027951489986588"/>
          <c:w val="0.91109545517336654"/>
          <c:h val="0.19519052079904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0</xdr:row>
      <xdr:rowOff>158750</xdr:rowOff>
    </xdr:from>
    <xdr:to>
      <xdr:col>14</xdr:col>
      <xdr:colOff>187325</xdr:colOff>
      <xdr:row>18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289985</xdr:colOff>
      <xdr:row>0</xdr:row>
      <xdr:rowOff>1</xdr:rowOff>
    </xdr:from>
    <xdr:to>
      <xdr:col>17</xdr:col>
      <xdr:colOff>232833</xdr:colOff>
      <xdr:row>18</xdr:row>
      <xdr:rowOff>14111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260881</xdr:colOff>
      <xdr:row>0</xdr:row>
      <xdr:rowOff>97896</xdr:rowOff>
    </xdr:from>
    <xdr:to>
      <xdr:col>22</xdr:col>
      <xdr:colOff>436562</xdr:colOff>
      <xdr:row>19</xdr:row>
      <xdr:rowOff>111124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297360</xdr:colOff>
      <xdr:row>0</xdr:row>
      <xdr:rowOff>79655</xdr:rowOff>
    </xdr:from>
    <xdr:to>
      <xdr:col>13</xdr:col>
      <xdr:colOff>42722</xdr:colOff>
      <xdr:row>28</xdr:row>
      <xdr:rowOff>81677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139700</xdr:rowOff>
    </xdr:from>
    <xdr:to>
      <xdr:col>16</xdr:col>
      <xdr:colOff>323850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170039</xdr:colOff>
      <xdr:row>0</xdr:row>
      <xdr:rowOff>7054</xdr:rowOff>
    </xdr:from>
    <xdr:to>
      <xdr:col>20</xdr:col>
      <xdr:colOff>536222</xdr:colOff>
      <xdr:row>22</xdr:row>
      <xdr:rowOff>71965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206375</xdr:colOff>
      <xdr:row>1</xdr:row>
      <xdr:rowOff>19050</xdr:rowOff>
    </xdr:from>
    <xdr:to>
      <xdr:col>21</xdr:col>
      <xdr:colOff>511175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1</xdr:row>
      <xdr:rowOff>63500</xdr:rowOff>
    </xdr:from>
    <xdr:to>
      <xdr:col>13</xdr:col>
      <xdr:colOff>565150</xdr:colOff>
      <xdr:row>20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0</xdr:row>
      <xdr:rowOff>88900</xdr:rowOff>
    </xdr:from>
    <xdr:to>
      <xdr:col>15</xdr:col>
      <xdr:colOff>473075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1</xdr:row>
      <xdr:rowOff>9525</xdr:rowOff>
    </xdr:from>
    <xdr:to>
      <xdr:col>12</xdr:col>
      <xdr:colOff>498475</xdr:colOff>
      <xdr:row>15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0</xdr:row>
      <xdr:rowOff>104774</xdr:rowOff>
    </xdr:from>
    <xdr:to>
      <xdr:col>13</xdr:col>
      <xdr:colOff>415925</xdr:colOff>
      <xdr:row>17</xdr:row>
      <xdr:rowOff>44449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539750</xdr:colOff>
      <xdr:row>0</xdr:row>
      <xdr:rowOff>88900</xdr:rowOff>
    </xdr:from>
    <xdr:to>
      <xdr:col>22</xdr:col>
      <xdr:colOff>285750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1</xdr:rowOff>
    </xdr:from>
    <xdr:to>
      <xdr:col>15</xdr:col>
      <xdr:colOff>390089</xdr:colOff>
      <xdr:row>40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612774</xdr:colOff>
      <xdr:row>2</xdr:row>
      <xdr:rowOff>92074</xdr:rowOff>
    </xdr:from>
    <xdr:to>
      <xdr:col>13</xdr:col>
      <xdr:colOff>222249</xdr:colOff>
      <xdr:row>16</xdr:row>
      <xdr:rowOff>101599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332319</xdr:colOff>
      <xdr:row>0</xdr:row>
      <xdr:rowOff>28221</xdr:rowOff>
    </xdr:from>
    <xdr:to>
      <xdr:col>13</xdr:col>
      <xdr:colOff>508001</xdr:colOff>
      <xdr:row>19</xdr:row>
      <xdr:rowOff>35279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72"/>
  <sheetViews>
    <sheetView tabSelected="1" topLeftCell="A241" zoomScale="70" zoomScaleNormal="70" workbookViewId="0">
      <selection activeCell="M256" sqref="M256"/>
    </sheetView>
  </sheetViews>
  <sheetFormatPr defaultRowHeight="14.5" x14ac:dyDescent="0.35"/>
  <cols>
    <col min="1" max="1" width="4.81640625" customWidth="1"/>
    <col min="2" max="2" width="7.453125" style="1" bestFit="1" customWidth="1"/>
    <col min="3" max="3" width="7.54296875" style="1" customWidth="1"/>
    <col min="4" max="4" width="7.54296875" bestFit="1" customWidth="1"/>
    <col min="5" max="6" width="10.453125" bestFit="1" customWidth="1"/>
    <col min="7" max="7" width="8.26953125" bestFit="1" customWidth="1"/>
    <col min="8" max="8" width="11.1796875" bestFit="1" customWidth="1"/>
    <col min="9" max="9" width="13.81640625" bestFit="1" customWidth="1"/>
    <col min="10" max="10" width="13.54296875" bestFit="1" customWidth="1"/>
  </cols>
  <sheetData>
    <row r="1" spans="1:26" x14ac:dyDescent="0.35">
      <c r="B1" s="169" t="s">
        <v>0</v>
      </c>
      <c r="C1" s="170"/>
      <c r="D1" s="171" t="s">
        <v>3</v>
      </c>
      <c r="E1" s="172"/>
      <c r="F1" s="173"/>
      <c r="G1" s="174" t="s">
        <v>5</v>
      </c>
      <c r="H1" s="174"/>
      <c r="I1" s="19" t="s">
        <v>8</v>
      </c>
      <c r="J1" s="20" t="s">
        <v>9</v>
      </c>
      <c r="K1" s="66"/>
      <c r="L1" s="67"/>
      <c r="M1" s="82" t="s">
        <v>33</v>
      </c>
      <c r="N1" s="83"/>
      <c r="O1" s="83"/>
      <c r="P1" s="84"/>
      <c r="Q1" s="91"/>
      <c r="R1" s="91"/>
      <c r="S1" s="79" t="s">
        <v>153</v>
      </c>
      <c r="T1" s="80"/>
      <c r="U1" s="80"/>
      <c r="V1" s="81"/>
      <c r="W1" s="79" t="s">
        <v>154</v>
      </c>
      <c r="X1" s="79"/>
      <c r="Y1" s="79"/>
    </row>
    <row r="2" spans="1:26" ht="13.5" customHeight="1" thickBot="1" x14ac:dyDescent="0.4">
      <c r="B2" s="37" t="s">
        <v>1</v>
      </c>
      <c r="C2" s="16" t="s">
        <v>2</v>
      </c>
      <c r="D2" s="17" t="s">
        <v>4</v>
      </c>
      <c r="E2" s="17" t="s">
        <v>1</v>
      </c>
      <c r="F2" s="17" t="s">
        <v>2</v>
      </c>
      <c r="G2" s="17" t="s">
        <v>6</v>
      </c>
      <c r="H2" s="18" t="s">
        <v>7</v>
      </c>
      <c r="I2" s="18" t="s">
        <v>1</v>
      </c>
      <c r="J2" s="38" t="s">
        <v>1</v>
      </c>
      <c r="K2" s="163" t="s">
        <v>155</v>
      </c>
      <c r="L2" s="164"/>
      <c r="M2" s="165" t="s">
        <v>23</v>
      </c>
      <c r="N2" s="166"/>
      <c r="O2" s="85"/>
      <c r="P2" s="86"/>
      <c r="Q2" s="91"/>
      <c r="R2" s="91"/>
      <c r="S2" s="158" t="s">
        <v>23</v>
      </c>
      <c r="T2" s="159"/>
      <c r="U2" s="78"/>
      <c r="V2" s="8"/>
      <c r="W2" s="158" t="s">
        <v>23</v>
      </c>
      <c r="X2" s="159"/>
    </row>
    <row r="3" spans="1:26" ht="15" thickBot="1" x14ac:dyDescent="0.4">
      <c r="A3" s="160" t="s">
        <v>10</v>
      </c>
      <c r="B3" s="161"/>
      <c r="C3" s="161"/>
      <c r="D3" s="161"/>
      <c r="E3" s="161"/>
      <c r="F3" s="161"/>
      <c r="G3" s="161"/>
      <c r="H3" s="161"/>
      <c r="I3" s="161"/>
      <c r="J3" s="162"/>
      <c r="K3" s="6" t="s">
        <v>22</v>
      </c>
      <c r="L3" s="14" t="s">
        <v>21</v>
      </c>
      <c r="M3" s="87"/>
      <c r="N3" s="88"/>
      <c r="O3" s="88"/>
      <c r="P3" s="86"/>
      <c r="Q3" s="91"/>
      <c r="R3" s="91"/>
      <c r="S3" s="158" t="s">
        <v>24</v>
      </c>
      <c r="T3" s="167"/>
      <c r="U3" s="78"/>
      <c r="V3" s="8"/>
    </row>
    <row r="4" spans="1:26" x14ac:dyDescent="0.35">
      <c r="A4" s="2">
        <v>1</v>
      </c>
      <c r="B4" s="3">
        <v>0.96589999999999998</v>
      </c>
      <c r="C4" s="4">
        <f>1-B4</f>
        <v>3.4100000000000019E-2</v>
      </c>
      <c r="D4" s="6">
        <v>0.8</v>
      </c>
      <c r="E4" s="7">
        <f>(1-D4)*B4</f>
        <v>0.19317999999999996</v>
      </c>
      <c r="F4" s="14">
        <f>(1-D4)*C4</f>
        <v>6.8200000000000023E-3</v>
      </c>
      <c r="G4" s="11">
        <v>274.95</v>
      </c>
      <c r="H4" s="12">
        <v>1.5649999999999999</v>
      </c>
      <c r="I4" s="21"/>
      <c r="J4" s="21"/>
      <c r="K4" s="68">
        <v>16.051902108089948</v>
      </c>
      <c r="L4" s="8">
        <f>ABS(K4-H4*10)/H4/10</f>
        <v>2.5680645884341803E-2</v>
      </c>
      <c r="M4" s="89">
        <v>17.942532067305539</v>
      </c>
      <c r="N4" s="90">
        <f t="shared" ref="N4:N35" si="0">ABS(M4-H4*10)/H4/10</f>
        <v>0.1464876720323029</v>
      </c>
      <c r="O4" s="91"/>
      <c r="P4" s="86"/>
      <c r="Q4" s="91">
        <v>20.890480099501808</v>
      </c>
      <c r="R4" s="90">
        <f>ABS(Q4-H4*10)/H4/10</f>
        <v>0.33485495843462043</v>
      </c>
      <c r="S4" s="68">
        <v>17.944310302864377</v>
      </c>
      <c r="T4" s="75">
        <v>16.051608949152865</v>
      </c>
      <c r="U4" s="75"/>
      <c r="V4" s="8"/>
      <c r="W4" s="89">
        <v>16.08076364040641</v>
      </c>
      <c r="X4">
        <f t="shared" ref="X4:X35" si="1">ABS(W4-H4*10)/H4/10</f>
        <v>2.752483325280583E-2</v>
      </c>
    </row>
    <row r="5" spans="1:26" x14ac:dyDescent="0.35">
      <c r="A5" s="2">
        <v>2</v>
      </c>
      <c r="B5" s="3">
        <v>0.96589999999999998</v>
      </c>
      <c r="C5" s="4">
        <f t="shared" ref="C5:C57" si="2">1-B5</f>
        <v>3.4100000000000019E-2</v>
      </c>
      <c r="D5" s="6">
        <v>0.8</v>
      </c>
      <c r="E5" s="7">
        <f t="shared" ref="E5:E57" si="3">(1-D5)*B5</f>
        <v>0.19317999999999996</v>
      </c>
      <c r="F5" s="14">
        <f t="shared" ref="F5:F57" si="4">(1-D5)*C5</f>
        <v>6.8200000000000023E-3</v>
      </c>
      <c r="G5" s="11">
        <v>277.45</v>
      </c>
      <c r="H5" s="12">
        <v>2.06</v>
      </c>
      <c r="I5" s="21"/>
      <c r="J5" s="21"/>
      <c r="K5" s="68">
        <v>21.093294973302648</v>
      </c>
      <c r="L5" s="8">
        <f t="shared" ref="L5:L57" si="5">ABS(K5-H5*10)/H5/10</f>
        <v>2.3946357927312919E-2</v>
      </c>
      <c r="M5" s="89">
        <v>22.415135816981888</v>
      </c>
      <c r="N5" s="90">
        <f t="shared" si="0"/>
        <v>8.8113389173877982E-2</v>
      </c>
      <c r="O5" s="91"/>
      <c r="P5" s="86"/>
      <c r="Q5" s="91">
        <v>27.39137942738061</v>
      </c>
      <c r="R5" s="90">
        <f t="shared" ref="R5:R57" si="6">ABS(Q5-H5*10)/H5/10</f>
        <v>0.32967861297964118</v>
      </c>
      <c r="S5" s="68">
        <v>22.417585390073164</v>
      </c>
      <c r="T5" s="75">
        <v>21.09273510761135</v>
      </c>
      <c r="U5" s="75"/>
      <c r="V5" s="8"/>
      <c r="W5" s="89">
        <v>21.145998201863268</v>
      </c>
      <c r="X5">
        <f t="shared" si="1"/>
        <v>2.6504767080741093E-2</v>
      </c>
    </row>
    <row r="6" spans="1:26" x14ac:dyDescent="0.35">
      <c r="A6" s="2">
        <v>3</v>
      </c>
      <c r="B6" s="3">
        <v>0.96589999999999998</v>
      </c>
      <c r="C6" s="4">
        <f t="shared" si="2"/>
        <v>3.4100000000000019E-2</v>
      </c>
      <c r="D6" s="6">
        <v>0.8</v>
      </c>
      <c r="E6" s="7">
        <f t="shared" si="3"/>
        <v>0.19317999999999996</v>
      </c>
      <c r="F6" s="14">
        <f t="shared" si="4"/>
        <v>6.8200000000000023E-3</v>
      </c>
      <c r="G6" s="11">
        <v>280.25</v>
      </c>
      <c r="H6" s="12">
        <v>2.9</v>
      </c>
      <c r="I6" s="21"/>
      <c r="J6" s="21"/>
      <c r="K6" s="68">
        <v>28.533676734450424</v>
      </c>
      <c r="L6" s="8">
        <f t="shared" si="5"/>
        <v>1.6080112605157799E-2</v>
      </c>
      <c r="M6" s="89">
        <v>28.650062182018768</v>
      </c>
      <c r="N6" s="90">
        <f t="shared" si="0"/>
        <v>1.206682130969765E-2</v>
      </c>
      <c r="O6" s="91"/>
      <c r="P6" s="86"/>
      <c r="Q6" s="91">
        <v>36.634380685729482</v>
      </c>
      <c r="R6" s="90">
        <f t="shared" si="6"/>
        <v>0.26325450640446491</v>
      </c>
      <c r="S6" s="68">
        <v>28.653792513121211</v>
      </c>
      <c r="T6" s="75">
        <v>28.532585216678317</v>
      </c>
      <c r="U6" s="75"/>
      <c r="V6" s="8"/>
      <c r="W6" s="89">
        <v>28.634288945686581</v>
      </c>
      <c r="X6">
        <f t="shared" si="1"/>
        <v>1.2610726010807543E-2</v>
      </c>
    </row>
    <row r="7" spans="1:26" x14ac:dyDescent="0.35">
      <c r="A7" s="2">
        <v>4</v>
      </c>
      <c r="B7" s="3">
        <v>0.96589999999999998</v>
      </c>
      <c r="C7" s="4">
        <f t="shared" si="2"/>
        <v>3.4100000000000019E-2</v>
      </c>
      <c r="D7" s="6">
        <v>0.8</v>
      </c>
      <c r="E7" s="7">
        <f t="shared" si="3"/>
        <v>0.19317999999999996</v>
      </c>
      <c r="F7" s="14">
        <f t="shared" si="4"/>
        <v>6.8200000000000023E-3</v>
      </c>
      <c r="G7" s="11">
        <v>282.55</v>
      </c>
      <c r="H7" s="12">
        <v>4</v>
      </c>
      <c r="I7" s="21"/>
      <c r="J7" s="21"/>
      <c r="K7" s="68">
        <v>36.249876738587965</v>
      </c>
      <c r="L7" s="8">
        <f t="shared" si="5"/>
        <v>9.3753081535300889E-2</v>
      </c>
      <c r="M7" s="89">
        <v>34.85184459108654</v>
      </c>
      <c r="N7" s="90">
        <f t="shared" si="0"/>
        <v>0.12870388522283652</v>
      </c>
      <c r="O7" s="91"/>
      <c r="P7" s="86"/>
      <c r="Q7" s="91">
        <v>45.452018075391429</v>
      </c>
      <c r="R7" s="90">
        <f t="shared" si="6"/>
        <v>0.13630045188478573</v>
      </c>
      <c r="S7" s="68">
        <v>34.857435817565964</v>
      </c>
      <c r="T7" s="75">
        <v>36.248074229043262</v>
      </c>
      <c r="U7" s="75"/>
      <c r="V7" s="8"/>
      <c r="W7" s="89">
        <v>36.414283883791143</v>
      </c>
      <c r="X7">
        <f t="shared" si="1"/>
        <v>8.9642902905221436E-2</v>
      </c>
    </row>
    <row r="8" spans="1:26" x14ac:dyDescent="0.35">
      <c r="A8" s="2">
        <v>5</v>
      </c>
      <c r="B8" s="3">
        <v>0.96589999999999998</v>
      </c>
      <c r="C8" s="4">
        <f t="shared" si="2"/>
        <v>3.4100000000000019E-2</v>
      </c>
      <c r="D8" s="6">
        <v>0.8</v>
      </c>
      <c r="E8" s="7">
        <f t="shared" si="3"/>
        <v>0.19317999999999996</v>
      </c>
      <c r="F8" s="14">
        <f t="shared" si="4"/>
        <v>6.8200000000000023E-3</v>
      </c>
      <c r="G8" s="11">
        <v>283.55</v>
      </c>
      <c r="H8" s="12">
        <v>5.1150000000000002</v>
      </c>
      <c r="I8" s="21"/>
      <c r="J8" s="21"/>
      <c r="K8" s="68">
        <v>40.028672239014945</v>
      </c>
      <c r="L8" s="8">
        <f t="shared" si="5"/>
        <v>0.21742576267810479</v>
      </c>
      <c r="M8" s="89">
        <v>37.853426169769406</v>
      </c>
      <c r="N8" s="90">
        <f t="shared" si="0"/>
        <v>0.25995256755094032</v>
      </c>
      <c r="O8" s="91"/>
      <c r="P8" s="86"/>
      <c r="Q8" s="91">
        <v>49.349526385672768</v>
      </c>
      <c r="R8" s="90">
        <f t="shared" si="6"/>
        <v>3.5199875157912772E-2</v>
      </c>
      <c r="S8" s="68">
        <v>37.860214263201762</v>
      </c>
      <c r="T8" s="75">
        <v>40.026452774097798</v>
      </c>
      <c r="U8" s="75"/>
      <c r="V8" s="8"/>
      <c r="W8" s="89">
        <v>40.22772190008957</v>
      </c>
      <c r="X8">
        <f t="shared" si="1"/>
        <v>0.21353427370303885</v>
      </c>
    </row>
    <row r="9" spans="1:26" x14ac:dyDescent="0.35">
      <c r="A9" s="2">
        <v>6</v>
      </c>
      <c r="B9" s="3">
        <v>0.77800000000000002</v>
      </c>
      <c r="C9" s="4">
        <f t="shared" si="2"/>
        <v>0.22199999999999998</v>
      </c>
      <c r="D9" s="6">
        <v>0.8</v>
      </c>
      <c r="E9" s="7">
        <f t="shared" si="3"/>
        <v>0.15559999999999996</v>
      </c>
      <c r="F9" s="14">
        <f t="shared" si="4"/>
        <v>4.4399999999999988E-2</v>
      </c>
      <c r="G9" s="11">
        <v>274</v>
      </c>
      <c r="H9" s="12">
        <v>2</v>
      </c>
      <c r="I9" s="21"/>
      <c r="J9" s="21"/>
      <c r="K9" s="68">
        <v>16.944283780996567</v>
      </c>
      <c r="L9" s="8">
        <f t="shared" si="5"/>
        <v>0.15278581095017163</v>
      </c>
      <c r="M9" s="89">
        <v>20.401960361902589</v>
      </c>
      <c r="N9" s="90">
        <f t="shared" si="0"/>
        <v>2.0098018095129434E-2</v>
      </c>
      <c r="O9" s="91"/>
      <c r="P9" s="86"/>
      <c r="Q9" s="91">
        <v>21.83843027840593</v>
      </c>
      <c r="R9" s="90">
        <f t="shared" si="6"/>
        <v>9.1921513920296502E-2</v>
      </c>
      <c r="S9" s="68">
        <v>20.413448854743084</v>
      </c>
      <c r="T9" s="75">
        <v>16.941851172915868</v>
      </c>
      <c r="U9" s="75"/>
      <c r="V9" s="8"/>
      <c r="W9" s="89">
        <v>17.094040104259825</v>
      </c>
      <c r="X9">
        <f t="shared" si="1"/>
        <v>0.14529799478700872</v>
      </c>
    </row>
    <row r="10" spans="1:26" x14ac:dyDescent="0.35">
      <c r="A10" s="2">
        <v>7</v>
      </c>
      <c r="B10" s="3">
        <v>0.77800000000000002</v>
      </c>
      <c r="C10" s="4">
        <f t="shared" si="2"/>
        <v>0.22199999999999998</v>
      </c>
      <c r="D10" s="6">
        <v>0.8</v>
      </c>
      <c r="E10" s="7">
        <f t="shared" si="3"/>
        <v>0.15559999999999996</v>
      </c>
      <c r="F10" s="14">
        <f t="shared" si="4"/>
        <v>4.4399999999999988E-2</v>
      </c>
      <c r="G10" s="11">
        <v>276.14999999999998</v>
      </c>
      <c r="H10" s="12">
        <v>2.6</v>
      </c>
      <c r="I10" s="21"/>
      <c r="J10" s="21"/>
      <c r="K10" s="68">
        <v>21.360655212843294</v>
      </c>
      <c r="L10" s="8">
        <f t="shared" si="5"/>
        <v>0.17843633796756558</v>
      </c>
      <c r="M10" s="89">
        <v>24.917619657998646</v>
      </c>
      <c r="N10" s="90">
        <f t="shared" si="0"/>
        <v>4.1630013153898235E-2</v>
      </c>
      <c r="O10" s="91"/>
      <c r="P10" s="86"/>
      <c r="Q10" s="91">
        <v>27.506024419839175</v>
      </c>
      <c r="R10" s="90">
        <f t="shared" si="6"/>
        <v>5.7924016147660573E-2</v>
      </c>
      <c r="S10" s="68">
        <v>24.933184390246144</v>
      </c>
      <c r="T10" s="75">
        <v>21.356304266143955</v>
      </c>
      <c r="U10" s="75"/>
      <c r="V10" s="8"/>
      <c r="W10" s="89">
        <v>21.598362707696744</v>
      </c>
      <c r="X10">
        <f t="shared" si="1"/>
        <v>0.16929374201166369</v>
      </c>
    </row>
    <row r="11" spans="1:26" x14ac:dyDescent="0.35">
      <c r="A11" s="2">
        <v>8</v>
      </c>
      <c r="B11" s="3">
        <v>0.77800000000000002</v>
      </c>
      <c r="C11" s="4">
        <f t="shared" si="2"/>
        <v>0.22199999999999998</v>
      </c>
      <c r="D11" s="6">
        <v>0.8</v>
      </c>
      <c r="E11" s="7">
        <f t="shared" si="3"/>
        <v>0.15559999999999996</v>
      </c>
      <c r="F11" s="14">
        <f t="shared" si="4"/>
        <v>4.4399999999999988E-2</v>
      </c>
      <c r="G11" s="11">
        <v>280.64999999999998</v>
      </c>
      <c r="H11" s="12">
        <v>4.2249999999999996</v>
      </c>
      <c r="I11" s="21"/>
      <c r="J11" s="21"/>
      <c r="K11" s="68">
        <v>34.538772570646373</v>
      </c>
      <c r="L11" s="8">
        <f t="shared" si="5"/>
        <v>0.18251425868292609</v>
      </c>
      <c r="M11" s="89">
        <v>37.879236999472269</v>
      </c>
      <c r="N11" s="90">
        <f t="shared" si="0"/>
        <v>0.1034500118468102</v>
      </c>
      <c r="O11" s="91"/>
      <c r="P11" s="86"/>
      <c r="Q11" s="91">
        <v>44.100614307797542</v>
      </c>
      <c r="R11" s="90">
        <f t="shared" si="6"/>
        <v>4.3801522078048341E-2</v>
      </c>
      <c r="S11" s="68">
        <v>37.913698140766208</v>
      </c>
      <c r="T11" s="75">
        <v>34.524727932145424</v>
      </c>
      <c r="U11" s="75"/>
      <c r="V11" s="8"/>
      <c r="W11" s="89">
        <v>35.122495315448731</v>
      </c>
      <c r="X11">
        <f t="shared" si="1"/>
        <v>0.16869833572902412</v>
      </c>
    </row>
    <row r="12" spans="1:26" x14ac:dyDescent="0.35">
      <c r="A12" s="2">
        <v>9</v>
      </c>
      <c r="B12" s="3">
        <v>0.77800000000000002</v>
      </c>
      <c r="C12" s="4">
        <f t="shared" si="2"/>
        <v>0.22199999999999998</v>
      </c>
      <c r="D12" s="6">
        <v>0.8</v>
      </c>
      <c r="E12" s="7">
        <f t="shared" si="3"/>
        <v>0.15559999999999996</v>
      </c>
      <c r="F12" s="14">
        <f t="shared" si="4"/>
        <v>4.4399999999999988E-2</v>
      </c>
      <c r="G12" s="11">
        <v>283.45</v>
      </c>
      <c r="H12" s="12">
        <v>6.45</v>
      </c>
      <c r="I12" s="21"/>
      <c r="J12" s="21"/>
      <c r="K12" s="68">
        <v>46.222777876473437</v>
      </c>
      <c r="L12" s="8">
        <f t="shared" si="5"/>
        <v>0.28336778486087694</v>
      </c>
      <c r="M12" s="89">
        <v>49.092181354052578</v>
      </c>
      <c r="N12" s="90">
        <f t="shared" si="0"/>
        <v>0.23888090923949493</v>
      </c>
      <c r="O12" s="91"/>
      <c r="P12" s="86"/>
      <c r="Q12" s="91">
        <v>58.194526617305414</v>
      </c>
      <c r="R12" s="90">
        <f t="shared" si="6"/>
        <v>9.7759277251078858E-2</v>
      </c>
      <c r="S12" s="68">
        <v>49.157215547153413</v>
      </c>
      <c r="T12" s="75">
        <v>46.194831357481483</v>
      </c>
      <c r="U12" s="75"/>
      <c r="V12" s="8"/>
      <c r="W12" s="89">
        <v>47.183454984048012</v>
      </c>
      <c r="X12">
        <f t="shared" si="1"/>
        <v>0.26847356613879053</v>
      </c>
    </row>
    <row r="13" spans="1:26" x14ac:dyDescent="0.35">
      <c r="A13" s="2">
        <v>10</v>
      </c>
      <c r="B13" s="3">
        <v>0.77800000000000002</v>
      </c>
      <c r="C13" s="4">
        <f t="shared" si="2"/>
        <v>0.22199999999999998</v>
      </c>
      <c r="D13" s="6">
        <v>0.8</v>
      </c>
      <c r="E13" s="7">
        <f t="shared" si="3"/>
        <v>0.15559999999999996</v>
      </c>
      <c r="F13" s="14">
        <f t="shared" si="4"/>
        <v>4.4399999999999988E-2</v>
      </c>
      <c r="G13" s="11">
        <v>284.25</v>
      </c>
      <c r="H13" s="12">
        <v>7.4450000000000003</v>
      </c>
      <c r="I13" s="21"/>
      <c r="J13" s="21"/>
      <c r="K13" s="68">
        <v>50.131749200804499</v>
      </c>
      <c r="L13" s="8">
        <f t="shared" si="5"/>
        <v>0.32663869441498322</v>
      </c>
      <c r="M13" s="89">
        <v>52.833058183678268</v>
      </c>
      <c r="N13" s="90">
        <f t="shared" si="0"/>
        <v>0.29035516207282386</v>
      </c>
      <c r="O13" s="91"/>
      <c r="P13" s="86"/>
      <c r="Q13" s="91">
        <v>62.732309901481507</v>
      </c>
      <c r="R13" s="90">
        <f t="shared" si="6"/>
        <v>0.15739006176653453</v>
      </c>
      <c r="S13" s="68">
        <v>52.912811619469892</v>
      </c>
      <c r="T13" s="75">
        <v>50.0980949948503</v>
      </c>
      <c r="U13" s="75"/>
      <c r="V13" s="8"/>
      <c r="W13" s="89"/>
      <c r="X13">
        <f t="shared" si="1"/>
        <v>1</v>
      </c>
    </row>
    <row r="14" spans="1:26" x14ac:dyDescent="0.35">
      <c r="A14" s="2">
        <v>11</v>
      </c>
      <c r="B14" s="3">
        <v>0.48149999999999998</v>
      </c>
      <c r="C14" s="4">
        <f t="shared" si="2"/>
        <v>0.51849999999999996</v>
      </c>
      <c r="D14" s="6">
        <v>0.8</v>
      </c>
      <c r="E14" s="7">
        <f t="shared" si="3"/>
        <v>9.6299999999999969E-2</v>
      </c>
      <c r="F14" s="14">
        <f t="shared" si="4"/>
        <v>0.10369999999999997</v>
      </c>
      <c r="G14" s="11">
        <v>273.75</v>
      </c>
      <c r="H14" s="12">
        <v>3.1949999999999998</v>
      </c>
      <c r="I14" s="21"/>
      <c r="J14" s="21"/>
      <c r="K14" s="68">
        <v>23.849516890091245</v>
      </c>
      <c r="L14" s="8">
        <f t="shared" si="5"/>
        <v>0.25353624757147902</v>
      </c>
      <c r="M14" s="89">
        <v>31.55969408423357</v>
      </c>
      <c r="N14" s="90">
        <f t="shared" si="0"/>
        <v>1.2216147598323301E-2</v>
      </c>
      <c r="O14" s="91"/>
      <c r="P14" s="86"/>
      <c r="Q14" s="91">
        <v>30.503124288360759</v>
      </c>
      <c r="R14" s="90">
        <f t="shared" si="6"/>
        <v>4.5285624777441011E-2</v>
      </c>
      <c r="S14" s="68">
        <v>31.59967495225726</v>
      </c>
      <c r="T14" s="75">
        <v>23.833707613205586</v>
      </c>
      <c r="U14" s="75"/>
      <c r="V14" s="8"/>
      <c r="W14" s="89">
        <v>24.132955170018917</v>
      </c>
      <c r="X14">
        <f t="shared" si="1"/>
        <v>0.24466493990551119</v>
      </c>
    </row>
    <row r="15" spans="1:26" x14ac:dyDescent="0.35">
      <c r="A15" s="2">
        <v>12</v>
      </c>
      <c r="B15" s="3">
        <v>0.48149999999999998</v>
      </c>
      <c r="C15" s="4">
        <f t="shared" si="2"/>
        <v>0.51849999999999996</v>
      </c>
      <c r="D15" s="6">
        <v>0.8</v>
      </c>
      <c r="E15" s="7">
        <f t="shared" si="3"/>
        <v>9.6299999999999969E-2</v>
      </c>
      <c r="F15" s="14">
        <f t="shared" si="4"/>
        <v>0.10369999999999997</v>
      </c>
      <c r="G15" s="11">
        <v>276</v>
      </c>
      <c r="H15" s="12">
        <v>4.2569999999999997</v>
      </c>
      <c r="I15" s="21"/>
      <c r="J15" s="21"/>
      <c r="K15" s="68">
        <v>30.411925863515155</v>
      </c>
      <c r="L15" s="8">
        <f t="shared" si="5"/>
        <v>0.28560192944526286</v>
      </c>
      <c r="M15" s="89">
        <v>39.548449682905918</v>
      </c>
      <c r="N15" s="90">
        <f t="shared" si="0"/>
        <v>7.0978395985296566E-2</v>
      </c>
      <c r="O15" s="91"/>
      <c r="P15" s="86"/>
      <c r="Q15" s="91">
        <v>38.984870614291268</v>
      </c>
      <c r="R15" s="90">
        <f t="shared" si="6"/>
        <v>8.4217274740632508E-2</v>
      </c>
      <c r="S15" s="68">
        <v>39.611353146557697</v>
      </c>
      <c r="T15" s="75">
        <v>30.382817232541566</v>
      </c>
      <c r="U15" s="75"/>
      <c r="V15" s="8"/>
      <c r="W15" s="89">
        <v>30.852999537463255</v>
      </c>
      <c r="X15">
        <f t="shared" si="1"/>
        <v>0.27524079075726426</v>
      </c>
      <c r="Z15">
        <f>SUM(L4:L31)/28</f>
        <v>0.19723409540774853</v>
      </c>
    </row>
    <row r="16" spans="1:26" x14ac:dyDescent="0.35">
      <c r="A16" s="2">
        <v>13</v>
      </c>
      <c r="B16" s="3">
        <v>0.48149999999999998</v>
      </c>
      <c r="C16" s="4">
        <f t="shared" si="2"/>
        <v>0.51849999999999996</v>
      </c>
      <c r="D16" s="6">
        <v>0.8</v>
      </c>
      <c r="E16" s="7">
        <f t="shared" si="3"/>
        <v>9.6299999999999969E-2</v>
      </c>
      <c r="F16" s="14">
        <f t="shared" si="4"/>
        <v>0.10369999999999997</v>
      </c>
      <c r="G16" s="11">
        <v>279</v>
      </c>
      <c r="H16" s="12">
        <v>5.867</v>
      </c>
      <c r="I16" s="21"/>
      <c r="J16" s="21"/>
      <c r="K16" s="68">
        <v>42.217359470148089</v>
      </c>
      <c r="L16" s="8">
        <f t="shared" si="5"/>
        <v>0.28042680296321654</v>
      </c>
      <c r="M16" s="89">
        <v>53.969792958345565</v>
      </c>
      <c r="N16" s="90">
        <f t="shared" si="0"/>
        <v>8.0112613629698945E-2</v>
      </c>
      <c r="O16" s="91"/>
      <c r="P16" s="86"/>
      <c r="Q16" s="91">
        <v>54.440195639604745</v>
      </c>
      <c r="R16" s="90">
        <f t="shared" si="6"/>
        <v>7.2094841663461001E-2</v>
      </c>
      <c r="S16" s="68">
        <v>54.09937433408053</v>
      </c>
      <c r="T16" s="75">
        <v>42.152168278847881</v>
      </c>
      <c r="U16" s="75"/>
      <c r="V16" s="8"/>
      <c r="W16" s="89">
        <v>42.981936060263394</v>
      </c>
      <c r="X16">
        <f t="shared" si="1"/>
        <v>0.26739498789392552</v>
      </c>
    </row>
    <row r="17" spans="1:24" x14ac:dyDescent="0.35">
      <c r="A17" s="2">
        <v>14</v>
      </c>
      <c r="B17" s="3">
        <v>0.48149999999999998</v>
      </c>
      <c r="C17" s="4">
        <f t="shared" si="2"/>
        <v>0.51849999999999996</v>
      </c>
      <c r="D17" s="6">
        <v>0.8</v>
      </c>
      <c r="E17" s="7">
        <f t="shared" si="3"/>
        <v>9.6299999999999969E-2</v>
      </c>
      <c r="F17" s="14">
        <f t="shared" si="4"/>
        <v>0.10369999999999997</v>
      </c>
      <c r="G17" s="11">
        <v>281</v>
      </c>
      <c r="H17" s="12">
        <v>7.4489999999999998</v>
      </c>
      <c r="I17" s="21"/>
      <c r="J17" s="21"/>
      <c r="K17" s="68">
        <v>52.779063482360016</v>
      </c>
      <c r="L17" s="8">
        <f t="shared" si="5"/>
        <v>0.29146108897355322</v>
      </c>
      <c r="M17" s="89">
        <v>67.108795350650922</v>
      </c>
      <c r="N17" s="90">
        <f t="shared" si="0"/>
        <v>9.9089873128595421E-2</v>
      </c>
      <c r="O17" s="91"/>
      <c r="P17" s="86"/>
      <c r="Q17" s="91">
        <v>68.577152294210151</v>
      </c>
      <c r="R17" s="90">
        <f t="shared" si="6"/>
        <v>7.9377738029129327E-2</v>
      </c>
      <c r="S17" s="68">
        <v>67.339102242156983</v>
      </c>
      <c r="T17" s="75">
        <v>52.668075129698806</v>
      </c>
      <c r="U17" s="75"/>
      <c r="V17" s="8"/>
      <c r="W17" s="89">
        <v>53.86254511560881</v>
      </c>
      <c r="X17">
        <f t="shared" si="1"/>
        <v>0.27691575895276122</v>
      </c>
    </row>
    <row r="18" spans="1:24" x14ac:dyDescent="0.35">
      <c r="A18" s="2">
        <v>15</v>
      </c>
      <c r="B18" s="3">
        <v>0.48149999999999998</v>
      </c>
      <c r="C18" s="4">
        <f t="shared" si="2"/>
        <v>0.51849999999999996</v>
      </c>
      <c r="D18" s="6">
        <v>0.8</v>
      </c>
      <c r="E18" s="7">
        <f t="shared" si="3"/>
        <v>9.6299999999999969E-2</v>
      </c>
      <c r="F18" s="14">
        <f t="shared" si="4"/>
        <v>0.10369999999999997</v>
      </c>
      <c r="G18" s="11">
        <v>282</v>
      </c>
      <c r="H18" s="12">
        <v>8.9749999999999996</v>
      </c>
      <c r="I18" s="21"/>
      <c r="J18" s="21"/>
      <c r="K18" s="68">
        <v>59.147973328552027</v>
      </c>
      <c r="L18" s="8">
        <f t="shared" si="5"/>
        <v>0.34096965650638411</v>
      </c>
      <c r="M18" s="89">
        <v>75.218189160269176</v>
      </c>
      <c r="N18" s="90">
        <f t="shared" si="0"/>
        <v>0.16191432690507884</v>
      </c>
      <c r="O18" s="91"/>
      <c r="P18" s="86"/>
      <c r="Q18" s="91">
        <v>77.300473870801071</v>
      </c>
      <c r="R18" s="90">
        <f t="shared" si="6"/>
        <v>0.13871338305514128</v>
      </c>
      <c r="S18" s="68">
        <v>75.537095702221947</v>
      </c>
      <c r="T18" s="75">
        <v>59.003567925000837</v>
      </c>
      <c r="U18" s="75"/>
      <c r="V18" s="8"/>
      <c r="W18" s="89">
        <v>60.432863153294264</v>
      </c>
      <c r="X18">
        <f t="shared" si="1"/>
        <v>0.32665333533933971</v>
      </c>
    </row>
    <row r="19" spans="1:24" x14ac:dyDescent="0.35">
      <c r="A19" s="2">
        <v>16</v>
      </c>
      <c r="B19" s="3">
        <v>0.17610000000000001</v>
      </c>
      <c r="C19" s="4">
        <f t="shared" si="2"/>
        <v>0.82389999999999997</v>
      </c>
      <c r="D19" s="6">
        <v>0.8</v>
      </c>
      <c r="E19" s="7">
        <f t="shared" si="3"/>
        <v>3.5219999999999994E-2</v>
      </c>
      <c r="F19" s="14">
        <f t="shared" si="4"/>
        <v>0.16477999999999995</v>
      </c>
      <c r="G19" s="11">
        <v>272.85000000000002</v>
      </c>
      <c r="H19" s="12">
        <v>7.24</v>
      </c>
      <c r="I19" s="21"/>
      <c r="J19" s="21"/>
      <c r="K19" s="68">
        <v>48.547276855077719</v>
      </c>
      <c r="L19" s="8">
        <f t="shared" si="5"/>
        <v>0.32945750200168905</v>
      </c>
      <c r="M19" s="89">
        <v>67.718334816676247</v>
      </c>
      <c r="N19" s="90">
        <f t="shared" si="0"/>
        <v>6.4663883747565723E-2</v>
      </c>
      <c r="O19" s="91"/>
      <c r="P19" s="86"/>
      <c r="Q19" s="91">
        <v>61.814881088179803</v>
      </c>
      <c r="R19" s="90">
        <f t="shared" si="6"/>
        <v>0.14620329988701936</v>
      </c>
      <c r="S19" s="68">
        <v>67.972535617970919</v>
      </c>
      <c r="T19" s="75">
        <v>48.366723466286949</v>
      </c>
      <c r="U19" s="75"/>
      <c r="V19" s="8"/>
      <c r="W19" s="89">
        <v>47.130339944699486</v>
      </c>
      <c r="X19">
        <f t="shared" si="1"/>
        <v>0.34902845380249337</v>
      </c>
    </row>
    <row r="20" spans="1:24" x14ac:dyDescent="0.35">
      <c r="A20" s="2">
        <v>17</v>
      </c>
      <c r="B20" s="3">
        <v>0.17610000000000001</v>
      </c>
      <c r="C20" s="4">
        <f t="shared" si="2"/>
        <v>0.82389999999999997</v>
      </c>
      <c r="D20" s="6">
        <v>0.8</v>
      </c>
      <c r="E20" s="7">
        <f t="shared" si="3"/>
        <v>3.5219999999999994E-2</v>
      </c>
      <c r="F20" s="14">
        <f t="shared" si="4"/>
        <v>0.16477999999999995</v>
      </c>
      <c r="G20" s="11">
        <v>274.05</v>
      </c>
      <c r="H20" s="12">
        <v>8.120000000000001</v>
      </c>
      <c r="I20" s="21"/>
      <c r="J20" s="21"/>
      <c r="K20" s="68">
        <v>55.738316675834028</v>
      </c>
      <c r="L20" s="8">
        <f t="shared" si="5"/>
        <v>0.31356752862273385</v>
      </c>
      <c r="M20" s="89">
        <v>77.447783968043339</v>
      </c>
      <c r="N20" s="90">
        <f t="shared" si="0"/>
        <v>4.6209557043801447E-2</v>
      </c>
      <c r="O20" s="91"/>
      <c r="P20" s="86"/>
      <c r="Q20" s="91">
        <v>71.39178497014197</v>
      </c>
      <c r="R20" s="90">
        <f t="shared" si="6"/>
        <v>0.12079082549086265</v>
      </c>
      <c r="S20" s="68">
        <v>77.803991706928699</v>
      </c>
      <c r="T20" s="75">
        <v>55.487073644375442</v>
      </c>
      <c r="U20" s="75"/>
      <c r="V20" s="8"/>
      <c r="W20" s="89">
        <v>53.987481738649443</v>
      </c>
      <c r="X20">
        <f t="shared" si="1"/>
        <v>0.33512953523830752</v>
      </c>
    </row>
    <row r="21" spans="1:24" x14ac:dyDescent="0.35">
      <c r="A21" s="2">
        <v>18</v>
      </c>
      <c r="B21" s="3">
        <v>0.17610000000000001</v>
      </c>
      <c r="C21" s="4">
        <f t="shared" si="2"/>
        <v>0.82389999999999997</v>
      </c>
      <c r="D21" s="6">
        <v>0.8</v>
      </c>
      <c r="E21" s="7">
        <f t="shared" si="3"/>
        <v>3.5219999999999994E-2</v>
      </c>
      <c r="F21" s="14">
        <f t="shared" si="4"/>
        <v>0.16477999999999995</v>
      </c>
      <c r="G21" s="11">
        <v>277.45</v>
      </c>
      <c r="H21" s="12">
        <v>10.65</v>
      </c>
      <c r="I21" s="21"/>
      <c r="J21" s="21"/>
      <c r="K21" s="68">
        <v>84.362526165533851</v>
      </c>
      <c r="L21" s="8">
        <f t="shared" si="5"/>
        <v>0.20786360407949434</v>
      </c>
      <c r="M21" s="89">
        <v>117.18670113237098</v>
      </c>
      <c r="N21" s="90">
        <f t="shared" si="0"/>
        <v>0.10034461157155854</v>
      </c>
      <c r="O21" s="91"/>
      <c r="P21" s="86"/>
      <c r="Q21" s="91">
        <v>111.53320374268404</v>
      </c>
      <c r="R21" s="90">
        <f t="shared" si="6"/>
        <v>4.7260129039286738E-2</v>
      </c>
      <c r="S21" s="68">
        <v>118.24953780616131</v>
      </c>
      <c r="T21" s="75">
        <v>83.709416415451145</v>
      </c>
      <c r="U21" s="75"/>
      <c r="V21" s="8"/>
      <c r="W21" s="89">
        <v>80.771162735169739</v>
      </c>
      <c r="X21">
        <f t="shared" si="1"/>
        <v>0.24158532643033109</v>
      </c>
    </row>
    <row r="22" spans="1:24" x14ac:dyDescent="0.35">
      <c r="A22" s="2">
        <v>19</v>
      </c>
      <c r="B22" s="3">
        <v>0.17610000000000001</v>
      </c>
      <c r="C22" s="4">
        <f t="shared" si="2"/>
        <v>0.82389999999999997</v>
      </c>
      <c r="D22" s="6">
        <v>0.8</v>
      </c>
      <c r="E22" s="7">
        <f t="shared" si="3"/>
        <v>3.5219999999999994E-2</v>
      </c>
      <c r="F22" s="14">
        <f t="shared" si="4"/>
        <v>0.16477999999999995</v>
      </c>
      <c r="G22" s="11">
        <v>278.64999999999998</v>
      </c>
      <c r="H22" s="12">
        <v>11.748000000000001</v>
      </c>
      <c r="I22" s="21"/>
      <c r="J22" s="21"/>
      <c r="K22" s="68">
        <v>98.961818165753115</v>
      </c>
      <c r="L22" s="8">
        <f t="shared" si="5"/>
        <v>0.15762837788769918</v>
      </c>
      <c r="M22" s="89">
        <v>138.39871457254915</v>
      </c>
      <c r="N22" s="90">
        <f t="shared" si="0"/>
        <v>0.17806192179561739</v>
      </c>
      <c r="O22" s="91"/>
      <c r="P22" s="86"/>
      <c r="Q22" s="91">
        <v>133.70484639460389</v>
      </c>
      <c r="R22" s="90">
        <f t="shared" si="6"/>
        <v>0.13810730672968907</v>
      </c>
      <c r="S22" s="68">
        <v>140.08546290444932</v>
      </c>
      <c r="T22" s="75">
        <v>98.038150679730819</v>
      </c>
      <c r="U22" s="75"/>
      <c r="V22" s="8"/>
      <c r="W22" s="89">
        <v>94.057498187966857</v>
      </c>
      <c r="X22">
        <f t="shared" si="1"/>
        <v>0.1993743770176469</v>
      </c>
    </row>
    <row r="23" spans="1:24" x14ac:dyDescent="0.35">
      <c r="A23" s="2">
        <v>20</v>
      </c>
      <c r="B23" s="3">
        <v>0.17610000000000001</v>
      </c>
      <c r="C23" s="4">
        <f t="shared" si="2"/>
        <v>0.82389999999999997</v>
      </c>
      <c r="D23" s="6">
        <v>0.8</v>
      </c>
      <c r="E23" s="7">
        <f t="shared" si="3"/>
        <v>3.5219999999999994E-2</v>
      </c>
      <c r="F23" s="14">
        <f t="shared" si="4"/>
        <v>0.16477999999999995</v>
      </c>
      <c r="G23" s="11">
        <v>280.55</v>
      </c>
      <c r="H23" s="12">
        <v>14.219999999999999</v>
      </c>
      <c r="I23" s="21"/>
      <c r="J23" s="21"/>
      <c r="K23" s="68">
        <v>130.85270920543306</v>
      </c>
      <c r="L23" s="8">
        <f t="shared" si="5"/>
        <v>7.9798106853494602E-2</v>
      </c>
      <c r="M23" s="89">
        <v>188.23462519934253</v>
      </c>
      <c r="N23" s="90">
        <f t="shared" si="0"/>
        <v>0.32373154148623451</v>
      </c>
      <c r="O23" s="91"/>
      <c r="P23" s="86"/>
      <c r="Q23" s="91">
        <v>188.50569463333585</v>
      </c>
      <c r="R23" s="90">
        <f t="shared" si="6"/>
        <v>0.32563779629631406</v>
      </c>
      <c r="S23" s="68">
        <v>192.34984806058483</v>
      </c>
      <c r="T23" s="75">
        <v>129.23711149872136</v>
      </c>
      <c r="U23" s="75"/>
      <c r="V23" s="8"/>
      <c r="W23" s="89">
        <v>121.9965352510232</v>
      </c>
      <c r="X23">
        <f t="shared" si="1"/>
        <v>0.14207781117423901</v>
      </c>
    </row>
    <row r="24" spans="1:24" x14ac:dyDescent="0.35">
      <c r="A24" s="2">
        <v>21</v>
      </c>
      <c r="B24" s="3">
        <v>0.1159</v>
      </c>
      <c r="C24" s="4">
        <f t="shared" si="2"/>
        <v>0.8841</v>
      </c>
      <c r="D24" s="6">
        <v>0.8</v>
      </c>
      <c r="E24" s="7">
        <f t="shared" si="3"/>
        <v>2.3179999999999996E-2</v>
      </c>
      <c r="F24" s="14">
        <f t="shared" si="4"/>
        <v>0.17681999999999995</v>
      </c>
      <c r="G24" s="11">
        <v>274.25</v>
      </c>
      <c r="H24" s="12">
        <v>11.02</v>
      </c>
      <c r="I24" s="21"/>
      <c r="J24" s="21"/>
      <c r="K24" s="68">
        <v>81.39491433514722</v>
      </c>
      <c r="L24" s="8">
        <f t="shared" si="5"/>
        <v>0.26138916211300156</v>
      </c>
      <c r="M24" s="89">
        <v>106.69083855239994</v>
      </c>
      <c r="N24" s="90">
        <f t="shared" si="0"/>
        <v>3.1843570304900634E-2</v>
      </c>
      <c r="O24" s="91"/>
      <c r="P24" s="86"/>
      <c r="Q24" s="91">
        <v>104.77312285945105</v>
      </c>
      <c r="R24" s="90">
        <f t="shared" si="6"/>
        <v>4.9245709079391464E-2</v>
      </c>
      <c r="S24" s="68">
        <v>107.432229699513</v>
      </c>
      <c r="T24" s="75">
        <v>80.726515134775667</v>
      </c>
      <c r="U24" s="75"/>
      <c r="V24" s="8"/>
      <c r="W24" s="89">
        <v>74.898386075065844</v>
      </c>
      <c r="X24">
        <f t="shared" si="1"/>
        <v>0.3203413241827055</v>
      </c>
    </row>
    <row r="25" spans="1:24" x14ac:dyDescent="0.35">
      <c r="A25" s="2">
        <v>22</v>
      </c>
      <c r="B25" s="3">
        <v>0.1159</v>
      </c>
      <c r="C25" s="4">
        <f t="shared" si="2"/>
        <v>0.8841</v>
      </c>
      <c r="D25" s="6">
        <v>0.8</v>
      </c>
      <c r="E25" s="7">
        <f t="shared" si="3"/>
        <v>2.3179999999999996E-2</v>
      </c>
      <c r="F25" s="14">
        <f t="shared" si="4"/>
        <v>0.17681999999999995</v>
      </c>
      <c r="G25" s="11">
        <v>275.64999999999998</v>
      </c>
      <c r="H25" s="12">
        <v>13.87</v>
      </c>
      <c r="I25" s="21"/>
      <c r="J25" s="21"/>
      <c r="K25" s="68">
        <v>97.608356659021553</v>
      </c>
      <c r="L25" s="8">
        <f t="shared" si="5"/>
        <v>0.29626274939422087</v>
      </c>
      <c r="M25" s="89">
        <v>127.08050221033712</v>
      </c>
      <c r="N25" s="90">
        <f t="shared" si="0"/>
        <v>8.3774317156906086E-2</v>
      </c>
      <c r="O25" s="91"/>
      <c r="P25" s="86"/>
      <c r="Q25" s="91">
        <v>127.80177709587372</v>
      </c>
      <c r="R25" s="90">
        <f t="shared" si="6"/>
        <v>7.8574065638978161E-2</v>
      </c>
      <c r="S25" s="68">
        <v>128.24432817987739</v>
      </c>
      <c r="T25" s="75">
        <v>96.615365255095085</v>
      </c>
      <c r="U25" s="75"/>
      <c r="V25" s="8"/>
      <c r="W25" s="89">
        <v>88.76705774180634</v>
      </c>
      <c r="X25">
        <f t="shared" si="1"/>
        <v>0.36000679349815179</v>
      </c>
    </row>
    <row r="26" spans="1:24" x14ac:dyDescent="0.35">
      <c r="A26" s="2">
        <v>23</v>
      </c>
      <c r="B26" s="3">
        <v>0.1159</v>
      </c>
      <c r="C26" s="4">
        <f t="shared" si="2"/>
        <v>0.8841</v>
      </c>
      <c r="D26" s="6">
        <v>0.8</v>
      </c>
      <c r="E26" s="7">
        <f t="shared" si="3"/>
        <v>2.3179999999999996E-2</v>
      </c>
      <c r="F26" s="14">
        <f t="shared" si="4"/>
        <v>0.17681999999999995</v>
      </c>
      <c r="G26" s="11">
        <v>277.60000000000002</v>
      </c>
      <c r="H26" s="12">
        <v>18.100000000000001</v>
      </c>
      <c r="I26" s="21"/>
      <c r="J26" s="21"/>
      <c r="K26" s="68">
        <v>128.79565698139456</v>
      </c>
      <c r="L26" s="8">
        <f t="shared" si="5"/>
        <v>0.28842178463317925</v>
      </c>
      <c r="M26" s="89">
        <v>166.60035261179124</v>
      </c>
      <c r="N26" s="90">
        <f t="shared" si="0"/>
        <v>7.9556062918280449E-2</v>
      </c>
      <c r="O26" s="91"/>
      <c r="P26" s="86"/>
      <c r="Q26" s="91">
        <v>175.82626101988615</v>
      </c>
      <c r="R26" s="90">
        <f t="shared" si="6"/>
        <v>2.8584193260297531E-2</v>
      </c>
      <c r="S26" s="68">
        <v>168.98599068859258</v>
      </c>
      <c r="T26" s="75">
        <v>127.04842517485901</v>
      </c>
      <c r="U26" s="75"/>
      <c r="V26" s="8"/>
      <c r="W26" s="89">
        <v>114.17770447728044</v>
      </c>
      <c r="X26">
        <f t="shared" si="1"/>
        <v>0.36918395316419639</v>
      </c>
    </row>
    <row r="27" spans="1:24" x14ac:dyDescent="0.35">
      <c r="A27" s="2">
        <v>24</v>
      </c>
      <c r="B27" s="3">
        <v>0.1159</v>
      </c>
      <c r="C27" s="4">
        <f t="shared" si="2"/>
        <v>0.8841</v>
      </c>
      <c r="D27" s="6">
        <v>0.8</v>
      </c>
      <c r="E27" s="7">
        <f t="shared" si="3"/>
        <v>2.3179999999999996E-2</v>
      </c>
      <c r="F27" s="14">
        <f t="shared" si="4"/>
        <v>0.17681999999999995</v>
      </c>
      <c r="G27" s="11">
        <v>278.95</v>
      </c>
      <c r="H27" s="12">
        <v>22.23</v>
      </c>
      <c r="I27" s="21"/>
      <c r="J27" s="21"/>
      <c r="K27" s="68">
        <v>160.39594555382979</v>
      </c>
      <c r="L27" s="8">
        <f t="shared" si="5"/>
        <v>0.27847078023468386</v>
      </c>
      <c r="M27" s="89">
        <v>207.29334997869944</v>
      </c>
      <c r="N27" s="90">
        <f t="shared" si="0"/>
        <v>6.7506297891590517E-2</v>
      </c>
      <c r="O27" s="91"/>
      <c r="P27" s="86"/>
      <c r="Q27" s="91">
        <v>231.67965001948821</v>
      </c>
      <c r="R27" s="90">
        <f t="shared" si="6"/>
        <v>4.2193657307639201E-2</v>
      </c>
      <c r="S27" s="68"/>
      <c r="T27" s="75">
        <v>157.80594771077341</v>
      </c>
      <c r="U27" s="75"/>
      <c r="V27" s="8"/>
      <c r="W27" s="89">
        <v>138.06668200931128</v>
      </c>
      <c r="X27">
        <f t="shared" si="1"/>
        <v>0.37891730989963446</v>
      </c>
    </row>
    <row r="28" spans="1:24" x14ac:dyDescent="0.35">
      <c r="A28" s="2">
        <v>25</v>
      </c>
      <c r="B28" s="3">
        <v>6.6299999999999998E-2</v>
      </c>
      <c r="C28" s="4">
        <f t="shared" si="2"/>
        <v>0.93369999999999997</v>
      </c>
      <c r="D28" s="6">
        <v>0.8</v>
      </c>
      <c r="E28" s="7">
        <f t="shared" si="3"/>
        <v>1.3259999999999997E-2</v>
      </c>
      <c r="F28" s="14">
        <f t="shared" si="4"/>
        <v>0.18673999999999996</v>
      </c>
      <c r="G28" s="11">
        <v>273.95</v>
      </c>
      <c r="H28" s="12">
        <v>14.084999999999999</v>
      </c>
      <c r="I28" s="21"/>
      <c r="J28" s="21"/>
      <c r="K28" s="68">
        <v>126.67838477555799</v>
      </c>
      <c r="L28" s="8">
        <f t="shared" si="5"/>
        <v>0.1006149465704083</v>
      </c>
      <c r="M28" s="89">
        <v>140.83402091363905</v>
      </c>
      <c r="N28" s="90">
        <f t="shared" si="0"/>
        <v>1.1344754249870805E-4</v>
      </c>
      <c r="O28" s="91"/>
      <c r="P28" s="86"/>
      <c r="Q28" s="91">
        <v>162.45935837057587</v>
      </c>
      <c r="R28" s="90">
        <f t="shared" si="6"/>
        <v>0.15342107469347446</v>
      </c>
      <c r="S28" s="68">
        <v>142.00519935748682</v>
      </c>
      <c r="T28" s="75">
        <v>124.97456832152183</v>
      </c>
      <c r="U28" s="75"/>
      <c r="V28" s="8"/>
      <c r="W28" s="89">
        <v>104.2163410790677</v>
      </c>
      <c r="X28">
        <f t="shared" si="1"/>
        <v>0.26008987519298754</v>
      </c>
    </row>
    <row r="29" spans="1:24" x14ac:dyDescent="0.35">
      <c r="A29" s="2">
        <v>26</v>
      </c>
      <c r="B29" s="3">
        <v>6.6299999999999998E-2</v>
      </c>
      <c r="C29" s="4">
        <f t="shared" si="2"/>
        <v>0.93369999999999997</v>
      </c>
      <c r="D29" s="6">
        <v>0.8</v>
      </c>
      <c r="E29" s="7">
        <f t="shared" si="3"/>
        <v>1.3259999999999997E-2</v>
      </c>
      <c r="F29" s="14">
        <f t="shared" si="4"/>
        <v>0.18673999999999996</v>
      </c>
      <c r="G29" s="11">
        <v>274.55</v>
      </c>
      <c r="H29" s="12">
        <v>15.4</v>
      </c>
      <c r="I29" s="21"/>
      <c r="J29" s="21"/>
      <c r="K29" s="68">
        <v>138.33547689739927</v>
      </c>
      <c r="L29" s="8">
        <f t="shared" si="5"/>
        <v>0.1017176824844203</v>
      </c>
      <c r="M29" s="89">
        <v>152.07550286569756</v>
      </c>
      <c r="N29" s="90">
        <f t="shared" si="0"/>
        <v>1.2496734638327543E-2</v>
      </c>
      <c r="O29" s="91"/>
      <c r="P29" s="86"/>
      <c r="Q29" s="91">
        <v>179.23345938991491</v>
      </c>
      <c r="R29" s="90">
        <f t="shared" si="6"/>
        <v>0.1638536324020449</v>
      </c>
      <c r="S29" s="68">
        <v>153.49101628088061</v>
      </c>
      <c r="T29" s="75">
        <v>136.33012165207629</v>
      </c>
      <c r="U29" s="75"/>
      <c r="V29" s="8"/>
      <c r="W29" s="89">
        <v>112.35334079920513</v>
      </c>
      <c r="X29">
        <f t="shared" si="1"/>
        <v>0.27043285195321343</v>
      </c>
    </row>
    <row r="30" spans="1:24" x14ac:dyDescent="0.35">
      <c r="A30" s="2">
        <v>27</v>
      </c>
      <c r="B30" s="3">
        <v>6.6299999999999998E-2</v>
      </c>
      <c r="C30" s="4">
        <f t="shared" si="2"/>
        <v>0.93369999999999997</v>
      </c>
      <c r="D30" s="6">
        <v>0.8</v>
      </c>
      <c r="E30" s="7">
        <f t="shared" si="3"/>
        <v>1.3259999999999997E-2</v>
      </c>
      <c r="F30" s="14">
        <f t="shared" si="4"/>
        <v>0.18673999999999996</v>
      </c>
      <c r="G30" s="11">
        <v>277</v>
      </c>
      <c r="H30" s="12">
        <v>20.68</v>
      </c>
      <c r="I30" s="21"/>
      <c r="J30" s="21"/>
      <c r="K30" s="68">
        <v>209.44147238858821</v>
      </c>
      <c r="L30" s="8">
        <f t="shared" si="5"/>
        <v>1.2773077314256278E-2</v>
      </c>
      <c r="M30" s="89">
        <v>216.02540313564216</v>
      </c>
      <c r="N30" s="90">
        <f t="shared" si="0"/>
        <v>4.4610266613356639E-2</v>
      </c>
      <c r="O30" s="91"/>
      <c r="P30" s="86"/>
      <c r="Q30" s="91">
        <v>294.19644919934746</v>
      </c>
      <c r="R30" s="90">
        <f t="shared" si="6"/>
        <v>0.4226133907125118</v>
      </c>
      <c r="S30" s="68">
        <v>219.4520089864659</v>
      </c>
      <c r="T30" s="75">
        <v>205.67988046746009</v>
      </c>
      <c r="U30" s="75"/>
      <c r="V30" s="8"/>
      <c r="W30" s="89">
        <v>156.40156042192834</v>
      </c>
      <c r="X30">
        <f t="shared" si="1"/>
        <v>0.24370618751485335</v>
      </c>
    </row>
    <row r="31" spans="1:24" x14ac:dyDescent="0.35">
      <c r="A31" s="2">
        <v>28</v>
      </c>
      <c r="B31" s="3">
        <v>6.6299999999999998E-2</v>
      </c>
      <c r="C31" s="4">
        <f t="shared" si="2"/>
        <v>0.93369999999999997</v>
      </c>
      <c r="D31" s="6">
        <v>0.8</v>
      </c>
      <c r="E31" s="7">
        <f t="shared" si="3"/>
        <v>1.3259999999999997E-2</v>
      </c>
      <c r="F31" s="14">
        <f t="shared" si="4"/>
        <v>0.18673999999999996</v>
      </c>
      <c r="G31" s="11">
        <v>278.25</v>
      </c>
      <c r="H31" s="12">
        <v>24.119999999999997</v>
      </c>
      <c r="I31" s="21"/>
      <c r="J31" s="21"/>
      <c r="K31" s="68">
        <v>275.44190885816272</v>
      </c>
      <c r="L31" s="8">
        <f t="shared" si="5"/>
        <v>0.14196479626103953</v>
      </c>
      <c r="M31" s="89">
        <v>268.36011737594822</v>
      </c>
      <c r="N31" s="90">
        <f t="shared" si="0"/>
        <v>0.11260413505782851</v>
      </c>
      <c r="O31" s="91"/>
      <c r="P31" s="86"/>
      <c r="Q31" s="91">
        <v>429.8711066755518</v>
      </c>
      <c r="R31" s="90">
        <f t="shared" si="6"/>
        <v>0.78221851855535585</v>
      </c>
      <c r="S31" s="68">
        <v>274.3697732410044</v>
      </c>
      <c r="T31" s="75">
        <v>271.2164089632177</v>
      </c>
      <c r="U31" s="75"/>
      <c r="V31" s="8"/>
      <c r="W31" s="89">
        <v>189.32353668653698</v>
      </c>
      <c r="X31">
        <f t="shared" si="1"/>
        <v>0.21507654773409207</v>
      </c>
    </row>
    <row r="32" spans="1:24" x14ac:dyDescent="0.35">
      <c r="A32" s="2">
        <v>29</v>
      </c>
      <c r="B32" s="3">
        <v>1</v>
      </c>
      <c r="C32" s="4">
        <f t="shared" si="2"/>
        <v>0</v>
      </c>
      <c r="D32" s="6">
        <v>0.8</v>
      </c>
      <c r="E32" s="7">
        <f t="shared" si="3"/>
        <v>0.19999999999999996</v>
      </c>
      <c r="F32" s="14">
        <f t="shared" si="4"/>
        <v>0</v>
      </c>
      <c r="G32" s="11">
        <v>274</v>
      </c>
      <c r="H32" s="12">
        <v>1.3939999999999999</v>
      </c>
      <c r="I32" s="22">
        <v>1</v>
      </c>
      <c r="J32" s="21"/>
      <c r="K32" s="68">
        <v>14.117486017748691</v>
      </c>
      <c r="L32" s="8">
        <f t="shared" si="5"/>
        <v>1.2732139006362369E-2</v>
      </c>
      <c r="M32" s="89">
        <v>15.921145623461307</v>
      </c>
      <c r="N32" s="90">
        <f t="shared" si="0"/>
        <v>0.14211948518373799</v>
      </c>
      <c r="O32" s="91">
        <v>0.99999999999999989</v>
      </c>
      <c r="P32" s="86">
        <f>ABS(O32-I32)/I32</f>
        <v>1.1102230246251565E-16</v>
      </c>
      <c r="Q32" s="91">
        <v>18.411821540464373</v>
      </c>
      <c r="R32" s="90">
        <f t="shared" si="6"/>
        <v>0.32079064135325497</v>
      </c>
      <c r="S32" s="68">
        <v>15.921145623461307</v>
      </c>
      <c r="T32" s="75">
        <v>14.117486113307132</v>
      </c>
      <c r="U32" s="75"/>
      <c r="V32" s="8"/>
      <c r="W32" s="89">
        <v>14.116478582299472</v>
      </c>
      <c r="X32">
        <f t="shared" si="1"/>
        <v>1.265986960541407E-2</v>
      </c>
    </row>
    <row r="33" spans="1:27" x14ac:dyDescent="0.35">
      <c r="A33" s="2">
        <v>30</v>
      </c>
      <c r="B33" s="3">
        <v>0.82050000000000001</v>
      </c>
      <c r="C33" s="4">
        <f t="shared" si="2"/>
        <v>0.17949999999999999</v>
      </c>
      <c r="D33" s="6">
        <v>0.8</v>
      </c>
      <c r="E33" s="7">
        <f t="shared" si="3"/>
        <v>0.16409999999999997</v>
      </c>
      <c r="F33" s="14">
        <f t="shared" si="4"/>
        <v>3.5899999999999987E-2</v>
      </c>
      <c r="G33" s="11">
        <v>274</v>
      </c>
      <c r="H33" s="12">
        <v>1.7690000000000001</v>
      </c>
      <c r="I33" s="22">
        <v>0.98499999999999999</v>
      </c>
      <c r="J33" s="21"/>
      <c r="K33" s="68">
        <v>16.288072215460243</v>
      </c>
      <c r="L33" s="8">
        <f t="shared" si="5"/>
        <v>7.9249733439217526E-2</v>
      </c>
      <c r="M33" s="89">
        <v>19.363360971864726</v>
      </c>
      <c r="N33" s="90">
        <f t="shared" si="0"/>
        <v>9.459361061982613E-2</v>
      </c>
      <c r="O33" s="91">
        <v>0.97459425509598607</v>
      </c>
      <c r="P33" s="86">
        <f t="shared" ref="P33:P56" si="7">ABS(O33-I33)/I33</f>
        <v>1.0564208024379608E-2</v>
      </c>
      <c r="Q33" s="91">
        <v>21.028149065328535</v>
      </c>
      <c r="R33" s="90">
        <f t="shared" si="6"/>
        <v>0.18870260403213868</v>
      </c>
      <c r="S33" s="68">
        <v>19.372376525562686</v>
      </c>
      <c r="T33" s="75">
        <v>16.286330792990245</v>
      </c>
      <c r="U33" s="75"/>
      <c r="V33" s="8"/>
      <c r="W33" s="89">
        <v>16.409717103511358</v>
      </c>
      <c r="X33">
        <f t="shared" si="1"/>
        <v>7.2373255878385695E-2</v>
      </c>
    </row>
    <row r="34" spans="1:27" x14ac:dyDescent="0.35">
      <c r="A34" s="2">
        <v>31</v>
      </c>
      <c r="B34" s="3">
        <v>0.59989999999999999</v>
      </c>
      <c r="C34" s="4">
        <f t="shared" si="2"/>
        <v>0.40010000000000001</v>
      </c>
      <c r="D34" s="6">
        <v>0.8</v>
      </c>
      <c r="E34" s="7">
        <f t="shared" si="3"/>
        <v>0.11997999999999998</v>
      </c>
      <c r="F34" s="14">
        <f t="shared" si="4"/>
        <v>8.001999999999998E-2</v>
      </c>
      <c r="G34" s="11">
        <v>274</v>
      </c>
      <c r="H34" s="12">
        <v>2.3540000000000001</v>
      </c>
      <c r="I34" s="22">
        <v>0.95169999999999999</v>
      </c>
      <c r="J34" s="21"/>
      <c r="K34" s="68">
        <v>20.643569931783272</v>
      </c>
      <c r="L34" s="8">
        <f t="shared" si="5"/>
        <v>0.12304290859034524</v>
      </c>
      <c r="M34" s="89">
        <v>26.259175903191554</v>
      </c>
      <c r="N34" s="90">
        <f t="shared" si="0"/>
        <v>0.11551299503787404</v>
      </c>
      <c r="O34" s="91">
        <v>0.92580002233604253</v>
      </c>
      <c r="P34" s="86">
        <f t="shared" si="7"/>
        <v>2.7214434868086019E-2</v>
      </c>
      <c r="Q34" s="91">
        <v>26.466837851495917</v>
      </c>
      <c r="R34" s="90">
        <f t="shared" si="6"/>
        <v>0.12433465809243491</v>
      </c>
      <c r="S34" s="68">
        <v>26.284454534125377</v>
      </c>
      <c r="T34" s="75">
        <v>20.635639339741157</v>
      </c>
      <c r="U34" s="75"/>
      <c r="V34" s="8"/>
      <c r="W34" s="89">
        <v>20.901384023031916</v>
      </c>
      <c r="X34">
        <f t="shared" si="1"/>
        <v>0.1120907381889585</v>
      </c>
    </row>
    <row r="35" spans="1:27" x14ac:dyDescent="0.35">
      <c r="A35" s="2">
        <v>32</v>
      </c>
      <c r="B35" s="3">
        <v>0.50480000000000003</v>
      </c>
      <c r="C35" s="4">
        <f t="shared" si="2"/>
        <v>0.49519999999999997</v>
      </c>
      <c r="D35" s="6">
        <v>0.8</v>
      </c>
      <c r="E35" s="7">
        <f t="shared" si="3"/>
        <v>0.10095999999999998</v>
      </c>
      <c r="F35" s="14">
        <f t="shared" si="4"/>
        <v>9.9039999999999975E-2</v>
      </c>
      <c r="G35" s="11">
        <v>274</v>
      </c>
      <c r="H35" s="12">
        <v>2.835</v>
      </c>
      <c r="I35" s="22">
        <v>0.93010000000000004</v>
      </c>
      <c r="J35" s="21"/>
      <c r="K35" s="68">
        <v>23.608538907550244</v>
      </c>
      <c r="L35" s="8">
        <f t="shared" si="5"/>
        <v>0.16724730484831596</v>
      </c>
      <c r="M35" s="89">
        <v>30.947269147718895</v>
      </c>
      <c r="N35" s="90">
        <f t="shared" si="0"/>
        <v>9.1614432018303132E-2</v>
      </c>
      <c r="O35" s="91">
        <v>0.89396609741858679</v>
      </c>
      <c r="P35" s="86">
        <f t="shared" si="7"/>
        <v>3.8849481326108208E-2</v>
      </c>
      <c r="Q35" s="91">
        <v>30.211838448206649</v>
      </c>
      <c r="R35" s="90">
        <f t="shared" si="6"/>
        <v>6.5673313869723013E-2</v>
      </c>
      <c r="S35" s="68">
        <v>30.985003805114079</v>
      </c>
      <c r="T35" s="75">
        <v>23.594016199588665</v>
      </c>
      <c r="U35" s="75"/>
      <c r="V35" s="8"/>
      <c r="W35" s="89">
        <v>23.90331222932879</v>
      </c>
      <c r="X35">
        <f t="shared" si="1"/>
        <v>0.15684965681379934</v>
      </c>
    </row>
    <row r="36" spans="1:27" x14ac:dyDescent="0.35">
      <c r="A36" s="2">
        <v>33</v>
      </c>
      <c r="B36" s="3">
        <v>0.39939999999999998</v>
      </c>
      <c r="C36" s="4">
        <f t="shared" si="2"/>
        <v>0.60060000000000002</v>
      </c>
      <c r="D36" s="6">
        <v>0.8</v>
      </c>
      <c r="E36" s="7">
        <f t="shared" si="3"/>
        <v>7.9879999999999979E-2</v>
      </c>
      <c r="F36" s="14">
        <f t="shared" si="4"/>
        <v>0.12011999999999998</v>
      </c>
      <c r="G36" s="11">
        <v>274</v>
      </c>
      <c r="H36" s="12">
        <v>3.56</v>
      </c>
      <c r="I36" s="22">
        <v>0.90010000000000001</v>
      </c>
      <c r="J36" s="21"/>
      <c r="K36" s="68">
        <v>28.407905181229303</v>
      </c>
      <c r="L36" s="8">
        <f t="shared" si="5"/>
        <v>0.20202513535872746</v>
      </c>
      <c r="M36" s="89">
        <v>38.474315076083066</v>
      </c>
      <c r="N36" s="90">
        <f t="shared" ref="N36:N57" si="8">ABS(M36-H36*10)/H36/10</f>
        <v>8.0739187530423168E-2</v>
      </c>
      <c r="O36" s="91">
        <v>0.8448036920132469</v>
      </c>
      <c r="P36" s="86">
        <f t="shared" si="7"/>
        <v>6.1433516261252208E-2</v>
      </c>
      <c r="Q36" s="91">
        <v>36.305059803172924</v>
      </c>
      <c r="R36" s="90">
        <f t="shared" si="6"/>
        <v>1.9805050650924784E-2</v>
      </c>
      <c r="S36" s="68">
        <v>38.537515559703913</v>
      </c>
      <c r="T36" s="75">
        <v>28.378011944527319</v>
      </c>
      <c r="U36" s="75"/>
      <c r="V36" s="8"/>
      <c r="W36" s="89">
        <v>28.68044195218118</v>
      </c>
      <c r="X36">
        <f t="shared" ref="X36:X57" si="9">ABS(W36-H36*10)/H36/10</f>
        <v>0.19436960808479836</v>
      </c>
    </row>
    <row r="37" spans="1:27" x14ac:dyDescent="0.35">
      <c r="A37" s="2">
        <v>34</v>
      </c>
      <c r="B37" s="3">
        <v>0.20569999999999999</v>
      </c>
      <c r="C37" s="4">
        <f t="shared" si="2"/>
        <v>0.79430000000000001</v>
      </c>
      <c r="D37" s="6">
        <v>0.8</v>
      </c>
      <c r="E37" s="7">
        <f t="shared" si="3"/>
        <v>4.1139999999999989E-2</v>
      </c>
      <c r="F37" s="14">
        <f t="shared" si="4"/>
        <v>0.15885999999999997</v>
      </c>
      <c r="G37" s="11">
        <v>274</v>
      </c>
      <c r="H37" s="12">
        <v>7.2349999999999994</v>
      </c>
      <c r="I37" s="22">
        <v>0.58360000000000001</v>
      </c>
      <c r="J37" s="21"/>
      <c r="K37" s="68">
        <v>48.701884260278284</v>
      </c>
      <c r="L37" s="8">
        <f t="shared" si="5"/>
        <v>0.32685716295399742</v>
      </c>
      <c r="M37" s="89">
        <v>68.199162331471641</v>
      </c>
      <c r="N37" s="90">
        <f t="shared" si="8"/>
        <v>5.7371633289956515E-2</v>
      </c>
      <c r="O37" s="91">
        <v>0.6698231070050652</v>
      </c>
      <c r="P37" s="86">
        <f t="shared" si="7"/>
        <v>0.14774350069408018</v>
      </c>
      <c r="Q37" s="91">
        <v>62.302429539189305</v>
      </c>
      <c r="R37" s="90">
        <f t="shared" si="6"/>
        <v>0.13887450533255966</v>
      </c>
      <c r="S37" s="68">
        <v>68.459951517986127</v>
      </c>
      <c r="T37" s="75">
        <v>48.530414054557021</v>
      </c>
      <c r="U37" s="75"/>
      <c r="V37" s="8"/>
      <c r="W37" s="89">
        <v>47.77251211071323</v>
      </c>
      <c r="X37">
        <f t="shared" si="9"/>
        <v>0.33970266605786825</v>
      </c>
    </row>
    <row r="38" spans="1:27" x14ac:dyDescent="0.35">
      <c r="A38" s="2">
        <v>35</v>
      </c>
      <c r="B38" s="3">
        <v>0.1159</v>
      </c>
      <c r="C38" s="4">
        <f t="shared" si="2"/>
        <v>0.8841</v>
      </c>
      <c r="D38" s="6">
        <v>0.8</v>
      </c>
      <c r="E38" s="7">
        <f t="shared" si="3"/>
        <v>2.3179999999999996E-2</v>
      </c>
      <c r="F38" s="14">
        <f t="shared" si="4"/>
        <v>0.17681999999999995</v>
      </c>
      <c r="G38" s="11">
        <v>274</v>
      </c>
      <c r="H38" s="12">
        <v>11.2</v>
      </c>
      <c r="I38" s="22">
        <v>0.34260000000000002</v>
      </c>
      <c r="J38" s="21"/>
      <c r="K38" s="68">
        <v>78.88170128614054</v>
      </c>
      <c r="L38" s="8">
        <f t="shared" si="5"/>
        <v>0.29569909565945951</v>
      </c>
      <c r="M38" s="89">
        <v>103.53494875474416</v>
      </c>
      <c r="N38" s="90">
        <f t="shared" si="8"/>
        <v>7.5580814689784254E-2</v>
      </c>
      <c r="O38" s="91">
        <v>0.49339083828739067</v>
      </c>
      <c r="P38" s="86">
        <f t="shared" si="7"/>
        <v>0.44013671420721145</v>
      </c>
      <c r="Q38" s="91">
        <v>101.29766638681996</v>
      </c>
      <c r="R38" s="90">
        <f t="shared" si="6"/>
        <v>9.5556550117678968E-2</v>
      </c>
      <c r="S38" s="68">
        <v>104.22173335574072</v>
      </c>
      <c r="T38" s="75">
        <v>78.258573011124483</v>
      </c>
      <c r="U38" s="75"/>
      <c r="V38" s="8"/>
      <c r="W38" s="89">
        <v>72.711400616400766</v>
      </c>
      <c r="X38">
        <f t="shared" si="9"/>
        <v>0.35079106592499321</v>
      </c>
    </row>
    <row r="39" spans="1:27" x14ac:dyDescent="0.35">
      <c r="A39" s="2">
        <v>36</v>
      </c>
      <c r="B39" s="3">
        <v>4.9799999999999997E-2</v>
      </c>
      <c r="C39" s="4">
        <f t="shared" si="2"/>
        <v>0.95020000000000004</v>
      </c>
      <c r="D39" s="6">
        <v>0.8</v>
      </c>
      <c r="E39" s="7">
        <f t="shared" si="3"/>
        <v>9.9599999999999966E-3</v>
      </c>
      <c r="F39" s="14">
        <f t="shared" si="4"/>
        <v>0.19003999999999996</v>
      </c>
      <c r="G39" s="11">
        <v>274</v>
      </c>
      <c r="H39" s="12">
        <v>14.928000000000001</v>
      </c>
      <c r="I39" s="22">
        <v>0.17929999999999999</v>
      </c>
      <c r="J39" s="21"/>
      <c r="K39" s="68">
        <v>163.19307603779231</v>
      </c>
      <c r="L39" s="8">
        <f t="shared" si="5"/>
        <v>9.3201206040945256E-2</v>
      </c>
      <c r="M39" s="89">
        <v>160.42110667034601</v>
      </c>
      <c r="N39" s="90">
        <f t="shared" si="8"/>
        <v>7.4632279410142041E-2</v>
      </c>
      <c r="O39" s="91">
        <v>0.26516043488269719</v>
      </c>
      <c r="P39" s="86">
        <f t="shared" si="7"/>
        <v>0.47886466749970558</v>
      </c>
      <c r="Q39" s="91">
        <v>208.26688494645887</v>
      </c>
      <c r="R39" s="90">
        <f t="shared" si="6"/>
        <v>0.39514258404648228</v>
      </c>
      <c r="S39" s="68">
        <v>161.77919233577509</v>
      </c>
      <c r="T39" s="75">
        <v>160.68030684249985</v>
      </c>
      <c r="U39" s="75"/>
      <c r="V39" s="8"/>
      <c r="W39" s="89">
        <v>123.34256855839131</v>
      </c>
      <c r="X39">
        <f t="shared" si="9"/>
        <v>0.17375021062170884</v>
      </c>
    </row>
    <row r="40" spans="1:27" x14ac:dyDescent="0.35">
      <c r="A40" s="2">
        <v>37</v>
      </c>
      <c r="B40" s="3">
        <v>0</v>
      </c>
      <c r="C40" s="4">
        <f t="shared" si="2"/>
        <v>1</v>
      </c>
      <c r="D40" s="6">
        <v>0.8</v>
      </c>
      <c r="E40" s="7">
        <f t="shared" si="3"/>
        <v>0</v>
      </c>
      <c r="F40" s="14">
        <f t="shared" si="4"/>
        <v>0.19999999999999996</v>
      </c>
      <c r="G40" s="11">
        <v>274</v>
      </c>
      <c r="H40" s="12">
        <v>17.925999999999998</v>
      </c>
      <c r="I40" s="22">
        <v>0</v>
      </c>
      <c r="J40" s="21"/>
      <c r="K40" s="68">
        <v>167.43253948599806</v>
      </c>
      <c r="L40" s="8">
        <f t="shared" si="5"/>
        <v>6.5979362456777463E-2</v>
      </c>
      <c r="M40" s="89">
        <v>180.78961901828521</v>
      </c>
      <c r="N40" s="90">
        <f t="shared" si="8"/>
        <v>8.5329633955439996E-3</v>
      </c>
      <c r="O40" s="91">
        <v>0</v>
      </c>
      <c r="P40" s="86">
        <v>0</v>
      </c>
      <c r="Q40" s="91">
        <v>167.43253948599806</v>
      </c>
      <c r="R40" s="90">
        <f t="shared" si="6"/>
        <v>6.5979362456777463E-2</v>
      </c>
      <c r="S40" s="68">
        <v>180.85501095160896</v>
      </c>
      <c r="T40" s="75">
        <v>167.43253949101424</v>
      </c>
      <c r="U40" s="75"/>
      <c r="V40" s="8"/>
      <c r="W40" s="89">
        <v>180.78961901165903</v>
      </c>
      <c r="X40">
        <f t="shared" si="9"/>
        <v>8.532963358579922E-3</v>
      </c>
    </row>
    <row r="41" spans="1:27" x14ac:dyDescent="0.35">
      <c r="A41" s="2">
        <v>38</v>
      </c>
      <c r="B41" s="3">
        <v>1</v>
      </c>
      <c r="C41" s="4">
        <f t="shared" si="2"/>
        <v>0</v>
      </c>
      <c r="D41" s="6">
        <v>0.8</v>
      </c>
      <c r="E41" s="7">
        <f t="shared" si="3"/>
        <v>0.19999999999999996</v>
      </c>
      <c r="F41" s="14">
        <f t="shared" si="4"/>
        <v>0</v>
      </c>
      <c r="G41" s="11">
        <v>277</v>
      </c>
      <c r="H41" s="12">
        <v>1.9530000000000001</v>
      </c>
      <c r="I41" s="22">
        <v>1</v>
      </c>
      <c r="J41" s="21"/>
      <c r="K41" s="68">
        <v>19.627322140955275</v>
      </c>
      <c r="L41" s="8">
        <f t="shared" si="5"/>
        <v>4.9832125425127629E-3</v>
      </c>
      <c r="M41" s="89">
        <v>20.769463929059231</v>
      </c>
      <c r="N41" s="90">
        <f t="shared" si="8"/>
        <v>6.3464614903186389E-2</v>
      </c>
      <c r="O41" s="91">
        <v>1</v>
      </c>
      <c r="P41" s="86">
        <f t="shared" si="7"/>
        <v>0</v>
      </c>
      <c r="Q41" s="91">
        <v>25.591856373964234</v>
      </c>
      <c r="R41" s="90">
        <f t="shared" si="6"/>
        <v>0.31038691110927968</v>
      </c>
      <c r="S41" s="68">
        <v>20.769463929059231</v>
      </c>
      <c r="T41" s="75">
        <v>19.627322196854866</v>
      </c>
      <c r="U41" s="75"/>
      <c r="V41" s="8"/>
      <c r="W41" s="89">
        <v>19.625904101075342</v>
      </c>
      <c r="X41">
        <f t="shared" si="9"/>
        <v>4.9106042537296968E-3</v>
      </c>
    </row>
    <row r="42" spans="1:27" x14ac:dyDescent="0.35">
      <c r="A42" s="2">
        <v>39</v>
      </c>
      <c r="B42" s="3">
        <v>0.84909999999999997</v>
      </c>
      <c r="C42" s="4">
        <f t="shared" si="2"/>
        <v>0.15090000000000003</v>
      </c>
      <c r="D42" s="6">
        <v>0.8</v>
      </c>
      <c r="E42" s="7">
        <f t="shared" si="3"/>
        <v>0.16981999999999994</v>
      </c>
      <c r="F42" s="14">
        <f t="shared" si="4"/>
        <v>3.0179999999999998E-2</v>
      </c>
      <c r="G42" s="11">
        <v>277</v>
      </c>
      <c r="H42" s="12">
        <v>2.6</v>
      </c>
      <c r="I42" s="22">
        <v>0.97819999999999996</v>
      </c>
      <c r="J42" s="21"/>
      <c r="K42" s="68">
        <v>21.964278809180833</v>
      </c>
      <c r="L42" s="8">
        <f t="shared" si="5"/>
        <v>0.1552200458007372</v>
      </c>
      <c r="M42" s="89">
        <v>24.636040913968301</v>
      </c>
      <c r="N42" s="90">
        <f t="shared" si="8"/>
        <v>5.2459964847373017E-2</v>
      </c>
      <c r="O42" s="91">
        <v>0.97743732876670331</v>
      </c>
      <c r="P42" s="86">
        <f t="shared" si="7"/>
        <v>7.7966799560074871E-4</v>
      </c>
      <c r="Q42" s="91">
        <v>28.33501658012943</v>
      </c>
      <c r="R42" s="90">
        <f t="shared" si="6"/>
        <v>8.9808330004978093E-2</v>
      </c>
      <c r="S42" s="68">
        <v>24.647223628967662</v>
      </c>
      <c r="T42" s="75">
        <v>21.961254883603065</v>
      </c>
      <c r="U42" s="75"/>
      <c r="V42" s="8"/>
      <c r="W42" s="89">
        <v>22.163607551022686</v>
      </c>
      <c r="X42">
        <f t="shared" si="9"/>
        <v>0.14755355572989667</v>
      </c>
    </row>
    <row r="43" spans="1:27" x14ac:dyDescent="0.35">
      <c r="A43" s="2">
        <v>40</v>
      </c>
      <c r="B43" s="3">
        <v>0.5867</v>
      </c>
      <c r="C43" s="4">
        <f t="shared" si="2"/>
        <v>0.4133</v>
      </c>
      <c r="D43" s="6">
        <v>0.8</v>
      </c>
      <c r="E43" s="7">
        <f t="shared" si="3"/>
        <v>0.11733999999999997</v>
      </c>
      <c r="F43" s="14">
        <f t="shared" si="4"/>
        <v>8.2659999999999983E-2</v>
      </c>
      <c r="G43" s="11">
        <v>277</v>
      </c>
      <c r="H43" s="12">
        <v>3.3770000000000002</v>
      </c>
      <c r="I43" s="22">
        <v>0.94550000000000001</v>
      </c>
      <c r="J43" s="21"/>
      <c r="K43" s="68">
        <v>29.001206844744484</v>
      </c>
      <c r="L43" s="8">
        <f t="shared" si="5"/>
        <v>0.14121389266377019</v>
      </c>
      <c r="M43" s="89">
        <v>35.959621720458223</v>
      </c>
      <c r="N43" s="90">
        <f t="shared" si="8"/>
        <v>6.4839257342559076E-2</v>
      </c>
      <c r="O43" s="91">
        <v>0.91468172052620633</v>
      </c>
      <c r="P43" s="86">
        <f t="shared" si="7"/>
        <v>3.2594690083335459E-2</v>
      </c>
      <c r="Q43" s="91">
        <v>37.209871591162617</v>
      </c>
      <c r="R43" s="90">
        <f t="shared" si="6"/>
        <v>0.10186175869596133</v>
      </c>
      <c r="S43" s="68">
        <v>36.005612789011842</v>
      </c>
      <c r="T43" s="75">
        <v>28.981820179698758</v>
      </c>
      <c r="U43" s="75"/>
      <c r="V43" s="8"/>
      <c r="W43" s="89">
        <v>29.479284439229222</v>
      </c>
      <c r="X43">
        <f t="shared" si="9"/>
        <v>0.1270570198629192</v>
      </c>
      <c r="AA43" s="1"/>
    </row>
    <row r="44" spans="1:27" x14ac:dyDescent="0.35">
      <c r="A44" s="2">
        <v>41</v>
      </c>
      <c r="B44" s="3">
        <v>0.38990000000000002</v>
      </c>
      <c r="C44" s="4">
        <f t="shared" si="2"/>
        <v>0.61009999999999998</v>
      </c>
      <c r="D44" s="6">
        <v>0.8</v>
      </c>
      <c r="E44" s="7">
        <f t="shared" si="3"/>
        <v>7.7979999999999994E-2</v>
      </c>
      <c r="F44" s="14">
        <f t="shared" si="4"/>
        <v>0.12201999999999996</v>
      </c>
      <c r="G44" s="11">
        <v>277</v>
      </c>
      <c r="H44" s="12">
        <v>5.2329999999999997</v>
      </c>
      <c r="I44" s="22">
        <v>0.88670000000000004</v>
      </c>
      <c r="J44" s="21"/>
      <c r="K44" s="68">
        <v>40.227946445827989</v>
      </c>
      <c r="L44" s="8">
        <f t="shared" si="5"/>
        <v>0.23126416117278828</v>
      </c>
      <c r="M44" s="89">
        <v>53.826940192777919</v>
      </c>
      <c r="N44" s="90">
        <f t="shared" si="8"/>
        <v>2.8605774752110076E-2</v>
      </c>
      <c r="O44" s="91">
        <v>0.82393838939671205</v>
      </c>
      <c r="P44" s="86">
        <f t="shared" si="7"/>
        <v>7.0781110413091236E-2</v>
      </c>
      <c r="Q44" s="91">
        <v>51.753927314046585</v>
      </c>
      <c r="R44" s="90">
        <f t="shared" si="6"/>
        <v>1.1008459506084716E-2</v>
      </c>
      <c r="S44" s="68">
        <v>53.963726633793762</v>
      </c>
      <c r="T44" s="75">
        <v>40.15555375438462</v>
      </c>
      <c r="U44" s="75"/>
      <c r="V44" s="8"/>
      <c r="W44" s="89">
        <v>40.698230105116806</v>
      </c>
      <c r="X44">
        <f t="shared" si="9"/>
        <v>0.22227727679883799</v>
      </c>
    </row>
    <row r="45" spans="1:27" x14ac:dyDescent="0.35">
      <c r="A45" s="2">
        <v>42</v>
      </c>
      <c r="B45" s="3">
        <v>0.17610000000000001</v>
      </c>
      <c r="C45" s="4">
        <f t="shared" si="2"/>
        <v>0.82389999999999997</v>
      </c>
      <c r="D45" s="6">
        <v>0.8</v>
      </c>
      <c r="E45" s="7">
        <f t="shared" si="3"/>
        <v>3.5219999999999994E-2</v>
      </c>
      <c r="F45" s="14">
        <f t="shared" si="4"/>
        <v>0.16477999999999995</v>
      </c>
      <c r="G45" s="11">
        <v>277</v>
      </c>
      <c r="H45" s="12">
        <v>11.98</v>
      </c>
      <c r="I45" s="22">
        <v>0.54</v>
      </c>
      <c r="J45" s="21"/>
      <c r="K45" s="68">
        <v>79.642111310704053</v>
      </c>
      <c r="L45" s="8">
        <f t="shared" si="5"/>
        <v>0.33520775199746206</v>
      </c>
      <c r="M45" s="89">
        <v>110.48728071720342</v>
      </c>
      <c r="N45" s="90">
        <f t="shared" si="8"/>
        <v>7.7735553278769548E-2</v>
      </c>
      <c r="O45" s="91">
        <v>0.58760677633943814</v>
      </c>
      <c r="P45" s="86">
        <f t="shared" si="7"/>
        <v>8.8160696924885373E-2</v>
      </c>
      <c r="Q45" s="91">
        <v>104.64575342800634</v>
      </c>
      <c r="R45" s="90">
        <f t="shared" si="6"/>
        <v>0.1264962151251558</v>
      </c>
      <c r="S45" s="68">
        <v>111.39271118348158</v>
      </c>
      <c r="T45" s="75">
        <v>79.067887808652543</v>
      </c>
      <c r="U45" s="75"/>
      <c r="V45" s="8"/>
      <c r="W45" s="89">
        <v>76.417152386860991</v>
      </c>
      <c r="X45">
        <f t="shared" si="9"/>
        <v>0.36212727556877311</v>
      </c>
    </row>
    <row r="46" spans="1:27" x14ac:dyDescent="0.35">
      <c r="A46" s="2">
        <v>43</v>
      </c>
      <c r="B46" s="3">
        <v>0.1159</v>
      </c>
      <c r="C46" s="4">
        <f t="shared" si="2"/>
        <v>0.8841</v>
      </c>
      <c r="D46" s="6">
        <v>0.8</v>
      </c>
      <c r="E46" s="7">
        <f t="shared" si="3"/>
        <v>2.3179999999999996E-2</v>
      </c>
      <c r="F46" s="14">
        <f t="shared" si="4"/>
        <v>0.17681999999999995</v>
      </c>
      <c r="G46" s="11">
        <v>277</v>
      </c>
      <c r="H46" s="12">
        <v>15.5</v>
      </c>
      <c r="I46" s="22">
        <v>0.35260000000000002</v>
      </c>
      <c r="J46" s="21"/>
      <c r="K46" s="68">
        <v>117.80165361618762</v>
      </c>
      <c r="L46" s="8">
        <f t="shared" si="5"/>
        <v>0.23998933150846696</v>
      </c>
      <c r="M46" s="89">
        <v>152.60903843941253</v>
      </c>
      <c r="N46" s="90">
        <f t="shared" si="8"/>
        <v>1.5425558455403035E-2</v>
      </c>
      <c r="O46" s="91">
        <v>0.45144565969120537</v>
      </c>
      <c r="P46" s="86">
        <f t="shared" si="7"/>
        <v>0.28033369169371908</v>
      </c>
      <c r="Q46" s="91">
        <v>158.24138039728925</v>
      </c>
      <c r="R46" s="90">
        <f t="shared" si="6"/>
        <v>2.0912131595414503E-2</v>
      </c>
      <c r="S46" s="68">
        <v>154.49470442062341</v>
      </c>
      <c r="T46" s="75">
        <v>116.33542762686797</v>
      </c>
      <c r="U46" s="75"/>
      <c r="V46" s="8"/>
      <c r="W46" s="89">
        <v>105.41980639366228</v>
      </c>
      <c r="X46">
        <f t="shared" si="9"/>
        <v>0.31987221681508204</v>
      </c>
    </row>
    <row r="47" spans="1:27" x14ac:dyDescent="0.35">
      <c r="A47" s="2">
        <v>44</v>
      </c>
      <c r="B47" s="3">
        <v>6.6299999999999998E-2</v>
      </c>
      <c r="C47" s="4">
        <f t="shared" si="2"/>
        <v>0.93369999999999997</v>
      </c>
      <c r="D47" s="6">
        <v>0.8</v>
      </c>
      <c r="E47" s="7">
        <f t="shared" si="3"/>
        <v>1.3259999999999997E-2</v>
      </c>
      <c r="F47" s="14">
        <f t="shared" si="4"/>
        <v>0.18673999999999996</v>
      </c>
      <c r="G47" s="11">
        <v>277</v>
      </c>
      <c r="H47" s="12">
        <v>19.173999999999999</v>
      </c>
      <c r="I47" s="22">
        <v>0.1928</v>
      </c>
      <c r="J47" s="21"/>
      <c r="K47" s="68">
        <v>209.44147238909153</v>
      </c>
      <c r="L47" s="8">
        <f t="shared" si="5"/>
        <v>9.2320185611200173E-2</v>
      </c>
      <c r="M47" s="89">
        <v>216.02540313657073</v>
      </c>
      <c r="N47" s="90">
        <f t="shared" si="8"/>
        <v>0.12665799069871037</v>
      </c>
      <c r="O47" s="91">
        <v>0.29311542537307705</v>
      </c>
      <c r="P47" s="86">
        <f t="shared" si="7"/>
        <v>0.52030822288940382</v>
      </c>
      <c r="Q47" s="91">
        <v>294.19644920488031</v>
      </c>
      <c r="R47" s="90">
        <f t="shared" si="6"/>
        <v>0.53435093983978466</v>
      </c>
      <c r="S47" s="68">
        <v>219.45200898693224</v>
      </c>
      <c r="T47" s="75">
        <v>205.67988046701302</v>
      </c>
      <c r="U47" s="75"/>
      <c r="V47" s="8"/>
      <c r="W47" s="89">
        <v>156.40156042192214</v>
      </c>
      <c r="X47">
        <f t="shared" si="9"/>
        <v>0.18430395106956227</v>
      </c>
    </row>
    <row r="48" spans="1:27" x14ac:dyDescent="0.35">
      <c r="A48" s="2">
        <v>45</v>
      </c>
      <c r="B48" s="3">
        <v>0</v>
      </c>
      <c r="C48" s="4">
        <f t="shared" si="2"/>
        <v>1</v>
      </c>
      <c r="D48" s="6">
        <v>0.8</v>
      </c>
      <c r="E48" s="7">
        <f t="shared" si="3"/>
        <v>0</v>
      </c>
      <c r="F48" s="14">
        <f t="shared" si="4"/>
        <v>0.19999999999999996</v>
      </c>
      <c r="G48" s="11">
        <v>277</v>
      </c>
      <c r="H48" s="12">
        <v>24.041</v>
      </c>
      <c r="I48" s="22">
        <v>0</v>
      </c>
      <c r="J48" s="21"/>
      <c r="K48" s="68">
        <v>246.25295139333923</v>
      </c>
      <c r="L48" s="8">
        <f t="shared" si="5"/>
        <v>2.4304111282139822E-2</v>
      </c>
      <c r="M48" s="89">
        <v>277.34112442901522</v>
      </c>
      <c r="N48" s="90">
        <f t="shared" si="8"/>
        <v>0.1536172556425075</v>
      </c>
      <c r="O48" s="91">
        <v>0</v>
      </c>
      <c r="P48" s="86">
        <v>0</v>
      </c>
      <c r="Q48" s="91">
        <v>246.25295139333923</v>
      </c>
      <c r="R48" s="90">
        <f t="shared" si="6"/>
        <v>2.4304111282139822E-2</v>
      </c>
      <c r="S48" s="68">
        <v>277.45865265442927</v>
      </c>
      <c r="T48" s="75">
        <v>246.25296213581575</v>
      </c>
      <c r="U48" s="75"/>
      <c r="V48" s="8"/>
      <c r="W48" s="89">
        <v>277.34109727578453</v>
      </c>
      <c r="X48">
        <f t="shared" si="9"/>
        <v>0.15361714269699486</v>
      </c>
    </row>
    <row r="49" spans="1:26" x14ac:dyDescent="0.35">
      <c r="A49" s="2">
        <v>46</v>
      </c>
      <c r="B49" s="3">
        <v>1</v>
      </c>
      <c r="C49" s="4">
        <f t="shared" si="2"/>
        <v>0</v>
      </c>
      <c r="D49" s="6">
        <v>0.8</v>
      </c>
      <c r="E49" s="7">
        <f t="shared" si="3"/>
        <v>0.19999999999999996</v>
      </c>
      <c r="F49" s="14">
        <f t="shared" si="4"/>
        <v>0</v>
      </c>
      <c r="G49" s="11">
        <v>280</v>
      </c>
      <c r="H49" s="12">
        <v>2.8010000000000002</v>
      </c>
      <c r="I49" s="22">
        <v>1</v>
      </c>
      <c r="J49" s="21"/>
      <c r="K49" s="68">
        <v>27.210103521954334</v>
      </c>
      <c r="L49" s="8">
        <f t="shared" si="5"/>
        <v>2.8557532240116652E-2</v>
      </c>
      <c r="M49" s="89">
        <v>26.966175837924119</v>
      </c>
      <c r="N49" s="90">
        <f t="shared" si="8"/>
        <v>3.7266125029485266E-2</v>
      </c>
      <c r="O49" s="91">
        <v>0.99999999999999989</v>
      </c>
      <c r="P49" s="86">
        <f t="shared" si="7"/>
        <v>1.1102230246251565E-16</v>
      </c>
      <c r="Q49" s="91">
        <v>35.10725928567259</v>
      </c>
      <c r="R49" s="90">
        <f t="shared" si="6"/>
        <v>0.25338305196974609</v>
      </c>
      <c r="S49" s="68">
        <v>26.966175837924119</v>
      </c>
      <c r="T49" s="75">
        <v>27.210103525609441</v>
      </c>
      <c r="U49" s="75"/>
      <c r="V49" s="8"/>
      <c r="W49" s="89">
        <v>27.208164872359422</v>
      </c>
      <c r="X49">
        <f t="shared" si="9"/>
        <v>2.8626745006803976E-2</v>
      </c>
    </row>
    <row r="50" spans="1:26" x14ac:dyDescent="0.35">
      <c r="A50" s="2">
        <v>47</v>
      </c>
      <c r="B50" s="3">
        <v>0.82499999999999996</v>
      </c>
      <c r="C50" s="4">
        <f t="shared" si="2"/>
        <v>0.17500000000000004</v>
      </c>
      <c r="D50" s="6">
        <v>0.8</v>
      </c>
      <c r="E50" s="7">
        <f t="shared" si="3"/>
        <v>0.16499999999999995</v>
      </c>
      <c r="F50" s="14">
        <f t="shared" si="4"/>
        <v>3.5000000000000003E-2</v>
      </c>
      <c r="G50" s="11">
        <v>280</v>
      </c>
      <c r="H50" s="12">
        <v>3.6</v>
      </c>
      <c r="I50" s="22">
        <v>0.97650000000000003</v>
      </c>
      <c r="J50" s="21"/>
      <c r="K50" s="68">
        <v>30.897425282911371</v>
      </c>
      <c r="L50" s="8">
        <f t="shared" si="5"/>
        <v>0.14173818658579523</v>
      </c>
      <c r="M50" s="89">
        <v>33.418089365571561</v>
      </c>
      <c r="N50" s="90">
        <f t="shared" si="8"/>
        <v>7.1719739845234415E-2</v>
      </c>
      <c r="O50" s="91">
        <v>0.97028257854354116</v>
      </c>
      <c r="P50" s="86">
        <f t="shared" si="7"/>
        <v>6.3670470624258794E-3</v>
      </c>
      <c r="Q50" s="91">
        <v>39.532339705290461</v>
      </c>
      <c r="R50" s="90">
        <f t="shared" si="6"/>
        <v>9.8120547369179467E-2</v>
      </c>
      <c r="S50" s="68">
        <v>33.44011664985215</v>
      </c>
      <c r="T50" s="75">
        <v>30.889290148790028</v>
      </c>
      <c r="U50" s="75"/>
      <c r="V50" s="8"/>
      <c r="W50" s="89">
        <v>31.320015444017418</v>
      </c>
      <c r="X50">
        <f t="shared" si="9"/>
        <v>0.12999957099951615</v>
      </c>
    </row>
    <row r="51" spans="1:26" x14ac:dyDescent="0.35">
      <c r="A51" s="2">
        <v>48</v>
      </c>
      <c r="B51" s="3">
        <v>0.69989999999999997</v>
      </c>
      <c r="C51" s="4">
        <f t="shared" si="2"/>
        <v>0.30010000000000003</v>
      </c>
      <c r="D51" s="6">
        <v>0.8</v>
      </c>
      <c r="E51" s="7">
        <f t="shared" si="3"/>
        <v>0.13997999999999997</v>
      </c>
      <c r="F51" s="14">
        <f t="shared" si="4"/>
        <v>6.001999999999999E-2</v>
      </c>
      <c r="G51" s="11">
        <v>280</v>
      </c>
      <c r="H51" s="12">
        <v>4.2329999999999997</v>
      </c>
      <c r="I51" s="22">
        <v>0.96120000000000005</v>
      </c>
      <c r="J51" s="21"/>
      <c r="K51" s="68">
        <v>34.918000268516096</v>
      </c>
      <c r="L51" s="8">
        <f t="shared" si="5"/>
        <v>0.17510039526302629</v>
      </c>
      <c r="M51" s="89">
        <v>40.056987731841744</v>
      </c>
      <c r="N51" s="90">
        <f t="shared" si="8"/>
        <v>5.3697431329039792E-2</v>
      </c>
      <c r="O51" s="91">
        <v>0.94090682137482817</v>
      </c>
      <c r="P51" s="86">
        <f t="shared" si="7"/>
        <v>2.1112337312912902E-2</v>
      </c>
      <c r="Q51" s="91">
        <v>44.7249053932793</v>
      </c>
      <c r="R51" s="90">
        <f t="shared" si="6"/>
        <v>5.6577023228899181E-2</v>
      </c>
      <c r="S51" s="68">
        <v>40.104921733935626</v>
      </c>
      <c r="T51" s="75">
        <v>34.897308534380343</v>
      </c>
      <c r="U51" s="75"/>
      <c r="V51" s="8"/>
      <c r="W51" s="89">
        <v>35.57677935884135</v>
      </c>
      <c r="X51">
        <f t="shared" si="9"/>
        <v>0.1595374590398925</v>
      </c>
    </row>
    <row r="52" spans="1:26" x14ac:dyDescent="0.35">
      <c r="A52" s="2">
        <v>49</v>
      </c>
      <c r="B52" s="3">
        <v>0.5917</v>
      </c>
      <c r="C52" s="4">
        <f t="shared" si="2"/>
        <v>0.4083</v>
      </c>
      <c r="D52" s="6">
        <v>0.8</v>
      </c>
      <c r="E52" s="7">
        <f t="shared" si="3"/>
        <v>0.11833999999999997</v>
      </c>
      <c r="F52" s="14">
        <f t="shared" si="4"/>
        <v>8.1659999999999983E-2</v>
      </c>
      <c r="G52" s="11">
        <v>280</v>
      </c>
      <c r="H52" s="12">
        <v>5.0679999999999996</v>
      </c>
      <c r="I52" s="22">
        <v>0.94320000000000004</v>
      </c>
      <c r="J52" s="21"/>
      <c r="K52" s="68">
        <v>39.843219575609858</v>
      </c>
      <c r="L52" s="8">
        <f t="shared" si="5"/>
        <v>0.21382755375671145</v>
      </c>
      <c r="M52" s="89">
        <v>48.109642494603193</v>
      </c>
      <c r="N52" s="90">
        <f t="shared" si="8"/>
        <v>5.0717393555580102E-2</v>
      </c>
      <c r="O52" s="91">
        <v>0.90676777752659354</v>
      </c>
      <c r="P52" s="86">
        <f t="shared" si="7"/>
        <v>3.8626190069345305E-2</v>
      </c>
      <c r="Q52" s="91">
        <v>51.21537597390175</v>
      </c>
      <c r="R52" s="90">
        <f t="shared" si="6"/>
        <v>1.0563851103033891E-2</v>
      </c>
      <c r="S52" s="68">
        <v>48.197261976518114</v>
      </c>
      <c r="T52" s="75">
        <v>39.801603945785516</v>
      </c>
      <c r="U52" s="75"/>
      <c r="V52" s="8"/>
      <c r="W52" s="89">
        <v>40.668926496378674</v>
      </c>
      <c r="X52">
        <f t="shared" si="9"/>
        <v>0.19753499415195974</v>
      </c>
    </row>
    <row r="53" spans="1:26" x14ac:dyDescent="0.35">
      <c r="A53" s="2">
        <v>50</v>
      </c>
      <c r="B53" s="3">
        <v>0.39240000000000003</v>
      </c>
      <c r="C53" s="4">
        <f t="shared" si="2"/>
        <v>0.60759999999999992</v>
      </c>
      <c r="D53" s="6">
        <v>0.8</v>
      </c>
      <c r="E53" s="7">
        <f t="shared" si="3"/>
        <v>7.8479999999999994E-2</v>
      </c>
      <c r="F53" s="14">
        <f t="shared" si="4"/>
        <v>0.12151999999999996</v>
      </c>
      <c r="G53" s="11">
        <v>280</v>
      </c>
      <c r="H53" s="12">
        <v>8.2750000000000004</v>
      </c>
      <c r="I53" s="22">
        <v>0.86409999999999998</v>
      </c>
      <c r="J53" s="21"/>
      <c r="K53" s="68">
        <v>56.15591859801723</v>
      </c>
      <c r="L53" s="8">
        <f t="shared" si="5"/>
        <v>0.32137862721429328</v>
      </c>
      <c r="M53" s="89">
        <v>74.775736487732289</v>
      </c>
      <c r="N53" s="90">
        <f t="shared" si="8"/>
        <v>9.6365722202630955E-2</v>
      </c>
      <c r="O53" s="91">
        <v>0.80410685230118972</v>
      </c>
      <c r="P53" s="86">
        <f>ABS(O53-I53)/I53</f>
        <v>6.9428477836836311E-2</v>
      </c>
      <c r="Q53" s="91">
        <v>73.278338648838059</v>
      </c>
      <c r="R53" s="90">
        <f t="shared" si="6"/>
        <v>0.11446116436449476</v>
      </c>
      <c r="S53" s="68">
        <v>75.098326460667238</v>
      </c>
      <c r="T53" s="75">
        <v>55.995760647220429</v>
      </c>
      <c r="U53" s="75"/>
      <c r="V53" s="8"/>
      <c r="W53" s="89">
        <v>56.947242945093898</v>
      </c>
      <c r="X53">
        <f t="shared" si="9"/>
        <v>0.31181579522545139</v>
      </c>
    </row>
    <row r="54" spans="1:26" x14ac:dyDescent="0.35">
      <c r="A54" s="2">
        <v>51</v>
      </c>
      <c r="B54" s="3">
        <v>0.251</v>
      </c>
      <c r="C54" s="4">
        <f t="shared" si="2"/>
        <v>0.749</v>
      </c>
      <c r="D54" s="6">
        <v>0.8</v>
      </c>
      <c r="E54" s="7">
        <f t="shared" si="3"/>
        <v>5.0199999999999988E-2</v>
      </c>
      <c r="F54" s="14">
        <f t="shared" si="4"/>
        <v>0.14979999999999996</v>
      </c>
      <c r="G54" s="11">
        <v>280</v>
      </c>
      <c r="H54" s="12">
        <v>14.974</v>
      </c>
      <c r="I54" s="22">
        <v>0.64</v>
      </c>
      <c r="J54" s="21"/>
      <c r="K54" s="68">
        <v>84.234259999674435</v>
      </c>
      <c r="L54" s="8">
        <f t="shared" si="5"/>
        <v>0.43746320288717494</v>
      </c>
      <c r="M54" s="89">
        <v>119.44316347665324</v>
      </c>
      <c r="N54" s="90">
        <f t="shared" si="8"/>
        <v>0.20232961482133544</v>
      </c>
      <c r="O54" s="91">
        <v>0.6624998601138592</v>
      </c>
      <c r="P54" s="86">
        <f t="shared" si="7"/>
        <v>3.5156031427904973E-2</v>
      </c>
      <c r="Q54" s="91">
        <v>113.26763511428271</v>
      </c>
      <c r="R54" s="90">
        <f t="shared" si="6"/>
        <v>0.2435712894732022</v>
      </c>
      <c r="S54" s="68">
        <v>120.65395264702155</v>
      </c>
      <c r="T54" s="75">
        <v>83.678180164373529</v>
      </c>
      <c r="U54" s="75"/>
      <c r="V54" s="8"/>
      <c r="W54" s="89">
        <v>83.069320996093779</v>
      </c>
      <c r="X54">
        <f t="shared" si="9"/>
        <v>0.44524294780223206</v>
      </c>
    </row>
    <row r="55" spans="1:26" x14ac:dyDescent="0.35">
      <c r="A55" s="2">
        <v>52</v>
      </c>
      <c r="B55" s="3">
        <v>0.1709</v>
      </c>
      <c r="C55" s="4">
        <f t="shared" si="2"/>
        <v>0.82909999999999995</v>
      </c>
      <c r="D55" s="6">
        <v>0.8</v>
      </c>
      <c r="E55" s="7">
        <f t="shared" si="3"/>
        <v>3.4179999999999995E-2</v>
      </c>
      <c r="F55" s="14">
        <f t="shared" si="4"/>
        <v>0.16581999999999994</v>
      </c>
      <c r="G55" s="11">
        <v>280</v>
      </c>
      <c r="H55" s="12">
        <v>20.753</v>
      </c>
      <c r="I55" s="22">
        <v>0.45</v>
      </c>
      <c r="J55" s="21"/>
      <c r="K55" s="68">
        <v>124.05685275947884</v>
      </c>
      <c r="L55" s="8">
        <f t="shared" si="5"/>
        <v>0.40222207507599456</v>
      </c>
      <c r="M55" s="89">
        <v>175.97886608818069</v>
      </c>
      <c r="N55" s="90">
        <f t="shared" si="8"/>
        <v>0.15203167692294756</v>
      </c>
      <c r="O55" s="91">
        <v>0.52599858067952732</v>
      </c>
      <c r="P55" s="86">
        <f t="shared" si="7"/>
        <v>0.168885734843394</v>
      </c>
      <c r="Q55" s="91">
        <v>175.30119727088001</v>
      </c>
      <c r="R55" s="90">
        <f t="shared" si="6"/>
        <v>0.15529707863499248</v>
      </c>
      <c r="S55" s="68">
        <v>179.30232166237138</v>
      </c>
      <c r="T55" s="75">
        <v>122.57905316233676</v>
      </c>
      <c r="U55" s="75"/>
      <c r="V55" s="8"/>
      <c r="W55" s="89">
        <v>115.78220583673212</v>
      </c>
      <c r="X55">
        <f t="shared" si="9"/>
        <v>0.44209412693715555</v>
      </c>
    </row>
    <row r="56" spans="1:26" x14ac:dyDescent="0.35">
      <c r="A56" s="2">
        <v>53</v>
      </c>
      <c r="B56" s="3">
        <v>9.0499999999999997E-2</v>
      </c>
      <c r="C56" s="4">
        <f t="shared" si="2"/>
        <v>0.90949999999999998</v>
      </c>
      <c r="D56" s="6">
        <v>0.8</v>
      </c>
      <c r="E56" s="7">
        <f t="shared" si="3"/>
        <v>1.8099999999999995E-2</v>
      </c>
      <c r="F56" s="14">
        <f t="shared" si="4"/>
        <v>0.18189999999999995</v>
      </c>
      <c r="G56" s="11">
        <v>280</v>
      </c>
      <c r="H56" s="12">
        <v>26.689999999999998</v>
      </c>
      <c r="I56" s="22">
        <v>0.22170000000000001</v>
      </c>
      <c r="J56" s="21"/>
      <c r="K56" s="68">
        <v>277.30544521481028</v>
      </c>
      <c r="L56" s="8">
        <f t="shared" si="5"/>
        <v>3.8986306537318473E-2</v>
      </c>
      <c r="M56" s="89">
        <v>313.50204002600123</v>
      </c>
      <c r="N56" s="90">
        <f t="shared" si="8"/>
        <v>0.17460487083552362</v>
      </c>
      <c r="O56" s="91">
        <v>0.31885553410761758</v>
      </c>
      <c r="P56" s="86">
        <f t="shared" si="7"/>
        <v>0.43822974338122495</v>
      </c>
      <c r="Q56" s="91">
        <v>503.03794423534583</v>
      </c>
      <c r="R56" s="90">
        <f t="shared" si="6"/>
        <v>0.88474314063449189</v>
      </c>
      <c r="S56" s="68">
        <v>325.10493876101197</v>
      </c>
      <c r="T56" s="75"/>
      <c r="U56" s="75"/>
      <c r="V56" s="8"/>
      <c r="W56" s="89">
        <v>200.48995969774788</v>
      </c>
      <c r="X56">
        <f t="shared" si="9"/>
        <v>0.24881993369146538</v>
      </c>
    </row>
    <row r="57" spans="1:26" ht="15" thickBot="1" x14ac:dyDescent="0.4">
      <c r="A57" s="2">
        <v>54</v>
      </c>
      <c r="B57" s="3">
        <v>0</v>
      </c>
      <c r="C57" s="4">
        <f t="shared" si="2"/>
        <v>1</v>
      </c>
      <c r="D57" s="6">
        <v>0.8</v>
      </c>
      <c r="E57" s="7">
        <f t="shared" si="3"/>
        <v>0</v>
      </c>
      <c r="F57" s="14">
        <f t="shared" si="4"/>
        <v>0.19999999999999996</v>
      </c>
      <c r="G57" s="11">
        <v>280</v>
      </c>
      <c r="H57" s="12">
        <v>32.308</v>
      </c>
      <c r="I57" s="22">
        <v>0</v>
      </c>
      <c r="J57" s="21"/>
      <c r="K57" s="68">
        <v>422.5478089402223</v>
      </c>
      <c r="L57" s="8">
        <f t="shared" si="5"/>
        <v>0.30787361935193236</v>
      </c>
      <c r="M57" s="89">
        <v>554.69492955338069</v>
      </c>
      <c r="N57" s="90">
        <f t="shared" si="8"/>
        <v>0.71689652579355179</v>
      </c>
      <c r="O57" s="91">
        <v>0</v>
      </c>
      <c r="P57" s="86">
        <v>0</v>
      </c>
      <c r="Q57" s="91">
        <v>422.5478089402223</v>
      </c>
      <c r="R57" s="90">
        <f t="shared" si="6"/>
        <v>0.30787361935193236</v>
      </c>
      <c r="S57" s="68">
        <v>554.83430320882144</v>
      </c>
      <c r="T57" s="75">
        <v>422.54782612377119</v>
      </c>
      <c r="U57" s="75"/>
      <c r="V57" s="8"/>
      <c r="W57" s="89">
        <v>554.69481387084738</v>
      </c>
      <c r="X57">
        <f t="shared" si="9"/>
        <v>0.71689616773197784</v>
      </c>
    </row>
    <row r="58" spans="1:26" ht="15" thickBot="1" x14ac:dyDescent="0.4">
      <c r="A58" s="160" t="s">
        <v>11</v>
      </c>
      <c r="B58" s="161"/>
      <c r="C58" s="161"/>
      <c r="D58" s="161"/>
      <c r="E58" s="161"/>
      <c r="F58" s="161"/>
      <c r="G58" s="161"/>
      <c r="H58" s="161"/>
      <c r="I58" s="161"/>
      <c r="J58" s="162"/>
      <c r="K58" s="73"/>
      <c r="L58" s="74">
        <f>SUM(L4:L57)/54</f>
        <v>0.18852294280115831</v>
      </c>
      <c r="M58" s="92"/>
      <c r="N58" s="91">
        <f>SUM(N4:N57)/54</f>
        <v>0.10701293752120021</v>
      </c>
      <c r="O58" s="91"/>
      <c r="P58" s="86">
        <f>SUM(P33:P39,P42:P47,P50:P56)/20</f>
        <v>0.14877850824074515</v>
      </c>
      <c r="Q58" s="91"/>
      <c r="R58" s="91">
        <f>SUM(R4:R57)/54</f>
        <v>0.1708343731597122</v>
      </c>
      <c r="S58" s="73"/>
      <c r="T58" s="76">
        <f>SUM(T4:T57)/54</f>
        <v>79.035515993671638</v>
      </c>
      <c r="U58" s="76"/>
      <c r="V58" s="74"/>
      <c r="X58">
        <f>SUM(X4:X53)/50</f>
        <v>0.21935509886049356</v>
      </c>
      <c r="Y58" s="42"/>
      <c r="Z58" s="42"/>
    </row>
    <row r="59" spans="1:26" x14ac:dyDescent="0.35">
      <c r="A59" s="26">
        <v>1</v>
      </c>
      <c r="B59" s="11">
        <f>1-C59</f>
        <v>0.36</v>
      </c>
      <c r="C59" s="12">
        <v>0.64</v>
      </c>
      <c r="D59" s="6">
        <v>0.5</v>
      </c>
      <c r="E59" s="7">
        <f>0.5*B59</f>
        <v>0.18</v>
      </c>
      <c r="F59" s="14">
        <f>0.5*C59</f>
        <v>0.32</v>
      </c>
      <c r="G59" s="25">
        <v>277.8</v>
      </c>
      <c r="H59" s="12">
        <v>5</v>
      </c>
      <c r="I59" s="21"/>
      <c r="J59" s="8"/>
      <c r="K59" s="68">
        <v>46.889096286173</v>
      </c>
      <c r="L59" s="8">
        <f>ABS(K59-H59*10)/H59/10</f>
        <v>6.2218074276539991E-2</v>
      </c>
      <c r="M59" s="92">
        <v>63.479953108484182</v>
      </c>
      <c r="N59" s="91">
        <f t="shared" ref="N59:N68" si="10">ABS(M59-H59*10)/H59/10</f>
        <v>0.26959906216968366</v>
      </c>
      <c r="O59" s="91"/>
      <c r="P59" s="86"/>
      <c r="Q59" s="91"/>
      <c r="R59" s="91"/>
      <c r="S59" s="68">
        <v>65.268544952106609</v>
      </c>
      <c r="T59" s="75">
        <f t="shared" ref="T59:T95" si="11">ABS(S59-H59*10)/H59/10</f>
        <v>0.30537089904213216</v>
      </c>
      <c r="U59" s="75"/>
      <c r="V59" s="8"/>
      <c r="W59">
        <v>63.690276969847304</v>
      </c>
      <c r="X59">
        <f t="shared" ref="X59:X68" si="12">ABS(W59-H59*10)/H59/10</f>
        <v>0.27380553939694607</v>
      </c>
    </row>
    <row r="60" spans="1:26" x14ac:dyDescent="0.35">
      <c r="A60" s="26">
        <v>2</v>
      </c>
      <c r="B60" s="11">
        <f t="shared" ref="B60:B68" si="13">1-C60</f>
        <v>0.36</v>
      </c>
      <c r="C60" s="12">
        <v>0.64</v>
      </c>
      <c r="D60" s="6">
        <v>0.5</v>
      </c>
      <c r="E60" s="7">
        <f t="shared" ref="E60:E68" si="14">0.5*B60</f>
        <v>0.18</v>
      </c>
      <c r="F60" s="14">
        <f t="shared" ref="F60:F68" si="15">0.5*C60</f>
        <v>0.32</v>
      </c>
      <c r="G60" s="25">
        <v>280.10000000000002</v>
      </c>
      <c r="H60" s="12">
        <v>7.5</v>
      </c>
      <c r="I60" s="21"/>
      <c r="J60" s="8"/>
      <c r="K60" s="68">
        <v>61.059043021429837</v>
      </c>
      <c r="L60" s="8">
        <f t="shared" ref="L60:L68" si="16">ABS(K60-H60*10)/H60/10</f>
        <v>0.18587942638093552</v>
      </c>
      <c r="M60" s="92">
        <v>82.929852081833502</v>
      </c>
      <c r="N60" s="91">
        <f t="shared" si="10"/>
        <v>0.10573136109111336</v>
      </c>
      <c r="O60" s="91"/>
      <c r="P60" s="86"/>
      <c r="Q60" s="91"/>
      <c r="R60" s="91"/>
      <c r="S60" s="68">
        <v>85.208979028523231</v>
      </c>
      <c r="T60" s="75">
        <f t="shared" si="11"/>
        <v>0.13611972038030976</v>
      </c>
      <c r="U60" s="75"/>
      <c r="V60" s="8"/>
      <c r="W60">
        <v>83.364190629488206</v>
      </c>
      <c r="X60">
        <f t="shared" si="12"/>
        <v>0.11152254172650941</v>
      </c>
    </row>
    <row r="61" spans="1:26" x14ac:dyDescent="0.35">
      <c r="A61" s="26">
        <v>3</v>
      </c>
      <c r="B61" s="11">
        <f t="shared" si="13"/>
        <v>0.36</v>
      </c>
      <c r="C61" s="12">
        <v>0.64</v>
      </c>
      <c r="D61" s="6">
        <v>0.5</v>
      </c>
      <c r="E61" s="7">
        <f t="shared" si="14"/>
        <v>0.18</v>
      </c>
      <c r="F61" s="14">
        <f t="shared" si="15"/>
        <v>0.32</v>
      </c>
      <c r="G61" s="25">
        <v>281.60000000000002</v>
      </c>
      <c r="H61" s="12">
        <v>10</v>
      </c>
      <c r="I61" s="21"/>
      <c r="J61" s="8"/>
      <c r="K61" s="68">
        <v>73.098959734438026</v>
      </c>
      <c r="L61" s="8">
        <f t="shared" si="16"/>
        <v>0.26901040265561976</v>
      </c>
      <c r="M61" s="92">
        <v>100.38438639930776</v>
      </c>
      <c r="N61" s="91">
        <f t="shared" si="10"/>
        <v>3.8438639930775766E-3</v>
      </c>
      <c r="O61" s="91"/>
      <c r="P61" s="86"/>
      <c r="Q61" s="91"/>
      <c r="R61" s="91"/>
      <c r="S61" s="68">
        <v>103.0954657508934</v>
      </c>
      <c r="T61" s="75">
        <f t="shared" si="11"/>
        <v>3.0954657508933964E-2</v>
      </c>
      <c r="U61" s="75"/>
      <c r="V61" s="8"/>
      <c r="W61">
        <v>101.1454347249046</v>
      </c>
      <c r="X61">
        <f t="shared" si="12"/>
        <v>1.1454347249046037E-2</v>
      </c>
    </row>
    <row r="62" spans="1:26" x14ac:dyDescent="0.35">
      <c r="A62" s="26">
        <v>4</v>
      </c>
      <c r="B62" s="11">
        <f t="shared" si="13"/>
        <v>0.36</v>
      </c>
      <c r="C62" s="12">
        <v>0.64</v>
      </c>
      <c r="D62" s="6">
        <v>0.5</v>
      </c>
      <c r="E62" s="7">
        <f t="shared" si="14"/>
        <v>0.18</v>
      </c>
      <c r="F62" s="14">
        <f t="shared" si="15"/>
        <v>0.32</v>
      </c>
      <c r="G62" s="25">
        <v>283.3</v>
      </c>
      <c r="H62" s="12">
        <v>15</v>
      </c>
      <c r="I62" s="21"/>
      <c r="J62" s="8"/>
      <c r="K62" s="68">
        <v>90.778663336167156</v>
      </c>
      <c r="L62" s="8">
        <f t="shared" si="16"/>
        <v>0.39480891109221894</v>
      </c>
      <c r="M62" s="92">
        <v>128.52676405480281</v>
      </c>
      <c r="N62" s="91">
        <f t="shared" si="10"/>
        <v>0.14315490630131461</v>
      </c>
      <c r="O62" s="91"/>
      <c r="P62" s="86"/>
      <c r="Q62" s="91"/>
      <c r="R62" s="91"/>
      <c r="S62" s="68">
        <v>131.91691538778483</v>
      </c>
      <c r="T62" s="75">
        <f t="shared" si="11"/>
        <v>0.12055389741476782</v>
      </c>
      <c r="U62" s="75"/>
      <c r="V62" s="8"/>
      <c r="W62">
        <v>130.19792747862886</v>
      </c>
      <c r="X62">
        <f t="shared" si="12"/>
        <v>0.13201381680914098</v>
      </c>
    </row>
    <row r="63" spans="1:26" x14ac:dyDescent="0.35">
      <c r="A63" s="26">
        <v>5</v>
      </c>
      <c r="B63" s="11">
        <f t="shared" si="13"/>
        <v>0.36</v>
      </c>
      <c r="C63" s="12">
        <v>0.64</v>
      </c>
      <c r="D63" s="6">
        <v>0.5</v>
      </c>
      <c r="E63" s="7">
        <f t="shared" si="14"/>
        <v>0.18</v>
      </c>
      <c r="F63" s="14">
        <f t="shared" si="15"/>
        <v>0.32</v>
      </c>
      <c r="G63" s="25">
        <v>284.45</v>
      </c>
      <c r="H63" s="12">
        <v>20</v>
      </c>
      <c r="I63" s="21"/>
      <c r="J63" s="8"/>
      <c r="K63" s="68">
        <v>106.43118353419595</v>
      </c>
      <c r="L63" s="8">
        <f t="shared" si="16"/>
        <v>0.46784408232902025</v>
      </c>
      <c r="M63" s="92">
        <v>157.72847727187101</v>
      </c>
      <c r="N63" s="91">
        <f t="shared" si="10"/>
        <v>0.21135761364064493</v>
      </c>
      <c r="O63" s="91"/>
      <c r="P63" s="86"/>
      <c r="Q63" s="91"/>
      <c r="R63" s="91"/>
      <c r="S63" s="68">
        <v>161.76447330239029</v>
      </c>
      <c r="T63" s="75">
        <f t="shared" si="11"/>
        <v>0.19117763348804856</v>
      </c>
      <c r="U63" s="75"/>
      <c r="V63" s="8"/>
      <c r="W63">
        <v>161.15112184814342</v>
      </c>
      <c r="X63">
        <f t="shared" si="12"/>
        <v>0.1942443907592829</v>
      </c>
    </row>
    <row r="64" spans="1:26" x14ac:dyDescent="0.35">
      <c r="A64" s="26">
        <v>6</v>
      </c>
      <c r="B64" s="11">
        <f t="shared" si="13"/>
        <v>0.26</v>
      </c>
      <c r="C64" s="12">
        <v>0.74</v>
      </c>
      <c r="D64" s="6">
        <v>0.5</v>
      </c>
      <c r="E64" s="7">
        <f t="shared" si="14"/>
        <v>0.13</v>
      </c>
      <c r="F64" s="14">
        <f t="shared" si="15"/>
        <v>0.37</v>
      </c>
      <c r="G64" s="25">
        <v>275.75</v>
      </c>
      <c r="H64" s="12">
        <v>5</v>
      </c>
      <c r="I64" s="21"/>
      <c r="J64" s="8"/>
      <c r="K64" s="68">
        <v>48.768838396045226</v>
      </c>
      <c r="L64" s="8">
        <f t="shared" si="16"/>
        <v>2.4623232079095485E-2</v>
      </c>
      <c r="M64" s="92">
        <v>68.177969288959673</v>
      </c>
      <c r="N64" s="91">
        <f t="shared" si="10"/>
        <v>0.36355938577919344</v>
      </c>
      <c r="O64" s="91"/>
      <c r="P64" s="86"/>
      <c r="Q64" s="91"/>
      <c r="R64" s="91"/>
      <c r="S64" s="68">
        <v>69.27812503283495</v>
      </c>
      <c r="T64" s="75">
        <f t="shared" si="11"/>
        <v>0.385562500656699</v>
      </c>
      <c r="U64" s="75"/>
      <c r="V64" s="8"/>
      <c r="W64">
        <v>68.438340031873167</v>
      </c>
      <c r="X64">
        <f t="shared" si="12"/>
        <v>0.36876680063746337</v>
      </c>
    </row>
    <row r="65" spans="1:26" x14ac:dyDescent="0.35">
      <c r="A65" s="26">
        <v>7</v>
      </c>
      <c r="B65" s="11">
        <f t="shared" si="13"/>
        <v>0.26</v>
      </c>
      <c r="C65" s="12">
        <v>0.74</v>
      </c>
      <c r="D65" s="6">
        <v>0.5</v>
      </c>
      <c r="E65" s="7">
        <f t="shared" si="14"/>
        <v>0.13</v>
      </c>
      <c r="F65" s="14">
        <f t="shared" si="15"/>
        <v>0.37</v>
      </c>
      <c r="G65" s="25">
        <v>278.64999999999998</v>
      </c>
      <c r="H65" s="12">
        <v>7.5</v>
      </c>
      <c r="I65" s="21"/>
      <c r="J65" s="8"/>
      <c r="K65" s="68">
        <v>68.464115315454976</v>
      </c>
      <c r="L65" s="8">
        <f t="shared" si="16"/>
        <v>8.714512912726699E-2</v>
      </c>
      <c r="M65" s="92">
        <v>96.271151122031256</v>
      </c>
      <c r="N65" s="91">
        <f t="shared" si="10"/>
        <v>0.28361534829375007</v>
      </c>
      <c r="O65" s="91"/>
      <c r="P65" s="86"/>
      <c r="Q65" s="91"/>
      <c r="R65" s="91"/>
      <c r="S65" s="68">
        <v>97.498904784004566</v>
      </c>
      <c r="T65" s="75">
        <f t="shared" si="11"/>
        <v>0.29998539712006089</v>
      </c>
      <c r="U65" s="75"/>
      <c r="V65" s="8"/>
      <c r="W65">
        <v>96.927301138833968</v>
      </c>
      <c r="X65">
        <f t="shared" si="12"/>
        <v>0.29236401518445293</v>
      </c>
    </row>
    <row r="66" spans="1:26" x14ac:dyDescent="0.35">
      <c r="A66" s="26">
        <v>8</v>
      </c>
      <c r="B66" s="11">
        <f t="shared" si="13"/>
        <v>0.26</v>
      </c>
      <c r="C66" s="12">
        <v>0.74</v>
      </c>
      <c r="D66" s="6">
        <v>0.5</v>
      </c>
      <c r="E66" s="7">
        <f t="shared" si="14"/>
        <v>0.13</v>
      </c>
      <c r="F66" s="14">
        <f t="shared" si="15"/>
        <v>0.37</v>
      </c>
      <c r="G66" s="25">
        <v>280.60000000000002</v>
      </c>
      <c r="H66" s="12">
        <v>10</v>
      </c>
      <c r="I66" s="21"/>
      <c r="J66" s="8"/>
      <c r="K66" s="68">
        <v>87.487662647151751</v>
      </c>
      <c r="L66" s="8">
        <f t="shared" si="16"/>
        <v>0.12512337352848249</v>
      </c>
      <c r="M66" s="92">
        <v>125.51513451481641</v>
      </c>
      <c r="N66" s="91">
        <f t="shared" si="10"/>
        <v>0.25515134514816407</v>
      </c>
      <c r="O66" s="91"/>
      <c r="P66" s="86"/>
      <c r="Q66" s="91"/>
      <c r="R66" s="91"/>
      <c r="S66" s="68">
        <v>126.6174967389498</v>
      </c>
      <c r="T66" s="75">
        <f t="shared" si="11"/>
        <v>0.26617496738949797</v>
      </c>
      <c r="U66" s="75"/>
      <c r="V66" s="8"/>
      <c r="W66">
        <v>126.92848566375972</v>
      </c>
      <c r="X66">
        <f t="shared" si="12"/>
        <v>0.26928485663759716</v>
      </c>
    </row>
    <row r="67" spans="1:26" x14ac:dyDescent="0.35">
      <c r="A67" s="26">
        <v>9</v>
      </c>
      <c r="B67" s="11">
        <f t="shared" si="13"/>
        <v>0.26</v>
      </c>
      <c r="C67" s="12">
        <v>0.74</v>
      </c>
      <c r="D67" s="6">
        <v>0.5</v>
      </c>
      <c r="E67" s="7">
        <f t="shared" si="14"/>
        <v>0.13</v>
      </c>
      <c r="F67" s="14">
        <f t="shared" si="15"/>
        <v>0.37</v>
      </c>
      <c r="G67" s="25">
        <v>282.75</v>
      </c>
      <c r="H67" s="12">
        <v>15</v>
      </c>
      <c r="I67" s="21"/>
      <c r="J67" s="8"/>
      <c r="K67" s="68">
        <v>118.39368188430947</v>
      </c>
      <c r="L67" s="8">
        <f t="shared" si="16"/>
        <v>0.21070878743793683</v>
      </c>
      <c r="M67" s="92">
        <v>181.16242655706128</v>
      </c>
      <c r="N67" s="91">
        <f t="shared" si="10"/>
        <v>0.20774951038040851</v>
      </c>
      <c r="O67" s="91"/>
      <c r="P67" s="86"/>
      <c r="Q67" s="91"/>
      <c r="R67" s="91"/>
      <c r="S67" s="68">
        <v>180.87893028203385</v>
      </c>
      <c r="T67" s="75">
        <f t="shared" si="11"/>
        <v>0.20585953521355899</v>
      </c>
      <c r="U67" s="75"/>
      <c r="V67" s="8"/>
      <c r="W67">
        <v>185.66607506269222</v>
      </c>
      <c r="X67">
        <f t="shared" si="12"/>
        <v>0.23777383375128144</v>
      </c>
    </row>
    <row r="68" spans="1:26" ht="15" thickBot="1" x14ac:dyDescent="0.4">
      <c r="A68" s="26">
        <v>10</v>
      </c>
      <c r="B68" s="11">
        <f t="shared" si="13"/>
        <v>0.26</v>
      </c>
      <c r="C68" s="12">
        <v>0.74</v>
      </c>
      <c r="D68" s="6">
        <v>0.5</v>
      </c>
      <c r="E68" s="7">
        <f t="shared" si="14"/>
        <v>0.13</v>
      </c>
      <c r="F68" s="14">
        <f t="shared" si="15"/>
        <v>0.37</v>
      </c>
      <c r="G68" s="25">
        <v>283.89999999999998</v>
      </c>
      <c r="H68" s="12">
        <v>20</v>
      </c>
      <c r="I68" s="21"/>
      <c r="J68" s="8"/>
      <c r="K68" s="68">
        <v>142.99729597109553</v>
      </c>
      <c r="L68" s="8">
        <f t="shared" si="16"/>
        <v>0.28501352014452241</v>
      </c>
      <c r="M68" s="91">
        <v>240.5262877069226</v>
      </c>
      <c r="N68" s="91">
        <f t="shared" si="10"/>
        <v>0.20263143853461302</v>
      </c>
      <c r="O68" s="91"/>
      <c r="P68" s="86"/>
      <c r="Q68" s="91"/>
      <c r="R68" s="91"/>
      <c r="S68" s="68">
        <v>235.86998556091098</v>
      </c>
      <c r="T68" s="75">
        <f t="shared" si="11"/>
        <v>0.17934992780455489</v>
      </c>
      <c r="U68" s="75"/>
      <c r="V68" s="8"/>
      <c r="W68">
        <v>252.9079989325927</v>
      </c>
      <c r="X68">
        <f t="shared" si="12"/>
        <v>0.26453999466296352</v>
      </c>
    </row>
    <row r="69" spans="1:26" ht="15" thickBot="1" x14ac:dyDescent="0.4">
      <c r="A69" s="160" t="s">
        <v>12</v>
      </c>
      <c r="B69" s="161"/>
      <c r="C69" s="161"/>
      <c r="D69" s="161"/>
      <c r="E69" s="161"/>
      <c r="F69" s="161"/>
      <c r="G69" s="161"/>
      <c r="H69" s="161"/>
      <c r="I69" s="161"/>
      <c r="J69" s="162"/>
      <c r="K69" s="73"/>
      <c r="L69" s="74">
        <f>SUM(L59:L68)/10</f>
        <v>0.21123749390516386</v>
      </c>
      <c r="M69" s="92"/>
      <c r="N69" s="91">
        <f>SUM(N59:N68)/10</f>
        <v>0.20463938353319633</v>
      </c>
      <c r="O69" s="91"/>
      <c r="P69" s="86"/>
      <c r="Q69" s="91"/>
      <c r="R69" s="91"/>
      <c r="S69" s="73"/>
      <c r="T69" s="76">
        <f>SUM(T59:T68)/10</f>
        <v>0.21211091360185641</v>
      </c>
      <c r="U69" s="76"/>
      <c r="V69" s="74"/>
      <c r="X69">
        <f>SUM(X59:X68)/10</f>
        <v>0.21557701368146837</v>
      </c>
      <c r="Y69" s="42"/>
      <c r="Z69" s="42"/>
    </row>
    <row r="70" spans="1:26" x14ac:dyDescent="0.35">
      <c r="A70" s="26">
        <v>1</v>
      </c>
      <c r="B70" s="11">
        <f>1-C70</f>
        <v>1</v>
      </c>
      <c r="C70" s="12">
        <v>0</v>
      </c>
      <c r="D70" s="27">
        <v>0.2</v>
      </c>
      <c r="E70" s="26">
        <f>(1-D70)*B70</f>
        <v>0.8</v>
      </c>
      <c r="F70" s="28">
        <f>(1-D70)*C70</f>
        <v>0</v>
      </c>
      <c r="G70" s="11">
        <v>275.3</v>
      </c>
      <c r="H70" s="12">
        <v>1.6</v>
      </c>
      <c r="I70" s="21"/>
      <c r="J70" s="29">
        <v>1</v>
      </c>
      <c r="K70" s="68">
        <v>16.283774007219961</v>
      </c>
      <c r="L70" s="8">
        <f>ABS(K70-H70*10)/H70/10</f>
        <v>1.7735875451247551E-2</v>
      </c>
      <c r="M70" s="92">
        <v>17.872024905358003</v>
      </c>
      <c r="N70" s="91">
        <f t="shared" ref="N70:N95" si="17">ABS(M70-H70*10)/H70/10</f>
        <v>0.11700155658487521</v>
      </c>
      <c r="O70" s="91"/>
      <c r="P70" s="86"/>
      <c r="Q70" s="91">
        <v>19.620072972892235</v>
      </c>
      <c r="R70" s="90">
        <f t="shared" ref="R70:R95" si="18">ABS(Q70-H70*10)/H70/10</f>
        <v>0.22625456080576467</v>
      </c>
      <c r="S70" s="68">
        <v>17.868743872051859</v>
      </c>
      <c r="T70" s="75">
        <f t="shared" si="11"/>
        <v>0.11679649200324116</v>
      </c>
      <c r="U70" s="75"/>
      <c r="V70" s="8"/>
      <c r="W70">
        <v>16.282603089820832</v>
      </c>
      <c r="X70">
        <f t="shared" ref="X70:X95" si="19">ABS(W70-H70*10)/H70/10</f>
        <v>1.7662693113801975E-2</v>
      </c>
    </row>
    <row r="71" spans="1:26" x14ac:dyDescent="0.35">
      <c r="A71" s="26">
        <v>2</v>
      </c>
      <c r="B71" s="11">
        <f t="shared" ref="B71:B94" si="20">1-C71</f>
        <v>0.8</v>
      </c>
      <c r="C71" s="12">
        <v>0.2</v>
      </c>
      <c r="D71" s="27">
        <v>0.2</v>
      </c>
      <c r="E71" s="26">
        <f t="shared" ref="E71:E95" si="21">(1-D71)*B71</f>
        <v>0.64000000000000012</v>
      </c>
      <c r="F71" s="28">
        <f t="shared" ref="F71:F95" si="22">(1-D71)*C71</f>
        <v>0.16000000000000003</v>
      </c>
      <c r="G71" s="11">
        <v>275.3</v>
      </c>
      <c r="H71" s="12">
        <v>2</v>
      </c>
      <c r="I71" s="21"/>
      <c r="J71" s="29">
        <v>0.76300000000000001</v>
      </c>
      <c r="K71" s="68">
        <v>19.091562673131321</v>
      </c>
      <c r="L71" s="8">
        <f t="shared" ref="L71:L95" si="23">ABS(K71-H71*10)/H71/10</f>
        <v>4.5421866343433946E-2</v>
      </c>
      <c r="M71" s="92">
        <v>22.387455020713979</v>
      </c>
      <c r="N71" s="91">
        <f t="shared" si="17"/>
        <v>0.11937275103569896</v>
      </c>
      <c r="O71" s="91"/>
      <c r="P71" s="86"/>
      <c r="Q71" s="91">
        <v>22.816714642336262</v>
      </c>
      <c r="R71" s="90">
        <f t="shared" si="18"/>
        <v>0.14083573211681308</v>
      </c>
      <c r="S71" s="68">
        <v>22.488625021375046</v>
      </c>
      <c r="T71" s="75">
        <f t="shared" si="11"/>
        <v>0.12443125106875233</v>
      </c>
      <c r="U71" s="75"/>
      <c r="V71" s="8"/>
      <c r="W71">
        <v>19.271185014985171</v>
      </c>
      <c r="X71">
        <f t="shared" si="19"/>
        <v>3.6440749250741436E-2</v>
      </c>
    </row>
    <row r="72" spans="1:26" x14ac:dyDescent="0.35">
      <c r="A72" s="26">
        <v>3</v>
      </c>
      <c r="B72" s="11">
        <f t="shared" si="20"/>
        <v>0.8</v>
      </c>
      <c r="C72" s="12">
        <v>0.2</v>
      </c>
      <c r="D72" s="27">
        <v>0.2</v>
      </c>
      <c r="E72" s="26">
        <f t="shared" si="21"/>
        <v>0.64000000000000012</v>
      </c>
      <c r="F72" s="28">
        <f t="shared" si="22"/>
        <v>0.16000000000000003</v>
      </c>
      <c r="G72" s="11">
        <v>275.3</v>
      </c>
      <c r="H72" s="12">
        <v>2.2000000000000002</v>
      </c>
      <c r="I72" s="21"/>
      <c r="J72" s="29">
        <v>0.70399999999999996</v>
      </c>
      <c r="K72" s="68">
        <v>19.091562677146243</v>
      </c>
      <c r="L72" s="8">
        <f t="shared" si="23"/>
        <v>0.13220169649335259</v>
      </c>
      <c r="M72" s="92">
        <v>22.387455021307115</v>
      </c>
      <c r="N72" s="91">
        <f t="shared" si="17"/>
        <v>1.7611591877596148E-2</v>
      </c>
      <c r="O72" s="91"/>
      <c r="P72" s="86"/>
      <c r="Q72" s="91">
        <v>22.816714642959486</v>
      </c>
      <c r="R72" s="90">
        <f t="shared" si="18"/>
        <v>3.7123392861794807E-2</v>
      </c>
      <c r="S72" s="68">
        <v>22.488625008441375</v>
      </c>
      <c r="T72" s="75">
        <f t="shared" si="11"/>
        <v>2.2210227656426114E-2</v>
      </c>
      <c r="U72" s="75"/>
      <c r="V72" s="8"/>
      <c r="W72">
        <v>19.271185018625562</v>
      </c>
      <c r="X72">
        <f t="shared" si="19"/>
        <v>0.12403704460792897</v>
      </c>
    </row>
    <row r="73" spans="1:26" x14ac:dyDescent="0.35">
      <c r="A73" s="26">
        <v>4</v>
      </c>
      <c r="B73" s="11">
        <f t="shared" si="20"/>
        <v>0.5</v>
      </c>
      <c r="C73" s="12">
        <v>0.5</v>
      </c>
      <c r="D73" s="27">
        <v>0.2</v>
      </c>
      <c r="E73" s="26">
        <f t="shared" si="21"/>
        <v>0.4</v>
      </c>
      <c r="F73" s="28">
        <f t="shared" si="22"/>
        <v>0.4</v>
      </c>
      <c r="G73" s="11">
        <v>275.3</v>
      </c>
      <c r="H73" s="12">
        <v>3.4</v>
      </c>
      <c r="I73" s="21"/>
      <c r="J73" s="29">
        <v>0.44299999999999995</v>
      </c>
      <c r="K73" s="68">
        <v>27.338506066695821</v>
      </c>
      <c r="L73" s="8">
        <f t="shared" si="23"/>
        <v>0.19592629215600527</v>
      </c>
      <c r="M73" s="92">
        <v>35.526444000453992</v>
      </c>
      <c r="N73" s="91">
        <f t="shared" si="17"/>
        <v>4.4895411778058593E-2</v>
      </c>
      <c r="O73" s="91"/>
      <c r="P73" s="86"/>
      <c r="Q73" s="91">
        <v>32.507208922291362</v>
      </c>
      <c r="R73" s="90">
        <f t="shared" si="18"/>
        <v>4.3905619932607005E-2</v>
      </c>
      <c r="S73" s="68">
        <v>36.324670472230991</v>
      </c>
      <c r="T73" s="75">
        <f t="shared" si="11"/>
        <v>6.8372660947970343E-2</v>
      </c>
      <c r="U73" s="75"/>
      <c r="V73" s="8"/>
      <c r="W73">
        <v>27.72033043538098</v>
      </c>
      <c r="X73">
        <f t="shared" si="19"/>
        <v>0.18469616366526531</v>
      </c>
    </row>
    <row r="74" spans="1:26" x14ac:dyDescent="0.35">
      <c r="A74" s="26">
        <v>5</v>
      </c>
      <c r="B74" s="11">
        <f t="shared" si="20"/>
        <v>0.5</v>
      </c>
      <c r="C74" s="12">
        <v>0.5</v>
      </c>
      <c r="D74" s="27">
        <v>0.2</v>
      </c>
      <c r="E74" s="26">
        <f t="shared" si="21"/>
        <v>0.4</v>
      </c>
      <c r="F74" s="28">
        <f t="shared" si="22"/>
        <v>0.4</v>
      </c>
      <c r="G74" s="11">
        <v>275.3</v>
      </c>
      <c r="H74" s="12">
        <v>3.4</v>
      </c>
      <c r="I74" s="21"/>
      <c r="J74" s="29">
        <v>0.44799999999999995</v>
      </c>
      <c r="K74" s="68">
        <v>27.338506066695821</v>
      </c>
      <c r="L74" s="8">
        <f t="shared" si="23"/>
        <v>0.19592629215600527</v>
      </c>
      <c r="M74" s="92">
        <v>35.526444000453992</v>
      </c>
      <c r="N74" s="91">
        <f t="shared" si="17"/>
        <v>4.4895411778058593E-2</v>
      </c>
      <c r="O74" s="91"/>
      <c r="P74" s="86"/>
      <c r="Q74" s="91">
        <v>32.507208922291362</v>
      </c>
      <c r="R74" s="90">
        <f t="shared" si="18"/>
        <v>4.3905619932607005E-2</v>
      </c>
      <c r="S74" s="68">
        <v>36.324670472230991</v>
      </c>
      <c r="T74" s="75">
        <f t="shared" si="11"/>
        <v>6.8372660947970343E-2</v>
      </c>
      <c r="U74" s="75"/>
      <c r="V74" s="8"/>
      <c r="W74">
        <v>27.72033043538098</v>
      </c>
      <c r="X74">
        <f t="shared" si="19"/>
        <v>0.18469616366526531</v>
      </c>
    </row>
    <row r="75" spans="1:26" x14ac:dyDescent="0.35">
      <c r="A75" s="26">
        <v>6</v>
      </c>
      <c r="B75" s="11">
        <f t="shared" si="20"/>
        <v>0.5</v>
      </c>
      <c r="C75" s="12">
        <v>0.5</v>
      </c>
      <c r="D75" s="27">
        <v>0.2</v>
      </c>
      <c r="E75" s="26">
        <f t="shared" si="21"/>
        <v>0.4</v>
      </c>
      <c r="F75" s="28">
        <f t="shared" si="22"/>
        <v>0.4</v>
      </c>
      <c r="G75" s="11">
        <v>275.3</v>
      </c>
      <c r="H75" s="12">
        <v>3.4</v>
      </c>
      <c r="I75" s="21"/>
      <c r="J75" s="29">
        <v>0.44499999999999995</v>
      </c>
      <c r="K75" s="68">
        <v>27.338506066695821</v>
      </c>
      <c r="L75" s="8">
        <f t="shared" si="23"/>
        <v>0.19592629215600527</v>
      </c>
      <c r="M75" s="92">
        <v>35.526444000453992</v>
      </c>
      <c r="N75" s="91">
        <f t="shared" si="17"/>
        <v>4.4895411778058593E-2</v>
      </c>
      <c r="O75" s="91"/>
      <c r="P75" s="86"/>
      <c r="Q75" s="91">
        <v>32.507208922291362</v>
      </c>
      <c r="R75" s="90">
        <f t="shared" si="18"/>
        <v>4.3905619932607005E-2</v>
      </c>
      <c r="S75" s="68">
        <v>36.324670472230991</v>
      </c>
      <c r="T75" s="75">
        <f t="shared" si="11"/>
        <v>6.8372660947970343E-2</v>
      </c>
      <c r="U75" s="75"/>
      <c r="V75" s="8"/>
      <c r="W75">
        <v>27.72033043538098</v>
      </c>
      <c r="X75">
        <f t="shared" si="19"/>
        <v>0.18469616366526531</v>
      </c>
    </row>
    <row r="76" spans="1:26" x14ac:dyDescent="0.35">
      <c r="A76" s="26">
        <v>7</v>
      </c>
      <c r="B76" s="11">
        <f t="shared" si="20"/>
        <v>0.5</v>
      </c>
      <c r="C76" s="12">
        <v>0.5</v>
      </c>
      <c r="D76" s="27">
        <v>0.2</v>
      </c>
      <c r="E76" s="26">
        <f t="shared" si="21"/>
        <v>0.4</v>
      </c>
      <c r="F76" s="28">
        <f t="shared" si="22"/>
        <v>0.4</v>
      </c>
      <c r="G76" s="11">
        <v>275.3</v>
      </c>
      <c r="H76" s="12">
        <v>3.5</v>
      </c>
      <c r="I76" s="21"/>
      <c r="J76" s="29">
        <v>0.43600000000000005</v>
      </c>
      <c r="K76" s="68">
        <v>27.338506065468426</v>
      </c>
      <c r="L76" s="8">
        <f t="shared" si="23"/>
        <v>0.21889982670090213</v>
      </c>
      <c r="M76" s="92">
        <v>35.526444000369061</v>
      </c>
      <c r="N76" s="91">
        <f t="shared" si="17"/>
        <v>1.5041257153401742E-2</v>
      </c>
      <c r="O76" s="91"/>
      <c r="P76" s="86"/>
      <c r="Q76" s="91">
        <v>32.507208922099359</v>
      </c>
      <c r="R76" s="90">
        <f t="shared" si="18"/>
        <v>7.1222602225732595E-2</v>
      </c>
      <c r="S76" s="68">
        <v>36.324670467358885</v>
      </c>
      <c r="T76" s="75">
        <f t="shared" si="11"/>
        <v>3.7847727638825289E-2</v>
      </c>
      <c r="U76" s="75"/>
      <c r="V76" s="8"/>
      <c r="W76">
        <v>27.720330434286954</v>
      </c>
      <c r="X76">
        <f t="shared" si="19"/>
        <v>0.20799055902037272</v>
      </c>
    </row>
    <row r="77" spans="1:26" x14ac:dyDescent="0.35">
      <c r="A77" s="26">
        <v>8</v>
      </c>
      <c r="B77" s="11">
        <f t="shared" si="20"/>
        <v>0.5</v>
      </c>
      <c r="C77" s="12">
        <v>0.5</v>
      </c>
      <c r="D77" s="27">
        <v>0.2</v>
      </c>
      <c r="E77" s="26">
        <f t="shared" si="21"/>
        <v>0.4</v>
      </c>
      <c r="F77" s="28">
        <f t="shared" si="22"/>
        <v>0.4</v>
      </c>
      <c r="G77" s="11">
        <v>275.39999999999998</v>
      </c>
      <c r="H77" s="12">
        <v>3.6</v>
      </c>
      <c r="I77" s="21"/>
      <c r="J77" s="29">
        <v>0.41799999999999993</v>
      </c>
      <c r="K77" s="68">
        <v>27.634979910405828</v>
      </c>
      <c r="L77" s="8">
        <f t="shared" si="23"/>
        <v>0.23236166915539366</v>
      </c>
      <c r="M77" s="92">
        <v>35.883698889136738</v>
      </c>
      <c r="N77" s="91">
        <f t="shared" si="17"/>
        <v>3.2305864128683798E-3</v>
      </c>
      <c r="O77" s="91"/>
      <c r="P77" s="86"/>
      <c r="Q77" s="91">
        <v>32.861348746126403</v>
      </c>
      <c r="R77" s="90">
        <f t="shared" si="18"/>
        <v>8.7184757052044357E-2</v>
      </c>
      <c r="S77" s="68">
        <v>36.692877854649844</v>
      </c>
      <c r="T77" s="75">
        <f t="shared" si="11"/>
        <v>1.9246607073606765E-2</v>
      </c>
      <c r="U77" s="75"/>
      <c r="V77" s="8"/>
      <c r="W77">
        <v>28.024278891718897</v>
      </c>
      <c r="X77">
        <f t="shared" si="19"/>
        <v>0.22154780856336398</v>
      </c>
    </row>
    <row r="78" spans="1:26" x14ac:dyDescent="0.35">
      <c r="A78" s="26">
        <v>9</v>
      </c>
      <c r="B78" s="11">
        <f t="shared" si="20"/>
        <v>0.5</v>
      </c>
      <c r="C78" s="12">
        <v>0.5</v>
      </c>
      <c r="D78" s="27">
        <v>0.2</v>
      </c>
      <c r="E78" s="26">
        <f t="shared" si="21"/>
        <v>0.4</v>
      </c>
      <c r="F78" s="28">
        <f t="shared" si="22"/>
        <v>0.4</v>
      </c>
      <c r="G78" s="11">
        <v>275.3</v>
      </c>
      <c r="H78" s="12">
        <v>3.8</v>
      </c>
      <c r="I78" s="21"/>
      <c r="J78" s="29">
        <v>0.39500000000000002</v>
      </c>
      <c r="K78" s="68">
        <v>27.338506062255867</v>
      </c>
      <c r="L78" s="8">
        <f t="shared" si="23"/>
        <v>0.28056562994063505</v>
      </c>
      <c r="M78" s="92">
        <v>35.526443999983897</v>
      </c>
      <c r="N78" s="91">
        <f t="shared" si="17"/>
        <v>6.5093578947792191E-2</v>
      </c>
      <c r="O78" s="91"/>
      <c r="P78" s="86"/>
      <c r="Q78" s="91">
        <v>32.507208921308724</v>
      </c>
      <c r="R78" s="90">
        <f t="shared" si="18"/>
        <v>0.14454713364977043</v>
      </c>
      <c r="S78" s="68">
        <v>36.324670477487203</v>
      </c>
      <c r="T78" s="75">
        <f t="shared" si="11"/>
        <v>4.4087619013494658E-2</v>
      </c>
      <c r="U78" s="75"/>
      <c r="V78" s="8"/>
      <c r="W78">
        <v>27.720330431424358</v>
      </c>
      <c r="X78">
        <f t="shared" si="19"/>
        <v>0.27051762022567483</v>
      </c>
    </row>
    <row r="79" spans="1:26" x14ac:dyDescent="0.35">
      <c r="A79" s="26">
        <v>10</v>
      </c>
      <c r="B79" s="11">
        <f t="shared" si="20"/>
        <v>0.5</v>
      </c>
      <c r="C79" s="12">
        <v>0.5</v>
      </c>
      <c r="D79" s="27">
        <v>0.2</v>
      </c>
      <c r="E79" s="26">
        <f t="shared" si="21"/>
        <v>0.4</v>
      </c>
      <c r="F79" s="28">
        <f t="shared" si="22"/>
        <v>0.4</v>
      </c>
      <c r="G79" s="11">
        <v>275.2</v>
      </c>
      <c r="H79" s="12">
        <v>4</v>
      </c>
      <c r="I79" s="21"/>
      <c r="J79" s="29">
        <v>0.36499999999999999</v>
      </c>
      <c r="K79" s="68">
        <v>27.045291430202646</v>
      </c>
      <c r="L79" s="8">
        <f t="shared" si="23"/>
        <v>0.32386771424493388</v>
      </c>
      <c r="M79" s="92">
        <v>35.173074866883937</v>
      </c>
      <c r="N79" s="91">
        <f t="shared" si="17"/>
        <v>0.12067312832790159</v>
      </c>
      <c r="O79" s="91"/>
      <c r="P79" s="86"/>
      <c r="Q79" s="91">
        <v>32.157024960685177</v>
      </c>
      <c r="R79" s="90">
        <f t="shared" si="18"/>
        <v>0.19607437598287056</v>
      </c>
      <c r="S79" s="68">
        <v>35.96054022887202</v>
      </c>
      <c r="T79" s="75">
        <f t="shared" si="11"/>
        <v>0.1009864942781995</v>
      </c>
      <c r="U79" s="75"/>
      <c r="V79" s="8"/>
      <c r="W79">
        <v>27.419764457167119</v>
      </c>
      <c r="X79">
        <f t="shared" si="19"/>
        <v>0.31450588857082201</v>
      </c>
    </row>
    <row r="80" spans="1:26" x14ac:dyDescent="0.35">
      <c r="A80" s="26">
        <v>11</v>
      </c>
      <c r="B80" s="11">
        <f t="shared" si="20"/>
        <v>0.20999999999999996</v>
      </c>
      <c r="C80" s="12">
        <v>0.79</v>
      </c>
      <c r="D80" s="27">
        <v>0.2</v>
      </c>
      <c r="E80" s="26">
        <f t="shared" si="21"/>
        <v>0.16799999999999998</v>
      </c>
      <c r="F80" s="28">
        <f t="shared" si="22"/>
        <v>0.63200000000000012</v>
      </c>
      <c r="G80" s="11">
        <v>275.3</v>
      </c>
      <c r="H80" s="12">
        <v>7.3</v>
      </c>
      <c r="I80" s="21"/>
      <c r="J80" s="29">
        <v>0.16999999999999993</v>
      </c>
      <c r="K80" s="68">
        <v>55.310449097021831</v>
      </c>
      <c r="L80" s="8">
        <f t="shared" si="23"/>
        <v>0.24232261510929001</v>
      </c>
      <c r="M80" s="92">
        <v>77.582719538489144</v>
      </c>
      <c r="N80" s="91">
        <f t="shared" si="17"/>
        <v>6.2776979979303343E-2</v>
      </c>
      <c r="O80" s="91"/>
      <c r="P80" s="86"/>
      <c r="Q80" s="91">
        <v>65.901749416307098</v>
      </c>
      <c r="R80" s="90">
        <f t="shared" si="18"/>
        <v>9.7236309365656193E-2</v>
      </c>
      <c r="S80" s="68">
        <v>87.015040068691079</v>
      </c>
      <c r="T80" s="75">
        <f t="shared" si="11"/>
        <v>0.19198685025604217</v>
      </c>
      <c r="U80" s="75"/>
      <c r="V80" s="8"/>
      <c r="W80">
        <v>54.277611678847236</v>
      </c>
      <c r="X80">
        <f t="shared" si="19"/>
        <v>0.25647107289250359</v>
      </c>
    </row>
    <row r="81" spans="1:26" x14ac:dyDescent="0.35">
      <c r="A81" s="26">
        <v>12</v>
      </c>
      <c r="B81" s="11">
        <f t="shared" si="20"/>
        <v>0.20999999999999996</v>
      </c>
      <c r="C81" s="12">
        <v>0.79</v>
      </c>
      <c r="D81" s="27">
        <v>0.2</v>
      </c>
      <c r="E81" s="26">
        <f t="shared" si="21"/>
        <v>0.16799999999999998</v>
      </c>
      <c r="F81" s="28">
        <f t="shared" si="22"/>
        <v>0.63200000000000012</v>
      </c>
      <c r="G81" s="11">
        <v>275.39999999999998</v>
      </c>
      <c r="H81" s="12">
        <v>7.7</v>
      </c>
      <c r="I81" s="21"/>
      <c r="J81" s="29">
        <v>0.16200000000000003</v>
      </c>
      <c r="K81" s="68">
        <v>55.954560549829893</v>
      </c>
      <c r="L81" s="8">
        <f t="shared" si="23"/>
        <v>0.2733173954567546</v>
      </c>
      <c r="M81" s="92">
        <v>78.483250510219023</v>
      </c>
      <c r="N81" s="91">
        <f t="shared" si="17"/>
        <v>1.9262993639208085E-2</v>
      </c>
      <c r="O81" s="91"/>
      <c r="P81" s="86"/>
      <c r="Q81" s="91">
        <v>66.694548013200631</v>
      </c>
      <c r="R81" s="90">
        <f t="shared" si="18"/>
        <v>0.13383703878960221</v>
      </c>
      <c r="S81" s="68">
        <v>88.109315899932113</v>
      </c>
      <c r="T81" s="75">
        <f t="shared" si="11"/>
        <v>0.14427682986924822</v>
      </c>
      <c r="U81" s="75"/>
      <c r="V81" s="8"/>
      <c r="W81">
        <v>54.902000777352789</v>
      </c>
      <c r="X81">
        <f t="shared" si="19"/>
        <v>0.28698700289152218</v>
      </c>
    </row>
    <row r="82" spans="1:26" x14ac:dyDescent="0.35">
      <c r="A82" s="26">
        <v>13</v>
      </c>
      <c r="B82" s="11">
        <f t="shared" si="20"/>
        <v>0</v>
      </c>
      <c r="C82" s="12">
        <v>1</v>
      </c>
      <c r="D82" s="27">
        <v>0.2</v>
      </c>
      <c r="E82" s="26">
        <f t="shared" si="21"/>
        <v>0</v>
      </c>
      <c r="F82" s="28">
        <f t="shared" si="22"/>
        <v>0.8</v>
      </c>
      <c r="G82" s="11">
        <v>275.60000000000002</v>
      </c>
      <c r="H82" s="12">
        <v>20.100000000000001</v>
      </c>
      <c r="I82" s="21"/>
      <c r="J82" s="29">
        <v>0</v>
      </c>
      <c r="K82" s="68">
        <v>203.53806570767318</v>
      </c>
      <c r="L82" s="8">
        <f t="shared" si="23"/>
        <v>1.2627192575488475E-2</v>
      </c>
      <c r="M82" s="92">
        <v>223.82039010957641</v>
      </c>
      <c r="N82" s="91">
        <f t="shared" si="17"/>
        <v>0.11353427915212141</v>
      </c>
      <c r="O82" s="91"/>
      <c r="P82" s="86"/>
      <c r="Q82" s="91">
        <v>203.53806570767318</v>
      </c>
      <c r="R82" s="90">
        <f t="shared" si="18"/>
        <v>1.2627192575488475E-2</v>
      </c>
      <c r="S82" s="68">
        <v>203.53806463064589</v>
      </c>
      <c r="T82" s="75">
        <f t="shared" si="11"/>
        <v>1.2627187217143737E-2</v>
      </c>
      <c r="U82" s="75"/>
      <c r="V82" s="8"/>
      <c r="W82">
        <v>223.82039010957641</v>
      </c>
      <c r="X82">
        <f t="shared" si="19"/>
        <v>0.11353427915212141</v>
      </c>
    </row>
    <row r="83" spans="1:26" x14ac:dyDescent="0.35">
      <c r="A83" s="26">
        <v>14</v>
      </c>
      <c r="B83" s="11">
        <f t="shared" si="20"/>
        <v>0.8</v>
      </c>
      <c r="C83" s="12">
        <v>0.2</v>
      </c>
      <c r="D83" s="27">
        <v>0.2</v>
      </c>
      <c r="E83" s="26">
        <f t="shared" si="21"/>
        <v>0.64000000000000012</v>
      </c>
      <c r="F83" s="28">
        <f t="shared" si="22"/>
        <v>0.16000000000000003</v>
      </c>
      <c r="G83" s="11">
        <v>277.39999999999998</v>
      </c>
      <c r="H83" s="12">
        <v>2.7</v>
      </c>
      <c r="I83" s="21"/>
      <c r="J83" s="29">
        <v>0.745</v>
      </c>
      <c r="K83" s="68">
        <v>23.930833553123605</v>
      </c>
      <c r="L83" s="8">
        <f t="shared" si="23"/>
        <v>0.11367283136579238</v>
      </c>
      <c r="M83" s="92">
        <v>27.189080696461811</v>
      </c>
      <c r="N83" s="91">
        <f t="shared" si="17"/>
        <v>7.0029887578448692E-3</v>
      </c>
      <c r="O83" s="91"/>
      <c r="P83" s="86"/>
      <c r="Q83" s="91">
        <v>28.563186086025613</v>
      </c>
      <c r="R83" s="90">
        <f t="shared" si="18"/>
        <v>5.7895780963911604E-2</v>
      </c>
      <c r="S83" s="68">
        <v>27.317200211967613</v>
      </c>
      <c r="T83" s="75">
        <f t="shared" si="11"/>
        <v>1.174815599880048E-2</v>
      </c>
      <c r="U83" s="75"/>
      <c r="V83" s="8"/>
      <c r="W83">
        <v>24.21087962806256</v>
      </c>
      <c r="X83">
        <f t="shared" si="19"/>
        <v>0.10330075451620147</v>
      </c>
    </row>
    <row r="84" spans="1:26" x14ac:dyDescent="0.35">
      <c r="A84" s="26">
        <v>15</v>
      </c>
      <c r="B84" s="11">
        <f t="shared" si="20"/>
        <v>0.5</v>
      </c>
      <c r="C84" s="12">
        <v>0.5</v>
      </c>
      <c r="D84" s="27">
        <v>0.2</v>
      </c>
      <c r="E84" s="26">
        <f t="shared" si="21"/>
        <v>0.4</v>
      </c>
      <c r="F84" s="28">
        <f t="shared" si="22"/>
        <v>0.4</v>
      </c>
      <c r="G84" s="11">
        <v>277.2</v>
      </c>
      <c r="H84" s="12">
        <v>5.0999999999999996</v>
      </c>
      <c r="I84" s="21"/>
      <c r="J84" s="29">
        <v>0.36099999999999999</v>
      </c>
      <c r="K84" s="68">
        <v>33.576899100201089</v>
      </c>
      <c r="L84" s="8">
        <f t="shared" si="23"/>
        <v>0.34162942940782182</v>
      </c>
      <c r="M84" s="92">
        <v>43.043358878649997</v>
      </c>
      <c r="N84" s="91">
        <f t="shared" si="17"/>
        <v>0.1560125710068628</v>
      </c>
      <c r="O84" s="91"/>
      <c r="P84" s="86"/>
      <c r="Q84" s="91">
        <v>39.974164913041434</v>
      </c>
      <c r="R84" s="90">
        <f t="shared" si="18"/>
        <v>0.21619284484232484</v>
      </c>
      <c r="S84" s="68">
        <v>44.088464601437536</v>
      </c>
      <c r="T84" s="75">
        <f t="shared" si="11"/>
        <v>0.13552030193259734</v>
      </c>
      <c r="U84" s="75"/>
      <c r="V84" s="8"/>
      <c r="W84">
        <v>34.124090123465862</v>
      </c>
      <c r="X84">
        <f t="shared" si="19"/>
        <v>0.33090019365753209</v>
      </c>
    </row>
    <row r="85" spans="1:26" x14ac:dyDescent="0.35">
      <c r="A85" s="26">
        <v>16</v>
      </c>
      <c r="B85" s="11">
        <f t="shared" si="20"/>
        <v>0.20999999999999996</v>
      </c>
      <c r="C85" s="12">
        <v>0.79</v>
      </c>
      <c r="D85" s="27">
        <v>0.2</v>
      </c>
      <c r="E85" s="26">
        <f t="shared" si="21"/>
        <v>0.16799999999999998</v>
      </c>
      <c r="F85" s="28">
        <f t="shared" si="22"/>
        <v>0.63200000000000012</v>
      </c>
      <c r="G85" s="11">
        <v>277.39999999999998</v>
      </c>
      <c r="H85" s="12">
        <v>9.9</v>
      </c>
      <c r="I85" s="21"/>
      <c r="J85" s="29">
        <v>0.16999999999999993</v>
      </c>
      <c r="K85" s="68">
        <v>70.949169511493167</v>
      </c>
      <c r="L85" s="8">
        <f t="shared" si="23"/>
        <v>0.28334172210612962</v>
      </c>
      <c r="M85" s="92">
        <v>99.842101875679703</v>
      </c>
      <c r="N85" s="91">
        <f t="shared" si="17"/>
        <v>8.5060795523202275E-3</v>
      </c>
      <c r="O85" s="91"/>
      <c r="P85" s="86"/>
      <c r="Q85" s="91">
        <v>85.438100326901051</v>
      </c>
      <c r="R85" s="90">
        <f t="shared" si="18"/>
        <v>0.13698888558685807</v>
      </c>
      <c r="S85" s="68">
        <v>115.03837206142909</v>
      </c>
      <c r="T85" s="75">
        <f t="shared" si="11"/>
        <v>0.1620037581962534</v>
      </c>
      <c r="U85" s="75"/>
      <c r="V85" s="8"/>
      <c r="W85">
        <v>69.347912972799634</v>
      </c>
      <c r="X85">
        <f t="shared" si="19"/>
        <v>0.29951603057778142</v>
      </c>
    </row>
    <row r="86" spans="1:26" x14ac:dyDescent="0.35">
      <c r="A86" s="26">
        <v>17</v>
      </c>
      <c r="B86" s="11">
        <f t="shared" si="20"/>
        <v>0.8</v>
      </c>
      <c r="C86" s="12">
        <v>0.2</v>
      </c>
      <c r="D86" s="27">
        <v>0.2</v>
      </c>
      <c r="E86" s="26">
        <f t="shared" si="21"/>
        <v>0.64000000000000012</v>
      </c>
      <c r="F86" s="28">
        <f t="shared" si="22"/>
        <v>0.16000000000000003</v>
      </c>
      <c r="G86" s="11">
        <v>279.39999999999998</v>
      </c>
      <c r="H86" s="12">
        <v>3.6</v>
      </c>
      <c r="I86" s="21"/>
      <c r="J86" s="29">
        <v>0.71100000000000008</v>
      </c>
      <c r="K86" s="68">
        <v>29.631782582960266</v>
      </c>
      <c r="L86" s="8">
        <f t="shared" si="23"/>
        <v>0.1768949282511037</v>
      </c>
      <c r="M86" s="92">
        <v>32.709409542918756</v>
      </c>
      <c r="N86" s="91">
        <f t="shared" si="17"/>
        <v>9.1405290474478998E-2</v>
      </c>
      <c r="O86" s="91"/>
      <c r="P86" s="86"/>
      <c r="Q86" s="91">
        <v>35.274866293349668</v>
      </c>
      <c r="R86" s="90">
        <f t="shared" si="18"/>
        <v>2.0142602962509235E-2</v>
      </c>
      <c r="S86" s="68">
        <v>32.870997990012206</v>
      </c>
      <c r="T86" s="75">
        <f t="shared" si="11"/>
        <v>8.6916722499660926E-2</v>
      </c>
      <c r="U86" s="75"/>
      <c r="V86" s="8"/>
      <c r="W86">
        <v>30.051344227886915</v>
      </c>
      <c r="X86">
        <f t="shared" si="19"/>
        <v>0.16524043811425235</v>
      </c>
    </row>
    <row r="87" spans="1:26" x14ac:dyDescent="0.35">
      <c r="A87" s="26">
        <v>18</v>
      </c>
      <c r="B87" s="11">
        <f t="shared" si="20"/>
        <v>0.5</v>
      </c>
      <c r="C87" s="12">
        <v>0.5</v>
      </c>
      <c r="D87" s="27">
        <v>0.2</v>
      </c>
      <c r="E87" s="26">
        <f t="shared" si="21"/>
        <v>0.4</v>
      </c>
      <c r="F87" s="28">
        <f t="shared" si="22"/>
        <v>0.4</v>
      </c>
      <c r="G87" s="11">
        <v>279</v>
      </c>
      <c r="H87" s="12">
        <v>6.1</v>
      </c>
      <c r="I87" s="21"/>
      <c r="J87" s="29">
        <v>0.3929999999999999</v>
      </c>
      <c r="K87" s="68">
        <v>40.862813150550487</v>
      </c>
      <c r="L87" s="8">
        <f t="shared" si="23"/>
        <v>0.33011781720409039</v>
      </c>
      <c r="M87" s="92">
        <v>51.860673467949304</v>
      </c>
      <c r="N87" s="91">
        <f t="shared" si="17"/>
        <v>0.14982502511558518</v>
      </c>
      <c r="O87" s="91"/>
      <c r="P87" s="86"/>
      <c r="Q87" s="91">
        <v>48.74467096540846</v>
      </c>
      <c r="R87" s="90">
        <f t="shared" si="18"/>
        <v>0.20090703335395968</v>
      </c>
      <c r="S87" s="68">
        <v>53.245070650825475</v>
      </c>
      <c r="T87" s="75">
        <f t="shared" si="11"/>
        <v>0.12712998933072991</v>
      </c>
      <c r="U87" s="75"/>
      <c r="V87" s="8"/>
      <c r="W87">
        <v>41.62137154082631</v>
      </c>
      <c r="X87">
        <f t="shared" si="19"/>
        <v>0.31768243375694577</v>
      </c>
    </row>
    <row r="88" spans="1:26" x14ac:dyDescent="0.35">
      <c r="A88" s="26">
        <v>19</v>
      </c>
      <c r="B88" s="11">
        <f t="shared" si="20"/>
        <v>0.20999999999999996</v>
      </c>
      <c r="C88" s="12">
        <v>0.79</v>
      </c>
      <c r="D88" s="27">
        <v>0.2</v>
      </c>
      <c r="E88" s="26">
        <f t="shared" si="21"/>
        <v>0.16799999999999998</v>
      </c>
      <c r="F88" s="28">
        <f t="shared" si="22"/>
        <v>0.63200000000000012</v>
      </c>
      <c r="G88" s="11">
        <v>279.3</v>
      </c>
      <c r="H88" s="12">
        <v>12.1</v>
      </c>
      <c r="I88" s="21"/>
      <c r="J88" s="29">
        <v>0.18499999999999994</v>
      </c>
      <c r="K88" s="68">
        <v>90.231532081289487</v>
      </c>
      <c r="L88" s="8">
        <f t="shared" si="23"/>
        <v>0.25428485883231827</v>
      </c>
      <c r="M88" s="92">
        <v>128.80340410122747</v>
      </c>
      <c r="N88" s="91">
        <f t="shared" si="17"/>
        <v>6.4490942985351005E-2</v>
      </c>
      <c r="O88" s="91"/>
      <c r="P88" s="86"/>
      <c r="Q88" s="91">
        <v>110.5792174337946</v>
      </c>
      <c r="R88" s="90">
        <f t="shared" si="18"/>
        <v>8.6122169968639709E-2</v>
      </c>
      <c r="S88" s="68">
        <v>155.80266879570263</v>
      </c>
      <c r="T88" s="75">
        <f t="shared" si="11"/>
        <v>0.28762536194795563</v>
      </c>
      <c r="U88" s="75"/>
      <c r="V88" s="8"/>
      <c r="W88">
        <v>87.629949209876628</v>
      </c>
      <c r="X88">
        <f t="shared" si="19"/>
        <v>0.27578554372002789</v>
      </c>
    </row>
    <row r="89" spans="1:26" x14ac:dyDescent="0.35">
      <c r="A89" s="26">
        <v>20</v>
      </c>
      <c r="B89" s="11">
        <f t="shared" si="20"/>
        <v>0.8</v>
      </c>
      <c r="C89" s="12">
        <v>0.2</v>
      </c>
      <c r="D89" s="27">
        <v>0.2</v>
      </c>
      <c r="E89" s="26">
        <f t="shared" si="21"/>
        <v>0.64000000000000012</v>
      </c>
      <c r="F89" s="28">
        <f t="shared" si="22"/>
        <v>0.16000000000000003</v>
      </c>
      <c r="G89" s="11">
        <v>281</v>
      </c>
      <c r="H89" s="12">
        <v>4</v>
      </c>
      <c r="I89" s="21"/>
      <c r="J89" s="29">
        <v>0.78699999999999992</v>
      </c>
      <c r="K89" s="68">
        <v>35.089735549663288</v>
      </c>
      <c r="L89" s="8">
        <f t="shared" si="23"/>
        <v>0.12275661125841779</v>
      </c>
      <c r="M89" s="92">
        <v>37.905239786349206</v>
      </c>
      <c r="N89" s="91">
        <f t="shared" si="17"/>
        <v>5.2369005341269849E-2</v>
      </c>
      <c r="O89" s="91"/>
      <c r="P89" s="86"/>
      <c r="Q89" s="91">
        <v>41.624079223960983</v>
      </c>
      <c r="R89" s="90">
        <f t="shared" si="18"/>
        <v>4.0601980599024576E-2</v>
      </c>
      <c r="S89" s="68">
        <v>38.100821201770664</v>
      </c>
      <c r="T89" s="75">
        <f t="shared" si="11"/>
        <v>4.7479469955733399E-2</v>
      </c>
      <c r="U89" s="75"/>
      <c r="V89" s="8"/>
      <c r="W89">
        <v>35.660691646757257</v>
      </c>
      <c r="X89">
        <f t="shared" si="19"/>
        <v>0.10848270883106856</v>
      </c>
    </row>
    <row r="90" spans="1:26" x14ac:dyDescent="0.35">
      <c r="A90" s="26">
        <v>21</v>
      </c>
      <c r="B90" s="11">
        <f t="shared" si="20"/>
        <v>0.5</v>
      </c>
      <c r="C90" s="12">
        <v>0.5</v>
      </c>
      <c r="D90" s="27">
        <v>0.2</v>
      </c>
      <c r="E90" s="26">
        <f t="shared" si="21"/>
        <v>0.4</v>
      </c>
      <c r="F90" s="28">
        <f t="shared" si="22"/>
        <v>0.4</v>
      </c>
      <c r="G90" s="11">
        <v>281.10000000000002</v>
      </c>
      <c r="H90" s="12">
        <v>7.8</v>
      </c>
      <c r="I90" s="21"/>
      <c r="J90" s="29">
        <v>0.41600000000000004</v>
      </c>
      <c r="K90" s="68">
        <v>51.561502302958012</v>
      </c>
      <c r="L90" s="8">
        <f t="shared" si="23"/>
        <v>0.33895509868002549</v>
      </c>
      <c r="M90" s="92">
        <v>65.002938725775593</v>
      </c>
      <c r="N90" s="91">
        <f t="shared" si="17"/>
        <v>0.16662899069518472</v>
      </c>
      <c r="O90" s="91"/>
      <c r="P90" s="86"/>
      <c r="Q90" s="91">
        <v>61.757682451153968</v>
      </c>
      <c r="R90" s="90">
        <f t="shared" si="18"/>
        <v>0.20823484036982093</v>
      </c>
      <c r="S90" s="68">
        <v>67.01888039779989</v>
      </c>
      <c r="T90" s="75">
        <f t="shared" si="11"/>
        <v>0.14078358464359114</v>
      </c>
      <c r="U90" s="75"/>
      <c r="V90" s="8"/>
      <c r="W90">
        <v>52.657181222228253</v>
      </c>
      <c r="X90">
        <f t="shared" si="19"/>
        <v>0.32490793304835575</v>
      </c>
    </row>
    <row r="91" spans="1:26" x14ac:dyDescent="0.35">
      <c r="A91" s="26">
        <v>22</v>
      </c>
      <c r="B91" s="11">
        <f t="shared" si="20"/>
        <v>0.20999999999999996</v>
      </c>
      <c r="C91" s="12">
        <v>0.79</v>
      </c>
      <c r="D91" s="27">
        <v>0.2</v>
      </c>
      <c r="E91" s="26">
        <f t="shared" si="21"/>
        <v>0.16799999999999998</v>
      </c>
      <c r="F91" s="28">
        <f t="shared" si="22"/>
        <v>0.63200000000000012</v>
      </c>
      <c r="G91" s="11">
        <v>281.10000000000002</v>
      </c>
      <c r="H91" s="12">
        <v>16</v>
      </c>
      <c r="I91" s="21"/>
      <c r="J91" s="29">
        <v>0.18299999999999994</v>
      </c>
      <c r="K91" s="68">
        <v>116.01314675616595</v>
      </c>
      <c r="L91" s="8">
        <f t="shared" si="23"/>
        <v>0.27491783277396281</v>
      </c>
      <c r="M91" s="92">
        <v>171.58200758653851</v>
      </c>
      <c r="N91" s="91">
        <f t="shared" si="17"/>
        <v>7.2387547415865686E-2</v>
      </c>
      <c r="O91" s="91"/>
      <c r="P91" s="86"/>
      <c r="Q91" s="91">
        <v>146.94565327867778</v>
      </c>
      <c r="R91" s="90">
        <f t="shared" si="18"/>
        <v>8.1589667008263866E-2</v>
      </c>
      <c r="S91" s="68">
        <v>235.26988956464623</v>
      </c>
      <c r="T91" s="75">
        <f t="shared" si="11"/>
        <v>0.47043680977903896</v>
      </c>
      <c r="U91" s="75"/>
      <c r="V91" s="8"/>
      <c r="W91">
        <v>111.40696860826513</v>
      </c>
      <c r="X91">
        <f t="shared" si="19"/>
        <v>0.30370644619834292</v>
      </c>
    </row>
    <row r="92" spans="1:26" x14ac:dyDescent="0.35">
      <c r="A92" s="26">
        <v>23</v>
      </c>
      <c r="B92" s="11">
        <f t="shared" si="20"/>
        <v>0.20999999999999996</v>
      </c>
      <c r="C92" s="12">
        <v>0.79</v>
      </c>
      <c r="D92" s="27">
        <v>0.2</v>
      </c>
      <c r="E92" s="26">
        <f t="shared" si="21"/>
        <v>0.16799999999999998</v>
      </c>
      <c r="F92" s="28">
        <f t="shared" si="22"/>
        <v>0.63200000000000012</v>
      </c>
      <c r="G92" s="11">
        <v>281.10000000000002</v>
      </c>
      <c r="H92" s="12">
        <v>16.7</v>
      </c>
      <c r="I92" s="21"/>
      <c r="J92" s="29">
        <v>0.18299999999999994</v>
      </c>
      <c r="K92" s="68">
        <v>116.01314675637398</v>
      </c>
      <c r="L92" s="8">
        <f t="shared" si="23"/>
        <v>0.30531049846482644</v>
      </c>
      <c r="M92" s="92">
        <v>171.582007586164</v>
      </c>
      <c r="N92" s="91">
        <f t="shared" si="17"/>
        <v>2.7437171174634713E-2</v>
      </c>
      <c r="O92" s="91"/>
      <c r="P92" s="86"/>
      <c r="Q92" s="91">
        <v>146.94565327830207</v>
      </c>
      <c r="R92" s="90">
        <f t="shared" si="18"/>
        <v>0.12008590851316123</v>
      </c>
      <c r="S92" s="68">
        <v>235.26988956473102</v>
      </c>
      <c r="T92" s="75">
        <f t="shared" si="11"/>
        <v>0.40880173392054503</v>
      </c>
      <c r="U92" s="75"/>
      <c r="V92" s="8"/>
      <c r="W92">
        <v>111.40696860834031</v>
      </c>
      <c r="X92">
        <f t="shared" si="19"/>
        <v>0.33289240354287242</v>
      </c>
    </row>
    <row r="93" spans="1:26" x14ac:dyDescent="0.35">
      <c r="A93" s="26">
        <v>24</v>
      </c>
      <c r="B93" s="11">
        <f t="shared" si="20"/>
        <v>0.8</v>
      </c>
      <c r="C93" s="12">
        <v>0.2</v>
      </c>
      <c r="D93" s="27">
        <v>0.2</v>
      </c>
      <c r="E93" s="26">
        <f t="shared" si="21"/>
        <v>0.64000000000000012</v>
      </c>
      <c r="F93" s="28">
        <f t="shared" si="22"/>
        <v>0.16000000000000003</v>
      </c>
      <c r="G93" s="11">
        <v>282.89999999999998</v>
      </c>
      <c r="H93" s="12">
        <v>5.5</v>
      </c>
      <c r="I93" s="21"/>
      <c r="J93" s="29">
        <v>0.78</v>
      </c>
      <c r="K93" s="68">
        <v>42.73671849364807</v>
      </c>
      <c r="L93" s="8">
        <f t="shared" si="23"/>
        <v>0.22296875466094418</v>
      </c>
      <c r="M93" s="92">
        <v>45.105273921369914</v>
      </c>
      <c r="N93" s="91">
        <f t="shared" si="17"/>
        <v>0.17990411052054703</v>
      </c>
      <c r="O93" s="91"/>
      <c r="P93" s="86"/>
      <c r="Q93" s="91">
        <v>50.35332776842278</v>
      </c>
      <c r="R93" s="90">
        <f t="shared" si="18"/>
        <v>8.448494966504036E-2</v>
      </c>
      <c r="S93" s="68">
        <v>45.3518640489144</v>
      </c>
      <c r="T93" s="75">
        <f t="shared" si="11"/>
        <v>0.17542065365610179</v>
      </c>
      <c r="U93" s="75"/>
      <c r="V93" s="8"/>
      <c r="W93">
        <v>43.540754332684209</v>
      </c>
      <c r="X93">
        <f t="shared" si="19"/>
        <v>0.20834992122392348</v>
      </c>
    </row>
    <row r="94" spans="1:26" x14ac:dyDescent="0.35">
      <c r="A94" s="26">
        <v>25</v>
      </c>
      <c r="B94" s="11">
        <f t="shared" si="20"/>
        <v>0.5</v>
      </c>
      <c r="C94" s="12">
        <v>0.5</v>
      </c>
      <c r="D94" s="27">
        <v>0.2</v>
      </c>
      <c r="E94" s="26">
        <f t="shared" si="21"/>
        <v>0.4</v>
      </c>
      <c r="F94" s="28">
        <f t="shared" si="22"/>
        <v>0.4</v>
      </c>
      <c r="G94" s="11">
        <v>283.10000000000002</v>
      </c>
      <c r="H94" s="12">
        <v>11.7</v>
      </c>
      <c r="I94" s="21"/>
      <c r="J94" s="29">
        <v>0.48299999999999998</v>
      </c>
      <c r="K94" s="68">
        <v>64.726817493477697</v>
      </c>
      <c r="L94" s="8">
        <f t="shared" si="23"/>
        <v>0.44677933766258382</v>
      </c>
      <c r="M94" s="92">
        <v>81.747043406352759</v>
      </c>
      <c r="N94" s="91">
        <f t="shared" si="17"/>
        <v>0.3013073213132243</v>
      </c>
      <c r="O94" s="91"/>
      <c r="P94" s="86"/>
      <c r="Q94" s="91">
        <v>78.099124145194807</v>
      </c>
      <c r="R94" s="90">
        <f t="shared" si="18"/>
        <v>0.33248611841713843</v>
      </c>
      <c r="S94" s="68">
        <v>84.872677126725875</v>
      </c>
      <c r="T94" s="75">
        <f t="shared" si="11"/>
        <v>0.27459250319037715</v>
      </c>
      <c r="U94" s="75"/>
      <c r="V94" s="8"/>
      <c r="W94">
        <v>66.268937368502293</v>
      </c>
      <c r="X94">
        <f t="shared" si="19"/>
        <v>0.43359882591023685</v>
      </c>
    </row>
    <row r="95" spans="1:26" ht="15" thickBot="1" x14ac:dyDescent="0.4">
      <c r="A95" s="26">
        <v>26</v>
      </c>
      <c r="B95" s="11">
        <f>1-C95</f>
        <v>0.20999999999999996</v>
      </c>
      <c r="C95" s="12">
        <v>0.79</v>
      </c>
      <c r="D95" s="27">
        <v>0.2</v>
      </c>
      <c r="E95" s="26">
        <f t="shared" si="21"/>
        <v>0.16799999999999998</v>
      </c>
      <c r="F95" s="28">
        <f t="shared" si="22"/>
        <v>0.63200000000000012</v>
      </c>
      <c r="G95" s="11">
        <v>283</v>
      </c>
      <c r="H95" s="12">
        <v>22.4</v>
      </c>
      <c r="I95" s="21"/>
      <c r="J95" s="29">
        <v>0.18900000000000006</v>
      </c>
      <c r="K95" s="68">
        <v>159.15954916704084</v>
      </c>
      <c r="L95" s="8">
        <f t="shared" si="23"/>
        <v>0.28946629836142485</v>
      </c>
      <c r="M95" s="92">
        <v>263.51322300777957</v>
      </c>
      <c r="N95" s="91">
        <f t="shared" si="17"/>
        <v>0.17639831699901595</v>
      </c>
      <c r="O95" s="91"/>
      <c r="P95" s="86"/>
      <c r="Q95" s="91">
        <v>221.84088680489094</v>
      </c>
      <c r="R95" s="90">
        <f t="shared" si="18"/>
        <v>9.6388981924511487E-3</v>
      </c>
      <c r="S95" s="68"/>
      <c r="T95" s="75">
        <f t="shared" si="11"/>
        <v>1</v>
      </c>
      <c r="U95" s="75"/>
      <c r="V95" s="8"/>
      <c r="W95">
        <v>148.85721541557803</v>
      </c>
      <c r="X95">
        <f t="shared" si="19"/>
        <v>0.33545885975188383</v>
      </c>
    </row>
    <row r="96" spans="1:26" ht="15" thickBot="1" x14ac:dyDescent="0.4">
      <c r="A96" s="160" t="s">
        <v>13</v>
      </c>
      <c r="B96" s="161"/>
      <c r="C96" s="161"/>
      <c r="D96" s="161"/>
      <c r="E96" s="161"/>
      <c r="F96" s="161"/>
      <c r="G96" s="161"/>
      <c r="H96" s="161"/>
      <c r="I96" s="161"/>
      <c r="J96" s="162"/>
      <c r="K96" s="73"/>
      <c r="L96" s="74">
        <f>SUM(L70:L95)/26</f>
        <v>0.22569986065264955</v>
      </c>
      <c r="M96" s="92"/>
      <c r="N96" s="91">
        <f>SUM(N70:N95)/26</f>
        <v>8.6229242299889541E-2</v>
      </c>
      <c r="O96" s="91"/>
      <c r="P96" s="86"/>
      <c r="Q96" s="91"/>
      <c r="R96" s="91">
        <f>SUM(R70:R95)/26</f>
        <v>0.11053967829486393</v>
      </c>
      <c r="S96" s="73"/>
      <c r="T96" s="76">
        <f>SUM(T70:T94)/25</f>
        <v>0.13392297255881103</v>
      </c>
      <c r="U96" s="76"/>
      <c r="V96" s="74"/>
      <c r="X96">
        <f>SUM(X70:X95)/26</f>
        <v>0.22860021931284896</v>
      </c>
      <c r="Y96" s="42"/>
      <c r="Z96" s="42"/>
    </row>
    <row r="97" spans="1:26" x14ac:dyDescent="0.35">
      <c r="A97" s="26">
        <v>1</v>
      </c>
      <c r="B97" s="11">
        <v>0.96519999999999995</v>
      </c>
      <c r="C97" s="12">
        <v>3.4799999999999998E-2</v>
      </c>
      <c r="D97" s="6">
        <v>0.5</v>
      </c>
      <c r="E97" s="26">
        <f>0.5*B97</f>
        <v>0.48259999999999997</v>
      </c>
      <c r="F97" s="28">
        <f>0.5*C97</f>
        <v>1.7399999999999999E-2</v>
      </c>
      <c r="G97" s="11">
        <v>273.10000000000002</v>
      </c>
      <c r="H97" s="12">
        <v>1.22</v>
      </c>
      <c r="I97" s="21"/>
      <c r="J97" s="21"/>
      <c r="K97" s="68">
        <v>13.121008354894412</v>
      </c>
      <c r="L97" s="8">
        <f>ABS(K97-H97*10)/10/H97</f>
        <v>7.5492488106099431E-2</v>
      </c>
      <c r="M97" s="92">
        <v>15.211638610312583</v>
      </c>
      <c r="N97" s="91">
        <f t="shared" ref="N97:N105" si="24">ABS(M97-H97*10)/H97/10</f>
        <v>0.24685562379611342</v>
      </c>
      <c r="O97" s="91"/>
      <c r="P97" s="86"/>
      <c r="Q97" s="91"/>
      <c r="R97" s="91"/>
      <c r="S97" s="68">
        <v>15.217985083223496</v>
      </c>
      <c r="T97" s="75">
        <f t="shared" ref="T97:T105" si="25">ABS(S97-H97*10)/H97/10</f>
        <v>0.24737582649372927</v>
      </c>
      <c r="U97" s="75"/>
      <c r="V97" s="8"/>
      <c r="W97">
        <v>13.139616444742822</v>
      </c>
      <c r="X97">
        <f t="shared" ref="X97:X105" si="26">ABS(W97-H97*10)/H97/10</f>
        <v>7.7017741372362544E-2</v>
      </c>
    </row>
    <row r="98" spans="1:26" x14ac:dyDescent="0.35">
      <c r="A98" s="26">
        <v>2</v>
      </c>
      <c r="B98" s="11">
        <v>0.96519999999999995</v>
      </c>
      <c r="C98" s="12">
        <v>3.4799999999999998E-2</v>
      </c>
      <c r="D98" s="27">
        <v>0.5</v>
      </c>
      <c r="E98" s="26">
        <f t="shared" ref="E98:E105" si="27">0.5*B98</f>
        <v>0.48259999999999997</v>
      </c>
      <c r="F98" s="28">
        <f t="shared" ref="F98:F105" si="28">0.5*C98</f>
        <v>1.7399999999999999E-2</v>
      </c>
      <c r="G98" s="11">
        <v>274.60000000000002</v>
      </c>
      <c r="H98" s="12">
        <v>1.54</v>
      </c>
      <c r="I98" s="21"/>
      <c r="J98" s="21"/>
      <c r="K98" s="68">
        <v>15.456848443951014</v>
      </c>
      <c r="L98" s="8">
        <f t="shared" ref="L98:L105" si="29">ABS(K98-H98*10)/10/H98</f>
        <v>3.6914573994164478E-3</v>
      </c>
      <c r="M98" s="92">
        <v>17.402113088478686</v>
      </c>
      <c r="N98" s="91">
        <f t="shared" si="24"/>
        <v>0.13000734340770684</v>
      </c>
      <c r="O98" s="91"/>
      <c r="P98" s="86"/>
      <c r="Q98" s="91"/>
      <c r="R98" s="91"/>
      <c r="S98" s="68">
        <v>17.409594433651513</v>
      </c>
      <c r="T98" s="75">
        <f t="shared" si="25"/>
        <v>0.13049314504230602</v>
      </c>
      <c r="U98" s="75"/>
      <c r="V98" s="8"/>
      <c r="W98">
        <v>15.483871954352207</v>
      </c>
      <c r="X98">
        <f t="shared" si="26"/>
        <v>5.4462308020913246E-3</v>
      </c>
    </row>
    <row r="99" spans="1:26" x14ac:dyDescent="0.35">
      <c r="A99" s="26">
        <v>3</v>
      </c>
      <c r="B99" s="11">
        <v>0.96519999999999995</v>
      </c>
      <c r="C99" s="12">
        <v>3.4799999999999998E-2</v>
      </c>
      <c r="D99" s="27">
        <v>0.5</v>
      </c>
      <c r="E99" s="26">
        <f t="shared" si="27"/>
        <v>0.48259999999999997</v>
      </c>
      <c r="F99" s="28">
        <f t="shared" si="28"/>
        <v>1.7399999999999999E-2</v>
      </c>
      <c r="G99" s="11">
        <v>278.3</v>
      </c>
      <c r="H99" s="12">
        <v>2.42</v>
      </c>
      <c r="I99" s="21"/>
      <c r="J99" s="21"/>
      <c r="K99" s="68">
        <v>23.145332057121578</v>
      </c>
      <c r="L99" s="8">
        <f t="shared" si="29"/>
        <v>4.3581319953653753E-2</v>
      </c>
      <c r="M99" s="92">
        <v>24.181047894113885</v>
      </c>
      <c r="N99" s="91">
        <f t="shared" si="24"/>
        <v>7.831448713270506E-4</v>
      </c>
      <c r="O99" s="91"/>
      <c r="P99" s="86"/>
      <c r="Q99" s="91"/>
      <c r="R99" s="91"/>
      <c r="S99" s="68">
        <v>24.19225746360955</v>
      </c>
      <c r="T99" s="75">
        <f t="shared" si="25"/>
        <v>3.199395202664819E-4</v>
      </c>
      <c r="U99" s="75"/>
      <c r="V99" s="8"/>
      <c r="W99">
        <v>23.210915449882886</v>
      </c>
      <c r="X99">
        <f t="shared" si="26"/>
        <v>4.087126240153359E-2</v>
      </c>
    </row>
    <row r="100" spans="1:26" x14ac:dyDescent="0.35">
      <c r="A100" s="26">
        <v>4</v>
      </c>
      <c r="B100" s="11">
        <v>0.96519999999999995</v>
      </c>
      <c r="C100" s="12">
        <v>3.4799999999999998E-2</v>
      </c>
      <c r="D100" s="6">
        <f>0.5</f>
        <v>0.5</v>
      </c>
      <c r="E100" s="26">
        <f t="shared" si="27"/>
        <v>0.48259999999999997</v>
      </c>
      <c r="F100" s="28">
        <f t="shared" si="28"/>
        <v>1.7399999999999999E-2</v>
      </c>
      <c r="G100" s="11">
        <v>279.39999999999998</v>
      </c>
      <c r="H100" s="12">
        <v>2.89</v>
      </c>
      <c r="I100" s="21"/>
      <c r="J100" s="21"/>
      <c r="K100" s="68">
        <v>26.064691568620905</v>
      </c>
      <c r="L100" s="8">
        <f t="shared" si="29"/>
        <v>9.8107558179207507E-2</v>
      </c>
      <c r="M100" s="92">
        <v>26.630449334062391</v>
      </c>
      <c r="N100" s="91">
        <f t="shared" si="24"/>
        <v>7.8531164911336035E-2</v>
      </c>
      <c r="O100" s="91"/>
      <c r="P100" s="86"/>
      <c r="Q100" s="91"/>
      <c r="R100" s="91"/>
      <c r="S100" s="68">
        <v>26.643074419518427</v>
      </c>
      <c r="T100" s="75">
        <f t="shared" si="25"/>
        <v>7.8094310743307083E-2</v>
      </c>
      <c r="U100" s="75"/>
      <c r="V100" s="8"/>
      <c r="W100">
        <v>26.149227532425101</v>
      </c>
      <c r="X100">
        <f t="shared" si="26"/>
        <v>9.5182438324391036E-2</v>
      </c>
    </row>
    <row r="101" spans="1:26" x14ac:dyDescent="0.35">
      <c r="A101" s="26">
        <v>5</v>
      </c>
      <c r="B101" s="11">
        <v>0.96519999999999995</v>
      </c>
      <c r="C101" s="12">
        <v>3.4799999999999998E-2</v>
      </c>
      <c r="D101" s="27">
        <v>0.5</v>
      </c>
      <c r="E101" s="26">
        <f t="shared" si="27"/>
        <v>0.48259999999999997</v>
      </c>
      <c r="F101" s="28">
        <f t="shared" si="28"/>
        <v>1.7399999999999999E-2</v>
      </c>
      <c r="G101" s="11">
        <v>280.2</v>
      </c>
      <c r="H101" s="12">
        <v>2.95</v>
      </c>
      <c r="I101" s="21"/>
      <c r="J101" s="21"/>
      <c r="K101" s="68">
        <v>28.393803179581013</v>
      </c>
      <c r="L101" s="8">
        <f t="shared" si="29"/>
        <v>3.7498197302338533E-2</v>
      </c>
      <c r="M101" s="92">
        <v>28.549590885607866</v>
      </c>
      <c r="N101" s="91">
        <f t="shared" si="24"/>
        <v>3.2217258114987581E-2</v>
      </c>
      <c r="O101" s="91"/>
      <c r="P101" s="86"/>
      <c r="Q101" s="91"/>
      <c r="R101" s="91"/>
      <c r="S101" s="68">
        <v>28.563343897637573</v>
      </c>
      <c r="T101" s="75">
        <f t="shared" si="25"/>
        <v>3.1751054317370409E-2</v>
      </c>
      <c r="U101" s="75"/>
      <c r="V101" s="8"/>
      <c r="W101">
        <v>28.49508947725948</v>
      </c>
      <c r="X101">
        <f t="shared" si="26"/>
        <v>3.4064763482729486E-2</v>
      </c>
    </row>
    <row r="102" spans="1:26" x14ac:dyDescent="0.35">
      <c r="A102" s="26">
        <v>6</v>
      </c>
      <c r="B102" s="11">
        <v>0.90990000000000004</v>
      </c>
      <c r="C102" s="12">
        <f>1-B102</f>
        <v>9.0099999999999958E-2</v>
      </c>
      <c r="D102" s="27">
        <v>0.5</v>
      </c>
      <c r="E102" s="26">
        <f t="shared" si="27"/>
        <v>0.45495000000000002</v>
      </c>
      <c r="F102" s="28">
        <f t="shared" si="28"/>
        <v>4.5049999999999979E-2</v>
      </c>
      <c r="G102" s="11">
        <v>273.39999999999998</v>
      </c>
      <c r="H102" s="12">
        <v>1.37</v>
      </c>
      <c r="I102" s="21"/>
      <c r="J102" s="21"/>
      <c r="K102" s="68">
        <v>14.147845455231263</v>
      </c>
      <c r="L102" s="8">
        <f t="shared" si="29"/>
        <v>3.2689449286953401E-2</v>
      </c>
      <c r="M102" s="92">
        <v>16.559111813059388</v>
      </c>
      <c r="N102" s="91">
        <f t="shared" si="24"/>
        <v>0.20869429292404287</v>
      </c>
      <c r="O102" s="91"/>
      <c r="P102" s="86"/>
      <c r="Q102" s="91"/>
      <c r="R102" s="91"/>
      <c r="S102" s="68">
        <v>16.584286850848414</v>
      </c>
      <c r="T102" s="75">
        <f t="shared" si="25"/>
        <v>0.21053188692324185</v>
      </c>
      <c r="U102" s="75"/>
      <c r="V102" s="8"/>
      <c r="W102">
        <v>14.20101142931772</v>
      </c>
      <c r="X102">
        <f t="shared" si="26"/>
        <v>3.6570177322461254E-2</v>
      </c>
    </row>
    <row r="103" spans="1:26" x14ac:dyDescent="0.35">
      <c r="A103" s="26">
        <v>7</v>
      </c>
      <c r="B103" s="11">
        <v>0.90990000000000004</v>
      </c>
      <c r="C103" s="12">
        <f>1-B103</f>
        <v>9.0099999999999958E-2</v>
      </c>
      <c r="D103" s="6">
        <f>0.5</f>
        <v>0.5</v>
      </c>
      <c r="E103" s="26">
        <f t="shared" si="27"/>
        <v>0.45495000000000002</v>
      </c>
      <c r="F103" s="28">
        <f t="shared" si="28"/>
        <v>4.5049999999999979E-2</v>
      </c>
      <c r="G103" s="11">
        <v>274.10000000000002</v>
      </c>
      <c r="H103" s="12">
        <v>1.53</v>
      </c>
      <c r="I103" s="21"/>
      <c r="J103" s="21"/>
      <c r="K103" s="68">
        <v>15.265940943038784</v>
      </c>
      <c r="L103" s="8">
        <f t="shared" si="29"/>
        <v>2.2260821543279175E-3</v>
      </c>
      <c r="M103" s="92">
        <v>17.643455060267172</v>
      </c>
      <c r="N103" s="91">
        <f t="shared" si="24"/>
        <v>0.15316699740308309</v>
      </c>
      <c r="O103" s="91"/>
      <c r="P103" s="86"/>
      <c r="Q103" s="91"/>
      <c r="R103" s="91"/>
      <c r="S103" s="68">
        <v>17.67052754495786</v>
      </c>
      <c r="T103" s="75">
        <f t="shared" si="25"/>
        <v>0.1549364408469189</v>
      </c>
      <c r="U103" s="75"/>
      <c r="V103" s="8"/>
      <c r="W103">
        <v>15.328727532344278</v>
      </c>
      <c r="X103">
        <f t="shared" si="26"/>
        <v>1.8776164930900032E-3</v>
      </c>
    </row>
    <row r="104" spans="1:26" x14ac:dyDescent="0.35">
      <c r="A104" s="26">
        <v>8</v>
      </c>
      <c r="B104" s="11">
        <v>0.90990000000000004</v>
      </c>
      <c r="C104" s="12">
        <f>1-B104</f>
        <v>9.0099999999999958E-2</v>
      </c>
      <c r="D104" s="27">
        <v>0.5</v>
      </c>
      <c r="E104" s="26">
        <f t="shared" si="27"/>
        <v>0.45495000000000002</v>
      </c>
      <c r="F104" s="28">
        <f t="shared" si="28"/>
        <v>4.5049999999999979E-2</v>
      </c>
      <c r="G104" s="11">
        <v>276.7</v>
      </c>
      <c r="H104" s="12">
        <v>1.89</v>
      </c>
      <c r="I104" s="21"/>
      <c r="J104" s="21"/>
      <c r="K104" s="68">
        <v>20.248525224014468</v>
      </c>
      <c r="L104" s="8">
        <f t="shared" si="29"/>
        <v>7.1350540953146538E-2</v>
      </c>
      <c r="M104" s="92">
        <v>22.315024874826644</v>
      </c>
      <c r="N104" s="91">
        <f t="shared" si="24"/>
        <v>0.18068914681622467</v>
      </c>
      <c r="O104" s="91"/>
      <c r="P104" s="86"/>
      <c r="Q104" s="91"/>
      <c r="R104" s="91"/>
      <c r="S104" s="68">
        <v>22.35052986846863</v>
      </c>
      <c r="T104" s="75">
        <f t="shared" si="25"/>
        <v>0.18256771790839321</v>
      </c>
      <c r="U104" s="75"/>
      <c r="V104" s="8"/>
      <c r="W104">
        <v>20.36304314241282</v>
      </c>
      <c r="X104">
        <f t="shared" si="26"/>
        <v>7.7409690074752485E-2</v>
      </c>
    </row>
    <row r="105" spans="1:26" ht="15" thickBot="1" x14ac:dyDescent="0.4">
      <c r="A105" s="26">
        <v>9</v>
      </c>
      <c r="B105" s="11">
        <v>0.90990000000000004</v>
      </c>
      <c r="C105" s="12">
        <f>1-B105</f>
        <v>9.0099999999999958E-2</v>
      </c>
      <c r="D105" s="27">
        <v>0.5</v>
      </c>
      <c r="E105" s="26">
        <f t="shared" si="27"/>
        <v>0.45495000000000002</v>
      </c>
      <c r="F105" s="28">
        <f t="shared" si="28"/>
        <v>4.5049999999999979E-2</v>
      </c>
      <c r="G105" s="11">
        <v>279.10000000000002</v>
      </c>
      <c r="H105" s="12">
        <v>3.09</v>
      </c>
      <c r="I105" s="21"/>
      <c r="J105" s="21"/>
      <c r="K105" s="68">
        <v>26.228486428152618</v>
      </c>
      <c r="L105" s="8">
        <f t="shared" si="29"/>
        <v>0.15118166899182464</v>
      </c>
      <c r="M105" s="92">
        <v>27.669021396637969</v>
      </c>
      <c r="N105" s="91">
        <f t="shared" si="24"/>
        <v>0.10456241434828575</v>
      </c>
      <c r="O105" s="91"/>
      <c r="P105" s="86"/>
      <c r="Q105" s="91"/>
      <c r="R105" s="91"/>
      <c r="S105" s="68">
        <v>27.714677662825753</v>
      </c>
      <c r="T105" s="75">
        <f t="shared" si="25"/>
        <v>0.10308486528071992</v>
      </c>
      <c r="U105" s="75"/>
      <c r="V105" s="8"/>
      <c r="W105">
        <v>26.423239006967183</v>
      </c>
      <c r="X105">
        <f t="shared" si="26"/>
        <v>0.14487899653827882</v>
      </c>
    </row>
    <row r="106" spans="1:26" ht="15" thickBot="1" x14ac:dyDescent="0.4">
      <c r="A106" s="160" t="s">
        <v>14</v>
      </c>
      <c r="B106" s="161"/>
      <c r="C106" s="161"/>
      <c r="D106" s="161"/>
      <c r="E106" s="161"/>
      <c r="F106" s="161"/>
      <c r="G106" s="161"/>
      <c r="H106" s="161"/>
      <c r="I106" s="161"/>
      <c r="J106" s="162"/>
      <c r="K106" s="73"/>
      <c r="L106" s="74">
        <f>SUM(L97:L105)/9</f>
        <v>5.731319581410757E-2</v>
      </c>
      <c r="M106" s="92"/>
      <c r="N106" s="91">
        <f>SUM(N97:N105)/9</f>
        <v>0.12616748739923414</v>
      </c>
      <c r="O106" s="91"/>
      <c r="P106" s="86"/>
      <c r="Q106" s="91"/>
      <c r="R106" s="91"/>
      <c r="S106" s="73"/>
      <c r="T106" s="76">
        <f>SUM(T97:T105)/9</f>
        <v>0.12657279856402814</v>
      </c>
      <c r="U106" s="76"/>
      <c r="V106" s="74"/>
      <c r="X106">
        <f>SUM(X97:X105)/9</f>
        <v>5.7035435201298945E-2</v>
      </c>
      <c r="Y106" s="42"/>
      <c r="Z106" s="42"/>
    </row>
    <row r="107" spans="1:26" x14ac:dyDescent="0.35">
      <c r="A107" s="26">
        <v>1</v>
      </c>
      <c r="B107" s="11">
        <v>0.16</v>
      </c>
      <c r="C107" s="12">
        <v>0.84</v>
      </c>
      <c r="D107" s="27">
        <v>0.5</v>
      </c>
      <c r="E107" s="26">
        <f>0.5*B107</f>
        <v>0.08</v>
      </c>
      <c r="F107" s="28">
        <f>0.5*C107</f>
        <v>0.42</v>
      </c>
      <c r="G107" s="6">
        <v>273.39999999999998</v>
      </c>
      <c r="H107" s="14">
        <v>6.1</v>
      </c>
      <c r="I107" s="22">
        <v>0.66</v>
      </c>
      <c r="J107" s="21"/>
      <c r="K107" s="68">
        <v>55.707716326156032</v>
      </c>
      <c r="L107" s="8">
        <f>ABS(K107-H107*10)/H107/10</f>
        <v>8.6758748751540465E-2</v>
      </c>
      <c r="M107" s="92">
        <v>77.292852630219386</v>
      </c>
      <c r="N107" s="91">
        <f t="shared" ref="N107:N122" si="30">ABS(M107-H107*10)/H107/10</f>
        <v>0.26709594475769488</v>
      </c>
      <c r="O107" s="91">
        <v>0.59966123428314555</v>
      </c>
      <c r="P107" s="86">
        <f>ABS(O107-I107)/I107</f>
        <v>9.1422372298264359E-2</v>
      </c>
      <c r="Q107" s="91"/>
      <c r="R107" s="91"/>
      <c r="S107" s="68">
        <v>89.441997649573935</v>
      </c>
      <c r="T107" s="75">
        <f t="shared" ref="T107:T122" si="31">ABS(S107-H107*10)/H107/10</f>
        <v>0.46626225655039244</v>
      </c>
      <c r="U107" s="75"/>
      <c r="V107" s="8"/>
      <c r="W107">
        <v>53.600041837597828</v>
      </c>
      <c r="X107">
        <f t="shared" ref="X107:X122" si="32">ABS(W107-H107*10)/H107/10</f>
        <v>0.1213107895475766</v>
      </c>
    </row>
    <row r="108" spans="1:26" x14ac:dyDescent="0.35">
      <c r="A108" s="26">
        <v>2</v>
      </c>
      <c r="B108" s="11">
        <v>0.16</v>
      </c>
      <c r="C108" s="12">
        <v>0.84</v>
      </c>
      <c r="D108" s="27">
        <v>0.5</v>
      </c>
      <c r="E108" s="26">
        <f t="shared" ref="E108:E122" si="33">0.5*B108</f>
        <v>0.08</v>
      </c>
      <c r="F108" s="28">
        <f t="shared" ref="F108:F122" si="34">0.5*C108</f>
        <v>0.42</v>
      </c>
      <c r="G108" s="6">
        <v>274.5</v>
      </c>
      <c r="H108" s="14">
        <v>6.2</v>
      </c>
      <c r="I108" s="22">
        <v>0.66</v>
      </c>
      <c r="J108" s="21"/>
      <c r="K108" s="68">
        <v>63.359158109159146</v>
      </c>
      <c r="L108" s="8">
        <f t="shared" ref="L108:L122" si="35">ABS(K108-H108*10)/H108/10</f>
        <v>2.1921904986437847E-2</v>
      </c>
      <c r="M108" s="92">
        <v>87.701589346680109</v>
      </c>
      <c r="N108" s="91">
        <f t="shared" si="30"/>
        <v>0.41454176365613077</v>
      </c>
      <c r="O108" s="91">
        <v>0.58794411749283115</v>
      </c>
      <c r="P108" s="86">
        <f t="shared" ref="P108:P122" si="36">ABS(O108-I108)/I108</f>
        <v>0.10917557955631647</v>
      </c>
      <c r="Q108" s="91"/>
      <c r="R108" s="91"/>
      <c r="S108" s="68">
        <v>102.85093746003284</v>
      </c>
      <c r="T108" s="75">
        <f t="shared" si="31"/>
        <v>0.65888608806504578</v>
      </c>
      <c r="U108" s="75"/>
      <c r="V108" s="8"/>
      <c r="W108">
        <v>60.778767916994099</v>
      </c>
      <c r="X108">
        <f t="shared" si="32"/>
        <v>1.9697291661385504E-2</v>
      </c>
    </row>
    <row r="109" spans="1:26" x14ac:dyDescent="0.35">
      <c r="A109" s="26">
        <v>3</v>
      </c>
      <c r="B109" s="11">
        <v>0.19</v>
      </c>
      <c r="C109" s="12">
        <v>0.82</v>
      </c>
      <c r="D109" s="27">
        <v>0.5</v>
      </c>
      <c r="E109" s="26">
        <f t="shared" si="33"/>
        <v>9.5000000000000001E-2</v>
      </c>
      <c r="F109" s="28">
        <f t="shared" si="34"/>
        <v>0.41</v>
      </c>
      <c r="G109" s="6">
        <v>275.39999999999998</v>
      </c>
      <c r="H109" s="14">
        <v>6.4</v>
      </c>
      <c r="I109" s="22">
        <v>0.66</v>
      </c>
      <c r="J109" s="21"/>
      <c r="K109" s="68">
        <v>60.952288094437826</v>
      </c>
      <c r="L109" s="8">
        <f t="shared" si="35"/>
        <v>4.7620498524408972E-2</v>
      </c>
      <c r="M109" s="92">
        <v>85.305569873792166</v>
      </c>
      <c r="N109" s="91">
        <f t="shared" si="30"/>
        <v>0.33289952927800259</v>
      </c>
      <c r="O109" s="91">
        <v>0.63168010815082898</v>
      </c>
      <c r="P109" s="86">
        <f t="shared" si="36"/>
        <v>4.2908927044198561E-2</v>
      </c>
      <c r="Q109" s="91"/>
      <c r="R109" s="91"/>
      <c r="S109" s="68">
        <v>97.508392083633566</v>
      </c>
      <c r="T109" s="75">
        <f t="shared" si="31"/>
        <v>0.52356862630677448</v>
      </c>
      <c r="U109" s="75"/>
      <c r="V109" s="8"/>
      <c r="W109">
        <v>59.305199467482076</v>
      </c>
      <c r="X109">
        <f t="shared" si="32"/>
        <v>7.335625832059256E-2</v>
      </c>
    </row>
    <row r="110" spans="1:26" x14ac:dyDescent="0.35">
      <c r="A110" s="26">
        <v>4</v>
      </c>
      <c r="B110" s="11">
        <v>0.2</v>
      </c>
      <c r="C110" s="12">
        <v>0.8</v>
      </c>
      <c r="D110" s="27">
        <v>0.5</v>
      </c>
      <c r="E110" s="26">
        <f t="shared" si="33"/>
        <v>0.1</v>
      </c>
      <c r="F110" s="28">
        <f t="shared" si="34"/>
        <v>0.4</v>
      </c>
      <c r="G110" s="6">
        <v>276.5</v>
      </c>
      <c r="H110" s="14">
        <v>6.6</v>
      </c>
      <c r="I110" s="22">
        <v>0.57999999999999996</v>
      </c>
      <c r="J110" s="21"/>
      <c r="K110" s="68">
        <v>66.488194409952214</v>
      </c>
      <c r="L110" s="8">
        <f t="shared" si="35"/>
        <v>7.3968849992759765E-3</v>
      </c>
      <c r="M110" s="92">
        <v>93.304420284000045</v>
      </c>
      <c r="N110" s="91">
        <f t="shared" si="30"/>
        <v>0.4137033376363643</v>
      </c>
      <c r="O110" s="91">
        <v>0.63525949166617424</v>
      </c>
      <c r="P110" s="86">
        <f t="shared" si="36"/>
        <v>9.5274985631334963E-2</v>
      </c>
      <c r="Q110" s="91"/>
      <c r="R110" s="91"/>
      <c r="S110" s="68">
        <v>107.01513293859922</v>
      </c>
      <c r="T110" s="75">
        <f t="shared" si="31"/>
        <v>0.62144140816059434</v>
      </c>
      <c r="U110" s="75"/>
      <c r="V110" s="8"/>
      <c r="W110">
        <v>64.827955711982355</v>
      </c>
      <c r="X110">
        <f t="shared" si="32"/>
        <v>1.7758246788146137E-2</v>
      </c>
    </row>
    <row r="111" spans="1:26" x14ac:dyDescent="0.35">
      <c r="A111" s="26">
        <v>5</v>
      </c>
      <c r="B111" s="11">
        <v>0.25</v>
      </c>
      <c r="C111" s="12">
        <v>0.75</v>
      </c>
      <c r="D111" s="27">
        <v>0.5</v>
      </c>
      <c r="E111" s="26">
        <f t="shared" si="33"/>
        <v>0.125</v>
      </c>
      <c r="F111" s="28">
        <f t="shared" si="34"/>
        <v>0.375</v>
      </c>
      <c r="G111" s="6">
        <v>273.89999999999998</v>
      </c>
      <c r="H111" s="14">
        <v>5.9</v>
      </c>
      <c r="I111" s="22">
        <v>0.75</v>
      </c>
      <c r="J111" s="21"/>
      <c r="K111" s="68">
        <v>40.914206967123398</v>
      </c>
      <c r="L111" s="8">
        <f t="shared" si="35"/>
        <v>0.30653886496401017</v>
      </c>
      <c r="M111" s="92">
        <v>57.485764604933983</v>
      </c>
      <c r="N111" s="91">
        <f t="shared" si="30"/>
        <v>2.5665006696034175E-2</v>
      </c>
      <c r="O111" s="91">
        <v>0.72688321425018732</v>
      </c>
      <c r="P111" s="86">
        <f t="shared" si="36"/>
        <v>3.0822380999750248E-2</v>
      </c>
      <c r="Q111" s="91"/>
      <c r="R111" s="91"/>
      <c r="S111" s="68">
        <v>62.137913541970853</v>
      </c>
      <c r="T111" s="75">
        <f t="shared" si="31"/>
        <v>5.318497528764158E-2</v>
      </c>
      <c r="U111" s="75"/>
      <c r="V111" s="8"/>
      <c r="W111">
        <v>40.63470175088748</v>
      </c>
      <c r="X111">
        <f t="shared" si="32"/>
        <v>0.31127624151038169</v>
      </c>
    </row>
    <row r="112" spans="1:26" x14ac:dyDescent="0.35">
      <c r="A112" s="26">
        <v>6</v>
      </c>
      <c r="B112" s="11">
        <v>0.26</v>
      </c>
      <c r="C112" s="12">
        <v>0.75</v>
      </c>
      <c r="D112" s="27">
        <v>0.5</v>
      </c>
      <c r="E112" s="26">
        <f t="shared" si="33"/>
        <v>0.13</v>
      </c>
      <c r="F112" s="28">
        <f t="shared" si="34"/>
        <v>0.375</v>
      </c>
      <c r="G112" s="6">
        <v>274.7</v>
      </c>
      <c r="H112" s="14">
        <v>5.9</v>
      </c>
      <c r="I112" s="22">
        <v>0.73</v>
      </c>
      <c r="J112" s="21"/>
      <c r="K112" s="68">
        <v>43.324730135711285</v>
      </c>
      <c r="L112" s="8">
        <f t="shared" si="35"/>
        <v>0.26568254007269004</v>
      </c>
      <c r="M112" s="92">
        <v>60.668465508599247</v>
      </c>
      <c r="N112" s="91">
        <f t="shared" si="30"/>
        <v>2.8279076416936395E-2</v>
      </c>
      <c r="O112" s="91">
        <v>0.73173727959992607</v>
      </c>
      <c r="P112" s="86">
        <f t="shared" si="36"/>
        <v>2.3798350683919031E-3</v>
      </c>
      <c r="Q112" s="91"/>
      <c r="R112" s="91"/>
      <c r="S112" s="68">
        <v>65.491459493449071</v>
      </c>
      <c r="T112" s="75">
        <f t="shared" si="31"/>
        <v>0.11002473717710289</v>
      </c>
      <c r="U112" s="75"/>
      <c r="V112" s="8"/>
      <c r="W112">
        <v>43.110208354024081</v>
      </c>
      <c r="X112">
        <f t="shared" si="32"/>
        <v>0.26931850247416811</v>
      </c>
    </row>
    <row r="113" spans="1:26" x14ac:dyDescent="0.35">
      <c r="A113" s="26">
        <v>7</v>
      </c>
      <c r="B113" s="11">
        <v>0.26</v>
      </c>
      <c r="C113" s="12">
        <v>0.74</v>
      </c>
      <c r="D113" s="27">
        <v>0.5</v>
      </c>
      <c r="E113" s="26">
        <f t="shared" si="33"/>
        <v>0.13</v>
      </c>
      <c r="F113" s="28">
        <f t="shared" si="34"/>
        <v>0.37</v>
      </c>
      <c r="G113" s="6">
        <v>276</v>
      </c>
      <c r="H113" s="14">
        <v>5.9</v>
      </c>
      <c r="I113" s="22">
        <v>0.7</v>
      </c>
      <c r="J113" s="21"/>
      <c r="K113" s="68">
        <v>50.176716228570328</v>
      </c>
      <c r="L113" s="8">
        <f t="shared" si="35"/>
        <v>0.1495471825666046</v>
      </c>
      <c r="M113" s="92">
        <v>70.134428653807305</v>
      </c>
      <c r="N113" s="91">
        <f t="shared" si="30"/>
        <v>0.18871912972554755</v>
      </c>
      <c r="O113" s="91">
        <v>0.7208925090300714</v>
      </c>
      <c r="P113" s="86">
        <f t="shared" si="36"/>
        <v>2.9846441471530642E-2</v>
      </c>
      <c r="Q113" s="91"/>
      <c r="R113" s="91"/>
      <c r="S113" s="68">
        <v>76.252611774741908</v>
      </c>
      <c r="T113" s="75">
        <f t="shared" si="31"/>
        <v>0.29241714872443908</v>
      </c>
      <c r="U113" s="75"/>
      <c r="V113" s="8"/>
      <c r="W113">
        <v>49.908149562213005</v>
      </c>
      <c r="X113">
        <f t="shared" si="32"/>
        <v>0.15409915996249143</v>
      </c>
    </row>
    <row r="114" spans="1:26" x14ac:dyDescent="0.35">
      <c r="A114" s="26">
        <v>8</v>
      </c>
      <c r="B114" s="11">
        <v>0.27</v>
      </c>
      <c r="C114" s="12">
        <v>0.74</v>
      </c>
      <c r="D114" s="27">
        <v>0.5</v>
      </c>
      <c r="E114" s="26">
        <f t="shared" si="33"/>
        <v>0.13500000000000001</v>
      </c>
      <c r="F114" s="28">
        <f t="shared" si="34"/>
        <v>0.37</v>
      </c>
      <c r="G114" s="6">
        <v>276.89999999999998</v>
      </c>
      <c r="H114" s="14">
        <v>6</v>
      </c>
      <c r="I114" s="22">
        <v>0.7</v>
      </c>
      <c r="J114" s="21"/>
      <c r="K114" s="68">
        <v>53.894704568072449</v>
      </c>
      <c r="L114" s="8">
        <f t="shared" si="35"/>
        <v>0.10175492386545919</v>
      </c>
      <c r="M114" s="92">
        <v>75.182485925760503</v>
      </c>
      <c r="N114" s="91">
        <f t="shared" si="30"/>
        <v>0.25304143209600838</v>
      </c>
      <c r="O114" s="91">
        <v>0.72372617731943123</v>
      </c>
      <c r="P114" s="86">
        <f t="shared" si="36"/>
        <v>3.3894539027758963E-2</v>
      </c>
      <c r="Q114" s="91"/>
      <c r="R114" s="91"/>
      <c r="S114" s="68">
        <v>81.776017711532788</v>
      </c>
      <c r="T114" s="75">
        <f t="shared" si="31"/>
        <v>0.36293362852554645</v>
      </c>
      <c r="U114" s="75"/>
      <c r="V114" s="8"/>
      <c r="W114">
        <v>53.700985628678886</v>
      </c>
      <c r="X114">
        <f t="shared" si="32"/>
        <v>0.1049835728553519</v>
      </c>
    </row>
    <row r="115" spans="1:26" x14ac:dyDescent="0.35">
      <c r="A115" s="26">
        <v>9</v>
      </c>
      <c r="B115" s="11">
        <v>0.28999999999999998</v>
      </c>
      <c r="C115" s="12">
        <v>0.71</v>
      </c>
      <c r="D115" s="27">
        <v>0.5</v>
      </c>
      <c r="E115" s="26">
        <f t="shared" si="33"/>
        <v>0.14499999999999999</v>
      </c>
      <c r="F115" s="28">
        <f t="shared" si="34"/>
        <v>0.35499999999999998</v>
      </c>
      <c r="G115" s="6">
        <v>277.79999999999995</v>
      </c>
      <c r="H115" s="14">
        <v>6.3</v>
      </c>
      <c r="I115" s="22">
        <v>0.67</v>
      </c>
      <c r="J115" s="21"/>
      <c r="K115" s="68">
        <v>56.282411149742217</v>
      </c>
      <c r="L115" s="8">
        <f t="shared" si="35"/>
        <v>0.10662839444853625</v>
      </c>
      <c r="M115" s="92">
        <v>78.170069792544012</v>
      </c>
      <c r="N115" s="91">
        <f t="shared" si="30"/>
        <v>0.24079475861180971</v>
      </c>
      <c r="O115" s="91">
        <v>0.73632788885567857</v>
      </c>
      <c r="P115" s="86">
        <f t="shared" si="36"/>
        <v>9.899684903832616E-2</v>
      </c>
      <c r="Q115" s="91"/>
      <c r="R115" s="91"/>
      <c r="S115" s="68">
        <v>84.644194969381886</v>
      </c>
      <c r="T115" s="75">
        <f t="shared" si="31"/>
        <v>0.34355865030764898</v>
      </c>
      <c r="U115" s="75"/>
      <c r="V115" s="8"/>
      <c r="W115">
        <v>56.28754852289623</v>
      </c>
      <c r="X115">
        <f t="shared" si="32"/>
        <v>0.10654684884291699</v>
      </c>
    </row>
    <row r="116" spans="1:26" x14ac:dyDescent="0.35">
      <c r="A116" s="26">
        <v>10</v>
      </c>
      <c r="B116" s="11">
        <v>0.3</v>
      </c>
      <c r="C116" s="12">
        <v>0.71</v>
      </c>
      <c r="D116" s="27">
        <v>0.5</v>
      </c>
      <c r="E116" s="26">
        <f t="shared" si="33"/>
        <v>0.15</v>
      </c>
      <c r="F116" s="28">
        <f t="shared" si="34"/>
        <v>0.35499999999999998</v>
      </c>
      <c r="G116" s="6">
        <v>278.09999999999997</v>
      </c>
      <c r="H116" s="14">
        <v>6.4</v>
      </c>
      <c r="I116" s="22">
        <v>0.69</v>
      </c>
      <c r="J116" s="21"/>
      <c r="K116" s="68">
        <v>56.610635171017911</v>
      </c>
      <c r="L116" s="8">
        <f t="shared" si="35"/>
        <v>0.11545882545284514</v>
      </c>
      <c r="M116" s="92">
        <v>78.41127708692224</v>
      </c>
      <c r="N116" s="91">
        <f t="shared" si="30"/>
        <v>0.22517620448316</v>
      </c>
      <c r="O116" s="91">
        <v>0.74350547972362691</v>
      </c>
      <c r="P116" s="86">
        <f t="shared" si="36"/>
        <v>7.754417351250284E-2</v>
      </c>
      <c r="Q116" s="91"/>
      <c r="R116" s="91"/>
      <c r="S116" s="68">
        <v>84.647523097874029</v>
      </c>
      <c r="T116" s="75">
        <f t="shared" si="31"/>
        <v>0.3226175484042817</v>
      </c>
      <c r="U116" s="75"/>
      <c r="V116" s="8"/>
      <c r="W116">
        <v>56.71544577951493</v>
      </c>
      <c r="X116">
        <f t="shared" si="32"/>
        <v>0.11382115969507922</v>
      </c>
    </row>
    <row r="117" spans="1:26" x14ac:dyDescent="0.35">
      <c r="A117" s="26">
        <v>11</v>
      </c>
      <c r="B117" s="11">
        <v>0.3</v>
      </c>
      <c r="C117" s="12">
        <v>0.71</v>
      </c>
      <c r="D117" s="27">
        <v>0.5</v>
      </c>
      <c r="E117" s="26">
        <f t="shared" si="33"/>
        <v>0.15</v>
      </c>
      <c r="F117" s="28">
        <f t="shared" si="34"/>
        <v>0.35499999999999998</v>
      </c>
      <c r="G117" s="6">
        <v>278.39999999999998</v>
      </c>
      <c r="H117" s="14">
        <v>6.4</v>
      </c>
      <c r="I117" s="22">
        <v>0.72</v>
      </c>
      <c r="J117" s="21"/>
      <c r="K117" s="68">
        <v>58.626264246589919</v>
      </c>
      <c r="L117" s="8">
        <f t="shared" si="35"/>
        <v>8.3964621147032514E-2</v>
      </c>
      <c r="M117" s="92">
        <v>81.265154289992182</v>
      </c>
      <c r="N117" s="91">
        <f t="shared" si="30"/>
        <v>0.26976803578112785</v>
      </c>
      <c r="O117" s="91">
        <v>0.74051894927467321</v>
      </c>
      <c r="P117" s="86">
        <f t="shared" si="36"/>
        <v>2.8498540659268386E-2</v>
      </c>
      <c r="Q117" s="91"/>
      <c r="R117" s="91"/>
      <c r="S117" s="68">
        <v>87.932301355650935</v>
      </c>
      <c r="T117" s="75">
        <f t="shared" si="31"/>
        <v>0.37394220868204586</v>
      </c>
      <c r="U117" s="75"/>
      <c r="V117" s="8"/>
      <c r="W117">
        <v>58.730068802974152</v>
      </c>
      <c r="X117">
        <f t="shared" si="32"/>
        <v>8.2342674953528872E-2</v>
      </c>
    </row>
    <row r="118" spans="1:26" x14ac:dyDescent="0.35">
      <c r="A118" s="26">
        <v>12</v>
      </c>
      <c r="B118" s="11">
        <v>0.3</v>
      </c>
      <c r="C118" s="12">
        <v>0.7</v>
      </c>
      <c r="D118" s="27">
        <v>0.5</v>
      </c>
      <c r="E118" s="26">
        <f t="shared" si="33"/>
        <v>0.15</v>
      </c>
      <c r="F118" s="28">
        <f t="shared" si="34"/>
        <v>0.35</v>
      </c>
      <c r="G118" s="6">
        <v>278.59999999999997</v>
      </c>
      <c r="H118" s="14">
        <v>6.5</v>
      </c>
      <c r="I118" s="22">
        <v>0.7</v>
      </c>
      <c r="J118" s="21"/>
      <c r="K118" s="68">
        <v>60.017713998224636</v>
      </c>
      <c r="L118" s="8">
        <f t="shared" si="35"/>
        <v>7.6650553873467142E-2</v>
      </c>
      <c r="M118" s="92">
        <v>83.247015920056583</v>
      </c>
      <c r="N118" s="91">
        <f t="shared" si="30"/>
        <v>0.28072332184702437</v>
      </c>
      <c r="O118" s="91">
        <v>0.7384602925589443</v>
      </c>
      <c r="P118" s="86">
        <f t="shared" si="36"/>
        <v>5.4943275084206204E-2</v>
      </c>
      <c r="Q118" s="91"/>
      <c r="R118" s="91"/>
      <c r="S118" s="68">
        <v>90.227335089598213</v>
      </c>
      <c r="T118" s="75">
        <f t="shared" si="31"/>
        <v>0.3881128475322802</v>
      </c>
      <c r="U118" s="75"/>
      <c r="V118" s="8"/>
      <c r="W118">
        <v>60.11998546479478</v>
      </c>
      <c r="X118">
        <f t="shared" si="32"/>
        <v>7.5077146695464919E-2</v>
      </c>
    </row>
    <row r="119" spans="1:26" x14ac:dyDescent="0.35">
      <c r="A119" s="26">
        <v>13</v>
      </c>
      <c r="B119" s="11">
        <v>0.2</v>
      </c>
      <c r="C119" s="12">
        <v>0.8</v>
      </c>
      <c r="D119" s="27">
        <v>0.5</v>
      </c>
      <c r="E119" s="26">
        <f t="shared" si="33"/>
        <v>0.1</v>
      </c>
      <c r="F119" s="28">
        <f t="shared" si="34"/>
        <v>0.4</v>
      </c>
      <c r="G119" s="6">
        <v>275.39999999999998</v>
      </c>
      <c r="H119" s="14">
        <v>6.1</v>
      </c>
      <c r="I119" s="22">
        <v>0.67</v>
      </c>
      <c r="J119" s="21"/>
      <c r="K119" s="68">
        <v>58.3645024637623</v>
      </c>
      <c r="L119" s="8">
        <f t="shared" si="35"/>
        <v>4.3204877643240991E-2</v>
      </c>
      <c r="M119" s="92">
        <v>81.82697891104624</v>
      </c>
      <c r="N119" s="91">
        <f t="shared" si="30"/>
        <v>0.34142588378764327</v>
      </c>
      <c r="O119" s="91">
        <v>0.64762463996530761</v>
      </c>
      <c r="P119" s="86">
        <f t="shared" si="36"/>
        <v>3.3396059753272277E-2</v>
      </c>
      <c r="Q119" s="91"/>
      <c r="R119" s="91"/>
      <c r="S119" s="68">
        <v>92.569516399429162</v>
      </c>
      <c r="T119" s="75">
        <f t="shared" si="31"/>
        <v>0.51753305572834696</v>
      </c>
      <c r="U119" s="75"/>
      <c r="V119" s="8"/>
      <c r="W119">
        <v>57.037491327876843</v>
      </c>
      <c r="X119">
        <f t="shared" si="32"/>
        <v>6.4959158559396019E-2</v>
      </c>
    </row>
    <row r="120" spans="1:26" x14ac:dyDescent="0.35">
      <c r="A120" s="26">
        <v>14</v>
      </c>
      <c r="B120" s="11">
        <v>0.22</v>
      </c>
      <c r="C120" s="12">
        <v>0.78</v>
      </c>
      <c r="D120" s="27">
        <v>0.5</v>
      </c>
      <c r="E120" s="26">
        <f t="shared" si="33"/>
        <v>0.11</v>
      </c>
      <c r="F120" s="28">
        <f t="shared" si="34"/>
        <v>0.39</v>
      </c>
      <c r="G120" s="6">
        <v>276</v>
      </c>
      <c r="H120" s="14">
        <v>6.2</v>
      </c>
      <c r="I120" s="22">
        <v>0.65</v>
      </c>
      <c r="J120" s="21"/>
      <c r="K120" s="68">
        <v>57.752572179398747</v>
      </c>
      <c r="L120" s="8">
        <f t="shared" si="35"/>
        <v>6.850690033227827E-2</v>
      </c>
      <c r="M120" s="92">
        <v>81.071314133760353</v>
      </c>
      <c r="N120" s="91">
        <f t="shared" si="30"/>
        <v>0.30760184086710246</v>
      </c>
      <c r="O120" s="91">
        <v>0.67071955755412871</v>
      </c>
      <c r="P120" s="86">
        <f t="shared" si="36"/>
        <v>3.1876242390967209E-2</v>
      </c>
      <c r="Q120" s="91"/>
      <c r="R120" s="91"/>
      <c r="S120" s="68">
        <v>90.62037832200582</v>
      </c>
      <c r="T120" s="75">
        <f t="shared" si="31"/>
        <v>0.4616190051936423</v>
      </c>
      <c r="U120" s="75"/>
      <c r="V120" s="8"/>
      <c r="W120">
        <v>56.811602194646397</v>
      </c>
      <c r="X120">
        <f t="shared" si="32"/>
        <v>8.3683835570219384E-2</v>
      </c>
    </row>
    <row r="121" spans="1:26" x14ac:dyDescent="0.35">
      <c r="A121" s="26">
        <v>15</v>
      </c>
      <c r="B121" s="11">
        <v>0.56000000000000005</v>
      </c>
      <c r="C121" s="12">
        <v>0.44</v>
      </c>
      <c r="D121" s="27">
        <v>0.5</v>
      </c>
      <c r="E121" s="26">
        <f t="shared" si="33"/>
        <v>0.28000000000000003</v>
      </c>
      <c r="F121" s="28">
        <f t="shared" si="34"/>
        <v>0.22</v>
      </c>
      <c r="G121" s="6">
        <v>280.09999999999997</v>
      </c>
      <c r="H121" s="14">
        <v>5.3</v>
      </c>
      <c r="I121" s="22">
        <v>0.85</v>
      </c>
      <c r="J121" s="21"/>
      <c r="K121" s="68">
        <v>42.059041777070355</v>
      </c>
      <c r="L121" s="8">
        <f t="shared" si="35"/>
        <v>0.20643317401754047</v>
      </c>
      <c r="M121" s="92">
        <v>51.599304638008768</v>
      </c>
      <c r="N121" s="91">
        <f t="shared" si="30"/>
        <v>2.6428214377193067E-2</v>
      </c>
      <c r="O121" s="91">
        <v>0.89417744762535556</v>
      </c>
      <c r="P121" s="86">
        <f t="shared" si="36"/>
        <v>5.1973467794535981E-2</v>
      </c>
      <c r="Q121" s="91"/>
      <c r="R121" s="91"/>
      <c r="S121" s="68">
        <v>52.638454129968792</v>
      </c>
      <c r="T121" s="75">
        <f t="shared" si="31"/>
        <v>6.821620189268067E-3</v>
      </c>
      <c r="U121" s="75"/>
      <c r="V121" s="8"/>
      <c r="W121">
        <v>42.935388076115096</v>
      </c>
      <c r="X121">
        <f t="shared" si="32"/>
        <v>0.18989833818650764</v>
      </c>
    </row>
    <row r="122" spans="1:26" ht="15" thickBot="1" x14ac:dyDescent="0.4">
      <c r="A122" s="26">
        <v>16</v>
      </c>
      <c r="B122" s="11">
        <v>0.59</v>
      </c>
      <c r="C122" s="12">
        <v>0.42</v>
      </c>
      <c r="D122" s="27">
        <v>0.5</v>
      </c>
      <c r="E122" s="26">
        <f t="shared" si="33"/>
        <v>0.29499999999999998</v>
      </c>
      <c r="F122" s="28">
        <f t="shared" si="34"/>
        <v>0.21</v>
      </c>
      <c r="G122" s="6">
        <v>281.09999999999997</v>
      </c>
      <c r="H122" s="14">
        <v>5.6</v>
      </c>
      <c r="I122" s="22">
        <v>0.82</v>
      </c>
      <c r="J122" s="21"/>
      <c r="K122" s="68">
        <v>44.955776394700962</v>
      </c>
      <c r="L122" s="8">
        <f t="shared" si="35"/>
        <v>0.19721827866605426</v>
      </c>
      <c r="M122" s="92">
        <v>54.015464442290266</v>
      </c>
      <c r="N122" s="91">
        <f t="shared" si="30"/>
        <v>3.5438134959102391E-2</v>
      </c>
      <c r="O122" s="91">
        <v>0.90164510042432244</v>
      </c>
      <c r="P122" s="86">
        <f t="shared" si="36"/>
        <v>9.9567195639417683E-2</v>
      </c>
      <c r="Q122" s="91"/>
      <c r="R122" s="91"/>
      <c r="S122" s="68">
        <v>54.993300156180908</v>
      </c>
      <c r="T122" s="75">
        <f t="shared" si="31"/>
        <v>1.7976782925340933E-2</v>
      </c>
      <c r="U122" s="75"/>
      <c r="V122" s="8"/>
      <c r="W122">
        <v>45.959449746755475</v>
      </c>
      <c r="X122">
        <f t="shared" si="32"/>
        <v>0.1792955402365094</v>
      </c>
    </row>
    <row r="123" spans="1:26" ht="15" thickBot="1" x14ac:dyDescent="0.4">
      <c r="A123" s="160" t="s">
        <v>15</v>
      </c>
      <c r="B123" s="161"/>
      <c r="C123" s="161"/>
      <c r="D123" s="161"/>
      <c r="E123" s="161"/>
      <c r="F123" s="161"/>
      <c r="G123" s="161"/>
      <c r="H123" s="161"/>
      <c r="I123" s="161"/>
      <c r="J123" s="162"/>
      <c r="K123" s="73"/>
      <c r="L123" s="74">
        <f>SUM(L107:L122)/16</f>
        <v>0.11783044839446388</v>
      </c>
      <c r="M123" s="92"/>
      <c r="N123" s="91">
        <f>SUM(N107:N122)/16</f>
        <v>0.22820635093605512</v>
      </c>
      <c r="O123" s="91"/>
      <c r="P123" s="86">
        <f>SUM(P107:P122)/16</f>
        <v>5.7032554060627683E-2</v>
      </c>
      <c r="Q123" s="91"/>
      <c r="R123" s="91"/>
      <c r="S123" s="73"/>
      <c r="T123" s="76">
        <f>SUM(T107:T122)/16</f>
        <v>0.34505628673502448</v>
      </c>
      <c r="U123" s="76"/>
      <c r="V123" s="74"/>
      <c r="X123">
        <f>SUM(X107:X122)/16</f>
        <v>0.12296404786623225</v>
      </c>
      <c r="Y123" s="42"/>
      <c r="Z123" s="42"/>
    </row>
    <row r="124" spans="1:26" ht="14.15" customHeight="1" x14ac:dyDescent="0.35">
      <c r="A124" s="26">
        <v>1</v>
      </c>
      <c r="B124" s="11">
        <v>0.10100000000000001</v>
      </c>
      <c r="C124" s="12">
        <f>1-B124</f>
        <v>0.89900000000000002</v>
      </c>
      <c r="D124" s="6">
        <v>0.5</v>
      </c>
      <c r="E124" s="26">
        <f>0.5*B124</f>
        <v>5.0500000000000003E-2</v>
      </c>
      <c r="F124" s="28">
        <f>0.5*C124</f>
        <v>0.44950000000000001</v>
      </c>
      <c r="G124" s="11">
        <v>273.39999999999998</v>
      </c>
      <c r="H124" s="12">
        <v>12.02</v>
      </c>
      <c r="I124" s="21"/>
      <c r="J124" s="21"/>
      <c r="K124" s="68">
        <v>81.524279513399819</v>
      </c>
      <c r="L124" s="8">
        <f>ABS(K124-H124*10)/10/H124</f>
        <v>0.32176140171880341</v>
      </c>
      <c r="M124" s="92">
        <v>105.04613199518286</v>
      </c>
      <c r="N124" s="91">
        <f t="shared" ref="N124:N140" si="37">ABS(M124-H124*10)/H124/10</f>
        <v>0.12607211318483466</v>
      </c>
      <c r="O124" s="91"/>
      <c r="P124" s="86"/>
      <c r="Q124" s="91">
        <v>95.05220674433923</v>
      </c>
      <c r="R124" s="90">
        <f t="shared" ref="R124:R140" si="38">ABS(Q124-H124*10)/H124/10</f>
        <v>0.20921625004709452</v>
      </c>
      <c r="S124" s="68">
        <v>136.01439546349815</v>
      </c>
      <c r="T124" s="75">
        <f t="shared" ref="T124:T140" si="39">ABS(S124-H124*10)/H124/10</f>
        <v>0.13156734994590816</v>
      </c>
      <c r="U124" s="75"/>
      <c r="V124" s="8"/>
      <c r="W124">
        <v>74.024763638194074</v>
      </c>
      <c r="X124">
        <f t="shared" ref="X124:X140" si="40">ABS(W124-H124*10)/H124/10</f>
        <v>0.38415338071385957</v>
      </c>
    </row>
    <row r="125" spans="1:26" x14ac:dyDescent="0.35">
      <c r="A125" s="26">
        <v>2</v>
      </c>
      <c r="B125" s="11">
        <v>0.10100000000000001</v>
      </c>
      <c r="C125" s="12">
        <f t="shared" ref="C125:C140" si="41">1-B125</f>
        <v>0.89900000000000002</v>
      </c>
      <c r="D125" s="27">
        <v>0.5</v>
      </c>
      <c r="E125" s="26">
        <f t="shared" ref="E125:E140" si="42">0.5*B125</f>
        <v>5.0500000000000003E-2</v>
      </c>
      <c r="F125" s="28">
        <f t="shared" ref="F125:F140" si="43">0.5*C125</f>
        <v>0.44950000000000001</v>
      </c>
      <c r="G125" s="11">
        <v>274.5</v>
      </c>
      <c r="H125" s="12">
        <v>13.43</v>
      </c>
      <c r="I125" s="21"/>
      <c r="J125" s="21"/>
      <c r="K125" s="68">
        <v>93.756434585663627</v>
      </c>
      <c r="L125" s="8">
        <f t="shared" ref="L125:L140" si="44">ABS(K125-H125*10)/10/H125</f>
        <v>0.30188805222886367</v>
      </c>
      <c r="M125" s="92">
        <v>120.00951685128263</v>
      </c>
      <c r="N125" s="91">
        <f t="shared" si="37"/>
        <v>0.10640717162112723</v>
      </c>
      <c r="O125" s="91"/>
      <c r="P125" s="86"/>
      <c r="Q125" s="91">
        <v>110.07515759459008</v>
      </c>
      <c r="R125" s="90">
        <f t="shared" si="38"/>
        <v>0.18037857338354379</v>
      </c>
      <c r="S125" s="68">
        <v>160.37904637818082</v>
      </c>
      <c r="T125" s="75">
        <f t="shared" si="39"/>
        <v>0.19418500653894868</v>
      </c>
      <c r="U125" s="75"/>
      <c r="V125" s="8"/>
      <c r="W125">
        <v>84.339409415511042</v>
      </c>
      <c r="X125">
        <f t="shared" si="40"/>
        <v>0.37200737590833188</v>
      </c>
    </row>
    <row r="126" spans="1:26" x14ac:dyDescent="0.35">
      <c r="A126" s="26">
        <v>3</v>
      </c>
      <c r="B126" s="11">
        <v>0.10100000000000001</v>
      </c>
      <c r="C126" s="12">
        <f t="shared" si="41"/>
        <v>0.89900000000000002</v>
      </c>
      <c r="D126" s="6">
        <v>0.5</v>
      </c>
      <c r="E126" s="26">
        <f t="shared" si="42"/>
        <v>5.0500000000000003E-2</v>
      </c>
      <c r="F126" s="28">
        <f t="shared" si="43"/>
        <v>0.44950000000000001</v>
      </c>
      <c r="G126" s="11">
        <v>275.3</v>
      </c>
      <c r="H126" s="12">
        <v>14.71</v>
      </c>
      <c r="I126" s="21"/>
      <c r="J126" s="21"/>
      <c r="K126" s="68">
        <v>104.24963357533355</v>
      </c>
      <c r="L126" s="8">
        <f t="shared" si="44"/>
        <v>0.29130092742805219</v>
      </c>
      <c r="M126" s="92">
        <v>132.82596248787507</v>
      </c>
      <c r="N126" s="91">
        <f t="shared" si="37"/>
        <v>9.7036284922671301E-2</v>
      </c>
      <c r="O126" s="91"/>
      <c r="P126" s="86"/>
      <c r="Q126" s="91">
        <v>123.21673361782663</v>
      </c>
      <c r="R126" s="90">
        <f t="shared" si="38"/>
        <v>0.16236075038867021</v>
      </c>
      <c r="S126" s="68">
        <v>183.12877864324466</v>
      </c>
      <c r="T126" s="75">
        <f t="shared" si="39"/>
        <v>0.24492711518181259</v>
      </c>
      <c r="U126" s="75"/>
      <c r="V126" s="8"/>
      <c r="W126">
        <v>92.984603475203087</v>
      </c>
      <c r="X126">
        <f t="shared" si="40"/>
        <v>0.36788168949556038</v>
      </c>
    </row>
    <row r="127" spans="1:26" x14ac:dyDescent="0.35">
      <c r="A127" s="26">
        <v>4</v>
      </c>
      <c r="B127" s="11">
        <v>0.10100000000000001</v>
      </c>
      <c r="C127" s="12">
        <f t="shared" si="41"/>
        <v>0.89900000000000002</v>
      </c>
      <c r="D127" s="27">
        <v>0.5</v>
      </c>
      <c r="E127" s="26">
        <f t="shared" si="42"/>
        <v>5.0500000000000003E-2</v>
      </c>
      <c r="F127" s="28">
        <f t="shared" si="43"/>
        <v>0.44950000000000001</v>
      </c>
      <c r="G127" s="11">
        <v>275.8</v>
      </c>
      <c r="H127" s="12">
        <v>15.62</v>
      </c>
      <c r="I127" s="21"/>
      <c r="J127" s="21"/>
      <c r="K127" s="68">
        <v>111.66049060697183</v>
      </c>
      <c r="L127" s="8">
        <f t="shared" si="44"/>
        <v>0.28514410622937364</v>
      </c>
      <c r="M127" s="92">
        <v>141.86933499174171</v>
      </c>
      <c r="N127" s="91">
        <f t="shared" si="37"/>
        <v>9.1745614649540841E-2</v>
      </c>
      <c r="O127" s="91"/>
      <c r="P127" s="86"/>
      <c r="Q127" s="91">
        <v>132.65805144236637</v>
      </c>
      <c r="R127" s="90">
        <f t="shared" si="38"/>
        <v>0.15071670011289129</v>
      </c>
      <c r="S127" s="68">
        <v>200.48928412809917</v>
      </c>
      <c r="T127" s="75">
        <f t="shared" si="39"/>
        <v>0.28354215190844545</v>
      </c>
      <c r="U127" s="75"/>
      <c r="V127" s="8"/>
      <c r="W127">
        <v>98.971790244402541</v>
      </c>
      <c r="X127">
        <f t="shared" si="40"/>
        <v>0.36637778332648818</v>
      </c>
    </row>
    <row r="128" spans="1:26" x14ac:dyDescent="0.35">
      <c r="A128" s="26">
        <v>5</v>
      </c>
      <c r="B128" s="11">
        <v>0.10100000000000001</v>
      </c>
      <c r="C128" s="12">
        <f t="shared" si="41"/>
        <v>0.89900000000000002</v>
      </c>
      <c r="D128" s="6">
        <v>0.5</v>
      </c>
      <c r="E128" s="26">
        <f t="shared" si="42"/>
        <v>5.0500000000000003E-2</v>
      </c>
      <c r="F128" s="28">
        <f t="shared" si="43"/>
        <v>0.44950000000000001</v>
      </c>
      <c r="G128" s="11">
        <v>276.8</v>
      </c>
      <c r="H128" s="12">
        <v>17.53</v>
      </c>
      <c r="I128" s="21"/>
      <c r="J128" s="21"/>
      <c r="K128" s="68">
        <v>128.99573467809034</v>
      </c>
      <c r="L128" s="8">
        <f t="shared" si="44"/>
        <v>0.2641429852932668</v>
      </c>
      <c r="M128" s="92">
        <v>162.99836342802931</v>
      </c>
      <c r="N128" s="91">
        <f t="shared" si="37"/>
        <v>7.0174766525788385E-2</v>
      </c>
      <c r="O128" s="91"/>
      <c r="P128" s="86"/>
      <c r="Q128" s="91">
        <v>155.33747604004068</v>
      </c>
      <c r="R128" s="90">
        <f t="shared" si="38"/>
        <v>0.11387634888738921</v>
      </c>
      <c r="S128" s="68">
        <v>246.72289353403275</v>
      </c>
      <c r="T128" s="75">
        <f t="shared" si="39"/>
        <v>0.40743236471210914</v>
      </c>
      <c r="U128" s="75"/>
      <c r="V128" s="8"/>
      <c r="W128">
        <v>112.57479787789796</v>
      </c>
      <c r="X128">
        <f t="shared" si="40"/>
        <v>0.35781632699430715</v>
      </c>
    </row>
    <row r="129" spans="1:26" x14ac:dyDescent="0.35">
      <c r="A129" s="26">
        <v>6</v>
      </c>
      <c r="B129" s="11">
        <v>0.18</v>
      </c>
      <c r="C129" s="12">
        <f t="shared" si="41"/>
        <v>0.82000000000000006</v>
      </c>
      <c r="D129" s="27">
        <v>0.5</v>
      </c>
      <c r="E129" s="26">
        <f t="shared" si="42"/>
        <v>0.09</v>
      </c>
      <c r="F129" s="28">
        <f t="shared" si="43"/>
        <v>0.41000000000000003</v>
      </c>
      <c r="G129" s="11">
        <v>273.5</v>
      </c>
      <c r="H129" s="12">
        <v>7.24</v>
      </c>
      <c r="I129" s="21"/>
      <c r="J129" s="21"/>
      <c r="K129" s="68">
        <v>51.155528505886274</v>
      </c>
      <c r="L129" s="8">
        <f t="shared" si="44"/>
        <v>0.29343192671427804</v>
      </c>
      <c r="M129" s="92">
        <v>71.585788364649062</v>
      </c>
      <c r="N129" s="91">
        <f t="shared" si="37"/>
        <v>1.1246017062858337E-2</v>
      </c>
      <c r="O129" s="91"/>
      <c r="P129" s="86"/>
      <c r="Q129" s="91">
        <v>59.648229771612243</v>
      </c>
      <c r="R129" s="90">
        <f t="shared" si="38"/>
        <v>0.17612942304402984</v>
      </c>
      <c r="S129" s="68">
        <v>81.10329770625134</v>
      </c>
      <c r="T129" s="75">
        <f t="shared" si="39"/>
        <v>0.12021129428523943</v>
      </c>
      <c r="U129" s="75"/>
      <c r="V129" s="8"/>
      <c r="W129">
        <v>49.724301914832978</v>
      </c>
      <c r="X129">
        <f t="shared" si="40"/>
        <v>0.31320024979512467</v>
      </c>
    </row>
    <row r="130" spans="1:26" x14ac:dyDescent="0.35">
      <c r="A130" s="26">
        <v>7</v>
      </c>
      <c r="B130" s="11">
        <v>0.18</v>
      </c>
      <c r="C130" s="12">
        <f t="shared" si="41"/>
        <v>0.82000000000000006</v>
      </c>
      <c r="D130" s="6">
        <v>0.5</v>
      </c>
      <c r="E130" s="26">
        <f t="shared" si="42"/>
        <v>0.09</v>
      </c>
      <c r="F130" s="28">
        <f t="shared" si="43"/>
        <v>0.41000000000000003</v>
      </c>
      <c r="G130" s="11">
        <v>274.39999999999998</v>
      </c>
      <c r="H130" s="12">
        <v>8.23</v>
      </c>
      <c r="I130" s="21"/>
      <c r="J130" s="21"/>
      <c r="K130" s="68">
        <v>56.74268928175298</v>
      </c>
      <c r="L130" s="8">
        <f t="shared" si="44"/>
        <v>0.31053840483896755</v>
      </c>
      <c r="M130" s="92">
        <v>79.260152018729869</v>
      </c>
      <c r="N130" s="91">
        <f t="shared" si="37"/>
        <v>3.6936184462577668E-2</v>
      </c>
      <c r="O130" s="91"/>
      <c r="P130" s="86"/>
      <c r="Q130" s="91">
        <v>66.355768058690046</v>
      </c>
      <c r="R130" s="90">
        <f t="shared" si="38"/>
        <v>0.19373307340595342</v>
      </c>
      <c r="S130" s="68">
        <v>90.565860282725197</v>
      </c>
      <c r="T130" s="75">
        <f t="shared" si="39"/>
        <v>0.100435726400063</v>
      </c>
      <c r="U130" s="75"/>
      <c r="V130" s="8"/>
      <c r="W130">
        <v>55.06282356409212</v>
      </c>
      <c r="X130">
        <f t="shared" si="40"/>
        <v>0.33094989594055757</v>
      </c>
    </row>
    <row r="131" spans="1:26" x14ac:dyDescent="0.35">
      <c r="A131" s="26">
        <v>8</v>
      </c>
      <c r="B131" s="11">
        <v>0.18</v>
      </c>
      <c r="C131" s="12">
        <f t="shared" si="41"/>
        <v>0.82000000000000006</v>
      </c>
      <c r="D131" s="27">
        <v>0.5</v>
      </c>
      <c r="E131" s="26">
        <f t="shared" si="42"/>
        <v>0.09</v>
      </c>
      <c r="F131" s="28">
        <f t="shared" si="43"/>
        <v>0.41000000000000003</v>
      </c>
      <c r="G131" s="11">
        <v>275.5</v>
      </c>
      <c r="H131" s="12">
        <v>9.7200000000000006</v>
      </c>
      <c r="I131" s="21"/>
      <c r="J131" s="21"/>
      <c r="K131" s="68">
        <v>64.580826556649882</v>
      </c>
      <c r="L131" s="8">
        <f t="shared" si="44"/>
        <v>0.33558820414969259</v>
      </c>
      <c r="M131" s="92">
        <v>90.140514946169304</v>
      </c>
      <c r="N131" s="91">
        <f t="shared" si="37"/>
        <v>7.2628447055871376E-2</v>
      </c>
      <c r="O131" s="91"/>
      <c r="P131" s="86"/>
      <c r="Q131" s="91">
        <v>75.866384946282324</v>
      </c>
      <c r="R131" s="90">
        <f t="shared" si="38"/>
        <v>0.21948163635512014</v>
      </c>
      <c r="S131" s="68">
        <v>104.38749488695134</v>
      </c>
      <c r="T131" s="75">
        <f t="shared" si="39"/>
        <v>7.3945420647647545E-2</v>
      </c>
      <c r="U131" s="75"/>
      <c r="V131" s="8"/>
      <c r="W131">
        <v>62.505884766914214</v>
      </c>
      <c r="X131">
        <f t="shared" si="40"/>
        <v>0.35693534190417475</v>
      </c>
    </row>
    <row r="132" spans="1:26" x14ac:dyDescent="0.35">
      <c r="A132" s="26">
        <v>9</v>
      </c>
      <c r="B132" s="11">
        <v>0.18</v>
      </c>
      <c r="C132" s="12">
        <f t="shared" si="41"/>
        <v>0.82000000000000006</v>
      </c>
      <c r="D132" s="6">
        <v>0.5</v>
      </c>
      <c r="E132" s="26">
        <f t="shared" si="42"/>
        <v>0.09</v>
      </c>
      <c r="F132" s="28">
        <f t="shared" si="43"/>
        <v>0.41000000000000003</v>
      </c>
      <c r="G132" s="11">
        <v>276.3</v>
      </c>
      <c r="H132" s="12">
        <v>11.03</v>
      </c>
      <c r="I132" s="21"/>
      <c r="J132" s="21"/>
      <c r="K132" s="68">
        <v>71.119494401084523</v>
      </c>
      <c r="L132" s="8">
        <f t="shared" si="44"/>
        <v>0.35521763915607868</v>
      </c>
      <c r="M132" s="92">
        <v>99.339428043708736</v>
      </c>
      <c r="N132" s="91">
        <f t="shared" si="37"/>
        <v>9.9370552640899917E-2</v>
      </c>
      <c r="O132" s="91"/>
      <c r="P132" s="86"/>
      <c r="Q132" s="91">
        <v>83.901589342908437</v>
      </c>
      <c r="R132" s="90">
        <f t="shared" si="38"/>
        <v>0.23933282554026802</v>
      </c>
      <c r="S132" s="68">
        <v>116.51209056825704</v>
      </c>
      <c r="T132" s="75">
        <f t="shared" si="39"/>
        <v>5.6319950754823565E-2</v>
      </c>
      <c r="U132" s="75"/>
      <c r="V132" s="8"/>
      <c r="W132">
        <v>68.670038641655651</v>
      </c>
      <c r="X132">
        <f t="shared" si="40"/>
        <v>0.37742485365679374</v>
      </c>
    </row>
    <row r="133" spans="1:26" x14ac:dyDescent="0.35">
      <c r="A133" s="26">
        <v>10</v>
      </c>
      <c r="B133" s="11">
        <v>0.18</v>
      </c>
      <c r="C133" s="12">
        <f t="shared" si="41"/>
        <v>0.82000000000000006</v>
      </c>
      <c r="D133" s="27">
        <v>0.5</v>
      </c>
      <c r="E133" s="26">
        <f t="shared" si="42"/>
        <v>0.09</v>
      </c>
      <c r="F133" s="28">
        <f t="shared" si="43"/>
        <v>0.41000000000000003</v>
      </c>
      <c r="G133" s="11">
        <v>276.8</v>
      </c>
      <c r="H133" s="12">
        <v>11.84</v>
      </c>
      <c r="I133" s="21"/>
      <c r="J133" s="21"/>
      <c r="K133" s="68">
        <v>75.630735074770911</v>
      </c>
      <c r="L133" s="8">
        <f t="shared" si="44"/>
        <v>0.36122689970632677</v>
      </c>
      <c r="M133" s="92">
        <v>105.76117924766817</v>
      </c>
      <c r="N133" s="91">
        <f t="shared" si="37"/>
        <v>0.10674679689469457</v>
      </c>
      <c r="O133" s="91"/>
      <c r="P133" s="86"/>
      <c r="Q133" s="91">
        <v>89.505328313768246</v>
      </c>
      <c r="R133" s="90">
        <f t="shared" si="38"/>
        <v>0.24404283518776823</v>
      </c>
      <c r="S133" s="68">
        <v>125.25668192825506</v>
      </c>
      <c r="T133" s="75">
        <f t="shared" si="39"/>
        <v>5.7911164934586631E-2</v>
      </c>
      <c r="U133" s="75"/>
      <c r="V133" s="8"/>
      <c r="W133">
        <v>72.897229431871068</v>
      </c>
      <c r="X133">
        <f t="shared" si="40"/>
        <v>0.3843139406091971</v>
      </c>
    </row>
    <row r="134" spans="1:26" x14ac:dyDescent="0.35">
      <c r="A134" s="26">
        <v>11</v>
      </c>
      <c r="B134" s="11">
        <v>0.18</v>
      </c>
      <c r="C134" s="12">
        <f t="shared" si="41"/>
        <v>0.82000000000000006</v>
      </c>
      <c r="D134" s="6">
        <v>0.5</v>
      </c>
      <c r="E134" s="26">
        <f t="shared" si="42"/>
        <v>0.09</v>
      </c>
      <c r="F134" s="28">
        <f t="shared" si="43"/>
        <v>0.41000000000000003</v>
      </c>
      <c r="G134" s="11">
        <v>277.39999999999998</v>
      </c>
      <c r="H134" s="12">
        <v>12.91</v>
      </c>
      <c r="I134" s="21"/>
      <c r="J134" s="21"/>
      <c r="K134" s="68">
        <v>81.543220805110479</v>
      </c>
      <c r="L134" s="8">
        <f t="shared" si="44"/>
        <v>0.36837164364747876</v>
      </c>
      <c r="M134" s="92">
        <v>114.28194504982936</v>
      </c>
      <c r="N134" s="91">
        <f t="shared" si="37"/>
        <v>0.11477966653888949</v>
      </c>
      <c r="O134" s="91"/>
      <c r="P134" s="86"/>
      <c r="Q134" s="91">
        <v>96.931541584225826</v>
      </c>
      <c r="R134" s="90">
        <f t="shared" si="38"/>
        <v>0.24917473598585724</v>
      </c>
      <c r="S134" s="68">
        <v>137.2751382475945</v>
      </c>
      <c r="T134" s="75">
        <f t="shared" si="39"/>
        <v>6.3324076278811023E-2</v>
      </c>
      <c r="U134" s="75"/>
      <c r="V134" s="8"/>
      <c r="W134">
        <v>78.403617769893941</v>
      </c>
      <c r="X134">
        <f t="shared" si="40"/>
        <v>0.39269079961352482</v>
      </c>
    </row>
    <row r="135" spans="1:26" x14ac:dyDescent="0.35">
      <c r="A135" s="26">
        <v>12</v>
      </c>
      <c r="B135" s="11">
        <v>0.251</v>
      </c>
      <c r="C135" s="12">
        <f t="shared" si="41"/>
        <v>0.749</v>
      </c>
      <c r="D135" s="27">
        <v>0.5</v>
      </c>
      <c r="E135" s="26">
        <f t="shared" si="42"/>
        <v>0.1255</v>
      </c>
      <c r="F135" s="28">
        <f t="shared" si="43"/>
        <v>0.3745</v>
      </c>
      <c r="G135" s="11">
        <v>273.60000000000002</v>
      </c>
      <c r="H135" s="12">
        <v>5.28</v>
      </c>
      <c r="I135" s="21"/>
      <c r="J135" s="21"/>
      <c r="K135" s="68">
        <v>39.445471451943568</v>
      </c>
      <c r="L135" s="8">
        <f t="shared" si="44"/>
        <v>0.25292667704652344</v>
      </c>
      <c r="M135" s="92">
        <v>55.46853149749014</v>
      </c>
      <c r="N135" s="91">
        <f t="shared" si="37"/>
        <v>5.0540369270646514E-2</v>
      </c>
      <c r="O135" s="91"/>
      <c r="P135" s="86"/>
      <c r="Q135" s="91">
        <v>46.001414833034325</v>
      </c>
      <c r="R135" s="90">
        <f t="shared" si="38"/>
        <v>0.12876108270768333</v>
      </c>
      <c r="S135" s="68">
        <v>59.851559355041033</v>
      </c>
      <c r="T135" s="75">
        <f t="shared" si="39"/>
        <v>0.1335522605121407</v>
      </c>
      <c r="U135" s="75"/>
      <c r="V135" s="8"/>
      <c r="W135">
        <v>39.186134691049993</v>
      </c>
      <c r="X135">
        <f t="shared" si="40"/>
        <v>0.2578383581240532</v>
      </c>
    </row>
    <row r="136" spans="1:26" x14ac:dyDescent="0.35">
      <c r="A136" s="26">
        <v>13</v>
      </c>
      <c r="B136" s="11">
        <v>0.251</v>
      </c>
      <c r="C136" s="12">
        <f t="shared" si="41"/>
        <v>0.749</v>
      </c>
      <c r="D136" s="6">
        <v>0.5</v>
      </c>
      <c r="E136" s="26">
        <f t="shared" si="42"/>
        <v>0.1255</v>
      </c>
      <c r="F136" s="28">
        <f t="shared" si="43"/>
        <v>0.3745</v>
      </c>
      <c r="G136" s="11">
        <v>274.8</v>
      </c>
      <c r="H136" s="12">
        <v>6.42</v>
      </c>
      <c r="I136" s="21"/>
      <c r="J136" s="21"/>
      <c r="K136" s="68">
        <v>45.099269952303722</v>
      </c>
      <c r="L136" s="8">
        <f t="shared" si="44"/>
        <v>0.29751915962143743</v>
      </c>
      <c r="M136" s="92">
        <v>63.218186945814189</v>
      </c>
      <c r="N136" s="91">
        <f t="shared" si="37"/>
        <v>1.5293038227193361E-2</v>
      </c>
      <c r="O136" s="91"/>
      <c r="P136" s="86"/>
      <c r="Q136" s="91">
        <v>52.734973351785953</v>
      </c>
      <c r="R136" s="90">
        <f t="shared" si="38"/>
        <v>0.17858296959834968</v>
      </c>
      <c r="S136" s="68">
        <v>68.595660033839494</v>
      </c>
      <c r="T136" s="75">
        <f t="shared" si="39"/>
        <v>6.8468224826160301E-2</v>
      </c>
      <c r="U136" s="75"/>
      <c r="V136" s="8"/>
      <c r="W136">
        <v>44.789886221057394</v>
      </c>
      <c r="X136">
        <f t="shared" si="40"/>
        <v>0.30233822085580386</v>
      </c>
    </row>
    <row r="137" spans="1:26" x14ac:dyDescent="0.35">
      <c r="A137" s="26">
        <v>14</v>
      </c>
      <c r="B137" s="11">
        <v>0.251</v>
      </c>
      <c r="C137" s="12">
        <f t="shared" si="41"/>
        <v>0.749</v>
      </c>
      <c r="D137" s="27">
        <v>0.5</v>
      </c>
      <c r="E137" s="26">
        <f t="shared" si="42"/>
        <v>0.1255</v>
      </c>
      <c r="F137" s="28">
        <f t="shared" si="43"/>
        <v>0.3745</v>
      </c>
      <c r="G137" s="11">
        <v>275.89999999999998</v>
      </c>
      <c r="H137" s="12">
        <v>7.29</v>
      </c>
      <c r="I137" s="21"/>
      <c r="J137" s="21"/>
      <c r="K137" s="68">
        <v>51.089797328824609</v>
      </c>
      <c r="L137" s="8">
        <f t="shared" si="44"/>
        <v>0.29917973485837307</v>
      </c>
      <c r="M137" s="92">
        <v>71.521389482219732</v>
      </c>
      <c r="N137" s="91">
        <f t="shared" si="37"/>
        <v>1.891098103950993E-2</v>
      </c>
      <c r="O137" s="91"/>
      <c r="P137" s="86"/>
      <c r="Q137" s="91">
        <v>59.930108282351561</v>
      </c>
      <c r="R137" s="90">
        <f t="shared" si="38"/>
        <v>0.17791346663440938</v>
      </c>
      <c r="S137" s="68">
        <v>78.120215874483279</v>
      </c>
      <c r="T137" s="75">
        <f t="shared" si="39"/>
        <v>7.1607899512802095E-2</v>
      </c>
      <c r="U137" s="75"/>
      <c r="V137" s="8"/>
      <c r="W137">
        <v>50.713405244019555</v>
      </c>
      <c r="X137">
        <f t="shared" si="40"/>
        <v>0.30434286359369617</v>
      </c>
    </row>
    <row r="138" spans="1:26" x14ac:dyDescent="0.35">
      <c r="A138" s="26">
        <v>15</v>
      </c>
      <c r="B138" s="11">
        <v>0.251</v>
      </c>
      <c r="C138" s="12">
        <f t="shared" si="41"/>
        <v>0.749</v>
      </c>
      <c r="D138" s="6">
        <v>0.5</v>
      </c>
      <c r="E138" s="26">
        <f t="shared" si="42"/>
        <v>0.1255</v>
      </c>
      <c r="F138" s="28">
        <f t="shared" si="43"/>
        <v>0.3745</v>
      </c>
      <c r="G138" s="11">
        <v>276.8</v>
      </c>
      <c r="H138" s="12">
        <v>8.43</v>
      </c>
      <c r="I138" s="21"/>
      <c r="J138" s="21"/>
      <c r="K138" s="68">
        <v>56.678786057305359</v>
      </c>
      <c r="L138" s="8">
        <f t="shared" si="44"/>
        <v>0.32765378342461021</v>
      </c>
      <c r="M138" s="92">
        <v>79.374332681637156</v>
      </c>
      <c r="N138" s="91">
        <f t="shared" si="37"/>
        <v>5.8430217299677831E-2</v>
      </c>
      <c r="O138" s="91"/>
      <c r="P138" s="86"/>
      <c r="Q138" s="91">
        <v>66.706609419738967</v>
      </c>
      <c r="R138" s="90">
        <f t="shared" si="38"/>
        <v>0.20869976963536216</v>
      </c>
      <c r="S138" s="68">
        <v>87.301314598465993</v>
      </c>
      <c r="T138" s="75">
        <f t="shared" si="39"/>
        <v>3.5602782899952501E-2</v>
      </c>
      <c r="U138" s="75"/>
      <c r="V138" s="8"/>
      <c r="W138">
        <v>56.224781484248894</v>
      </c>
      <c r="X138">
        <f t="shared" si="40"/>
        <v>0.33303936554864894</v>
      </c>
    </row>
    <row r="139" spans="1:26" x14ac:dyDescent="0.35">
      <c r="A139" s="26">
        <v>16</v>
      </c>
      <c r="B139" s="11">
        <v>0.251</v>
      </c>
      <c r="C139" s="12">
        <f t="shared" si="41"/>
        <v>0.749</v>
      </c>
      <c r="D139" s="27">
        <v>0.5</v>
      </c>
      <c r="E139" s="26">
        <f t="shared" si="42"/>
        <v>0.1255</v>
      </c>
      <c r="F139" s="28">
        <f t="shared" si="43"/>
        <v>0.3745</v>
      </c>
      <c r="G139" s="11">
        <v>277.60000000000002</v>
      </c>
      <c r="H139" s="12">
        <v>9.39</v>
      </c>
      <c r="I139" s="21"/>
      <c r="J139" s="21"/>
      <c r="K139" s="68">
        <v>62.262605083584894</v>
      </c>
      <c r="L139" s="8">
        <f t="shared" si="44"/>
        <v>0.33692646343360072</v>
      </c>
      <c r="M139" s="92">
        <v>87.342812118320694</v>
      </c>
      <c r="N139" s="91">
        <f t="shared" si="37"/>
        <v>6.983160683364549E-2</v>
      </c>
      <c r="O139" s="91"/>
      <c r="P139" s="86"/>
      <c r="Q139" s="91">
        <v>73.546208719260889</v>
      </c>
      <c r="R139" s="90">
        <f t="shared" si="38"/>
        <v>0.21676029052970303</v>
      </c>
      <c r="S139" s="68">
        <v>96.81903728362397</v>
      </c>
      <c r="T139" s="75">
        <f t="shared" si="39"/>
        <v>3.1086659037528906E-2</v>
      </c>
      <c r="U139" s="75"/>
      <c r="V139" s="8"/>
      <c r="W139">
        <v>61.714568740165852</v>
      </c>
      <c r="X139">
        <f t="shared" si="40"/>
        <v>0.3427628462176161</v>
      </c>
    </row>
    <row r="140" spans="1:26" ht="15" thickBot="1" x14ac:dyDescent="0.4">
      <c r="A140" s="26">
        <v>17</v>
      </c>
      <c r="B140" s="11">
        <v>0.251</v>
      </c>
      <c r="C140" s="12">
        <f t="shared" si="41"/>
        <v>0.749</v>
      </c>
      <c r="D140" s="6">
        <v>0.5</v>
      </c>
      <c r="E140" s="26">
        <f t="shared" si="42"/>
        <v>0.1255</v>
      </c>
      <c r="F140" s="28">
        <f t="shared" si="43"/>
        <v>0.3745</v>
      </c>
      <c r="G140" s="11">
        <v>278.39999999999998</v>
      </c>
      <c r="H140" s="12">
        <v>10.43</v>
      </c>
      <c r="I140" s="21"/>
      <c r="J140" s="21"/>
      <c r="K140" s="68">
        <v>68.530329901132333</v>
      </c>
      <c r="L140" s="8">
        <f t="shared" si="44"/>
        <v>0.3429498571320006</v>
      </c>
      <c r="M140" s="92">
        <v>96.459428704309204</v>
      </c>
      <c r="N140" s="91">
        <f t="shared" si="37"/>
        <v>7.5173262662423718E-2</v>
      </c>
      <c r="O140" s="91"/>
      <c r="P140" s="86"/>
      <c r="Q140" s="91">
        <v>81.316983139558801</v>
      </c>
      <c r="R140" s="90">
        <f t="shared" si="38"/>
        <v>0.22035490757853499</v>
      </c>
      <c r="S140" s="68">
        <v>108.00306702465417</v>
      </c>
      <c r="T140" s="75">
        <f t="shared" si="39"/>
        <v>3.550399831883197E-2</v>
      </c>
      <c r="U140" s="75"/>
      <c r="V140" s="8"/>
      <c r="W140">
        <v>67.854763522360159</v>
      </c>
      <c r="X140">
        <f t="shared" si="40"/>
        <v>0.34942700362070794</v>
      </c>
    </row>
    <row r="141" spans="1:26" ht="15" thickBot="1" x14ac:dyDescent="0.4">
      <c r="A141" s="160" t="s">
        <v>16</v>
      </c>
      <c r="B141" s="161"/>
      <c r="C141" s="161"/>
      <c r="D141" s="161"/>
      <c r="E141" s="161"/>
      <c r="F141" s="161"/>
      <c r="G141" s="161"/>
      <c r="H141" s="161"/>
      <c r="I141" s="161"/>
      <c r="J141" s="162"/>
      <c r="K141" s="73"/>
      <c r="L141" s="74">
        <f>SUM(L124:L140)/17</f>
        <v>0.31445693333104285</v>
      </c>
      <c r="M141" s="92"/>
      <c r="N141" s="91">
        <f>SUM(N124:N140)/17</f>
        <v>7.1842534758402965E-2</v>
      </c>
      <c r="O141" s="91"/>
      <c r="P141" s="86"/>
      <c r="Q141" s="91"/>
      <c r="R141" s="91">
        <f>SUM(R124:R140)/17</f>
        <v>0.19232444935427226</v>
      </c>
      <c r="S141" s="73"/>
      <c r="T141" s="76">
        <f>SUM(T124:T140)/17</f>
        <v>0.12409549686445948</v>
      </c>
      <c r="U141" s="76"/>
      <c r="V141" s="74"/>
      <c r="X141">
        <f>SUM(X124:X140)/17</f>
        <v>0.34667648799520268</v>
      </c>
      <c r="Y141" s="42"/>
      <c r="Z141" s="42"/>
    </row>
    <row r="142" spans="1:26" x14ac:dyDescent="0.35">
      <c r="A142" s="26">
        <v>1</v>
      </c>
      <c r="B142" s="11">
        <v>0.5</v>
      </c>
      <c r="C142" s="12">
        <f t="shared" ref="C142:C149" si="45">1-B142</f>
        <v>0.5</v>
      </c>
      <c r="D142" s="27">
        <v>0.5</v>
      </c>
      <c r="E142" s="26">
        <f>0.5*B142</f>
        <v>0.25</v>
      </c>
      <c r="F142" s="28">
        <f>0.5*C142</f>
        <v>0.25</v>
      </c>
      <c r="G142" s="11">
        <v>273.2</v>
      </c>
      <c r="H142" s="12">
        <v>3.07</v>
      </c>
      <c r="I142" s="21"/>
      <c r="J142" s="21"/>
      <c r="K142" s="68">
        <v>22.734982256830872</v>
      </c>
      <c r="L142" s="8">
        <f>ABS(K142-H142*10)/H142/10</f>
        <v>0.25944683202505303</v>
      </c>
      <c r="M142" s="92">
        <v>28.856602295827354</v>
      </c>
      <c r="N142" s="91">
        <f t="shared" ref="N142:N149" si="46">ABS(M142-H142*10)/H142/10</f>
        <v>6.0045527823213193E-2</v>
      </c>
      <c r="O142" s="91"/>
      <c r="P142" s="86"/>
      <c r="Q142" s="91"/>
      <c r="R142" s="91"/>
      <c r="S142" s="68">
        <v>29.951448950136612</v>
      </c>
      <c r="T142" s="75">
        <f t="shared" ref="T142:T149" si="47">ABS(S142-H142*10)/H142/10</f>
        <v>2.4382770353856262E-2</v>
      </c>
      <c r="U142" s="75"/>
      <c r="V142" s="8"/>
      <c r="X142">
        <f t="shared" ref="X142:X149" si="48">ABS(W142-H142*10)/H142/10</f>
        <v>1</v>
      </c>
    </row>
    <row r="143" spans="1:26" x14ac:dyDescent="0.35">
      <c r="A143" s="26">
        <v>2</v>
      </c>
      <c r="B143" s="11">
        <v>0.5</v>
      </c>
      <c r="C143" s="12">
        <f t="shared" si="45"/>
        <v>0.5</v>
      </c>
      <c r="D143" s="27">
        <v>0.5</v>
      </c>
      <c r="E143" s="26">
        <f t="shared" ref="E143:E149" si="49">0.5*B143</f>
        <v>0.25</v>
      </c>
      <c r="F143" s="28">
        <f t="shared" ref="F143:F149" si="50">0.5*C143</f>
        <v>0.25</v>
      </c>
      <c r="G143" s="11">
        <v>279.5</v>
      </c>
      <c r="H143" s="12">
        <v>4.8</v>
      </c>
      <c r="I143" s="21"/>
      <c r="J143" s="21"/>
      <c r="K143" s="68">
        <v>42.507351394947491</v>
      </c>
      <c r="L143" s="8">
        <f t="shared" ref="L143:L149" si="51">ABS(K143-H143*10)/H143/10</f>
        <v>0.11443017927192727</v>
      </c>
      <c r="M143" s="92">
        <v>54.709001989577153</v>
      </c>
      <c r="N143" s="91">
        <f t="shared" si="46"/>
        <v>0.13977087478285738</v>
      </c>
      <c r="O143" s="91"/>
      <c r="P143" s="86"/>
      <c r="Q143" s="91"/>
      <c r="R143" s="91"/>
      <c r="S143" s="68">
        <v>56.785244436408071</v>
      </c>
      <c r="T143" s="75">
        <f t="shared" si="47"/>
        <v>0.18302592575850149</v>
      </c>
      <c r="U143" s="75"/>
      <c r="V143" s="8"/>
      <c r="X143">
        <f t="shared" si="48"/>
        <v>1</v>
      </c>
    </row>
    <row r="144" spans="1:26" x14ac:dyDescent="0.35">
      <c r="A144" s="26">
        <v>3</v>
      </c>
      <c r="B144" s="11">
        <v>0.5</v>
      </c>
      <c r="C144" s="12">
        <f t="shared" si="45"/>
        <v>0.5</v>
      </c>
      <c r="D144" s="27">
        <v>0.5</v>
      </c>
      <c r="E144" s="26">
        <f t="shared" si="49"/>
        <v>0.25</v>
      </c>
      <c r="F144" s="28">
        <f t="shared" si="50"/>
        <v>0.25</v>
      </c>
      <c r="G144" s="11">
        <v>283.8</v>
      </c>
      <c r="H144" s="12">
        <v>7.58</v>
      </c>
      <c r="I144" s="21"/>
      <c r="J144" s="21"/>
      <c r="K144" s="68">
        <v>67.333876405193593</v>
      </c>
      <c r="L144" s="8">
        <f t="shared" si="51"/>
        <v>0.11169028489190506</v>
      </c>
      <c r="M144" s="92">
        <v>89.137856377092589</v>
      </c>
      <c r="N144" s="91">
        <f t="shared" si="46"/>
        <v>0.1759611659247044</v>
      </c>
      <c r="O144" s="91"/>
      <c r="P144" s="86"/>
      <c r="Q144" s="91"/>
      <c r="R144" s="91"/>
      <c r="S144" s="68">
        <v>92.674176398666688</v>
      </c>
      <c r="T144" s="75">
        <f t="shared" si="47"/>
        <v>0.22261446436235741</v>
      </c>
      <c r="U144" s="75"/>
      <c r="V144" s="8"/>
      <c r="X144">
        <f t="shared" si="48"/>
        <v>1</v>
      </c>
    </row>
    <row r="145" spans="1:26" x14ac:dyDescent="0.35">
      <c r="A145" s="26">
        <v>4</v>
      </c>
      <c r="B145" s="11">
        <v>0.5</v>
      </c>
      <c r="C145" s="12">
        <f t="shared" si="45"/>
        <v>0.5</v>
      </c>
      <c r="D145" s="27">
        <v>0.5</v>
      </c>
      <c r="E145" s="26">
        <f t="shared" si="49"/>
        <v>0.25</v>
      </c>
      <c r="F145" s="28">
        <f t="shared" si="50"/>
        <v>0.25</v>
      </c>
      <c r="G145" s="11">
        <v>284.39999999999998</v>
      </c>
      <c r="H145" s="12">
        <v>9.4499999999999993</v>
      </c>
      <c r="I145" s="21"/>
      <c r="J145" s="21"/>
      <c r="K145" s="68">
        <v>72.122916508405368</v>
      </c>
      <c r="L145" s="8">
        <f t="shared" si="51"/>
        <v>0.23679453430258871</v>
      </c>
      <c r="M145" s="92">
        <v>96.226843017601468</v>
      </c>
      <c r="N145" s="91">
        <f t="shared" si="46"/>
        <v>1.8273471085729819E-2</v>
      </c>
      <c r="O145" s="91"/>
      <c r="P145" s="86"/>
      <c r="Q145" s="91"/>
      <c r="R145" s="91"/>
      <c r="S145" s="68">
        <v>100.11303428114057</v>
      </c>
      <c r="T145" s="75">
        <f t="shared" si="47"/>
        <v>5.9397188160217683E-2</v>
      </c>
      <c r="U145" s="75"/>
      <c r="V145" s="8"/>
      <c r="X145">
        <f t="shared" si="48"/>
        <v>1</v>
      </c>
    </row>
    <row r="146" spans="1:26" x14ac:dyDescent="0.35">
      <c r="A146" s="26">
        <v>5</v>
      </c>
      <c r="B146" s="11">
        <v>0.1</v>
      </c>
      <c r="C146" s="12">
        <f t="shared" si="45"/>
        <v>0.9</v>
      </c>
      <c r="D146" s="27">
        <v>0.5</v>
      </c>
      <c r="E146" s="26">
        <f t="shared" si="49"/>
        <v>0.05</v>
      </c>
      <c r="F146" s="28">
        <f t="shared" si="50"/>
        <v>0.45</v>
      </c>
      <c r="G146" s="11">
        <v>273.7</v>
      </c>
      <c r="H146" s="12">
        <v>4.88</v>
      </c>
      <c r="I146" s="21"/>
      <c r="J146" s="21"/>
      <c r="K146" s="68">
        <v>93.625780283345847</v>
      </c>
      <c r="L146" s="8">
        <f t="shared" si="51"/>
        <v>0.91856107138003795</v>
      </c>
      <c r="M146" s="92">
        <v>109.51569412586373</v>
      </c>
      <c r="N146" s="91">
        <f t="shared" si="46"/>
        <v>1.2441740599562241</v>
      </c>
      <c r="O146" s="91"/>
      <c r="P146" s="86"/>
      <c r="Q146" s="91"/>
      <c r="R146" s="91"/>
      <c r="S146" s="68">
        <v>106.22602979561546</v>
      </c>
      <c r="T146" s="75">
        <f t="shared" si="47"/>
        <v>1.1767629056478579</v>
      </c>
      <c r="U146" s="75"/>
      <c r="V146" s="8"/>
      <c r="X146">
        <f t="shared" si="48"/>
        <v>1</v>
      </c>
    </row>
    <row r="147" spans="1:26" x14ac:dyDescent="0.35">
      <c r="A147" s="26">
        <v>6</v>
      </c>
      <c r="B147" s="11">
        <v>0.1</v>
      </c>
      <c r="C147" s="12">
        <f t="shared" si="45"/>
        <v>0.9</v>
      </c>
      <c r="D147" s="27">
        <v>0.5</v>
      </c>
      <c r="E147" s="26">
        <f t="shared" si="49"/>
        <v>0.05</v>
      </c>
      <c r="F147" s="28">
        <f t="shared" si="50"/>
        <v>0.45</v>
      </c>
      <c r="G147" s="11">
        <v>275.2</v>
      </c>
      <c r="H147" s="12">
        <v>9.48</v>
      </c>
      <c r="I147" s="21"/>
      <c r="J147" s="21"/>
      <c r="K147" s="68">
        <v>112.38391910319176</v>
      </c>
      <c r="L147" s="8">
        <f t="shared" si="51"/>
        <v>0.18548437872565132</v>
      </c>
      <c r="M147" s="92">
        <v>131.93457892467603</v>
      </c>
      <c r="N147" s="91">
        <f t="shared" si="46"/>
        <v>0.39171496755987362</v>
      </c>
      <c r="O147" s="91"/>
      <c r="P147" s="86"/>
      <c r="Q147" s="91"/>
      <c r="R147" s="91"/>
      <c r="S147" s="68">
        <v>127.19194031690564</v>
      </c>
      <c r="T147" s="75">
        <f t="shared" si="47"/>
        <v>0.34168713414457413</v>
      </c>
      <c r="U147" s="75"/>
      <c r="V147" s="8"/>
      <c r="X147">
        <f t="shared" si="48"/>
        <v>1</v>
      </c>
    </row>
    <row r="148" spans="1:26" x14ac:dyDescent="0.35">
      <c r="A148" s="26">
        <v>7</v>
      </c>
      <c r="B148" s="11">
        <v>0.1</v>
      </c>
      <c r="C148" s="12">
        <f t="shared" si="45"/>
        <v>0.9</v>
      </c>
      <c r="D148" s="27">
        <v>0.5</v>
      </c>
      <c r="E148" s="26">
        <f t="shared" si="49"/>
        <v>0.05</v>
      </c>
      <c r="F148" s="28">
        <f t="shared" si="50"/>
        <v>0.45</v>
      </c>
      <c r="G148" s="11">
        <v>277.7</v>
      </c>
      <c r="H148" s="12">
        <v>11.2</v>
      </c>
      <c r="I148" s="21"/>
      <c r="J148" s="21"/>
      <c r="K148" s="68">
        <v>157.99422374136117</v>
      </c>
      <c r="L148" s="8">
        <f t="shared" si="51"/>
        <v>0.410662711976439</v>
      </c>
      <c r="M148" s="92">
        <v>187.93655229975798</v>
      </c>
      <c r="N148" s="91">
        <f t="shared" si="46"/>
        <v>0.67800493124783912</v>
      </c>
      <c r="O148" s="91"/>
      <c r="P148" s="86"/>
      <c r="Q148" s="91"/>
      <c r="R148" s="91"/>
      <c r="S148" s="68">
        <v>178.10839282337778</v>
      </c>
      <c r="T148" s="75">
        <f t="shared" si="47"/>
        <v>0.59025350735158733</v>
      </c>
      <c r="U148" s="75"/>
      <c r="V148" s="8"/>
      <c r="X148">
        <f t="shared" si="48"/>
        <v>1</v>
      </c>
    </row>
    <row r="149" spans="1:26" ht="15" thickBot="1" x14ac:dyDescent="0.4">
      <c r="A149" s="26">
        <v>8</v>
      </c>
      <c r="B149" s="11">
        <v>0.1</v>
      </c>
      <c r="C149" s="12">
        <f t="shared" si="45"/>
        <v>0.9</v>
      </c>
      <c r="D149" s="27">
        <v>0.5</v>
      </c>
      <c r="E149" s="26">
        <f t="shared" si="49"/>
        <v>0.05</v>
      </c>
      <c r="F149" s="28">
        <f t="shared" si="50"/>
        <v>0.45</v>
      </c>
      <c r="G149" s="11">
        <v>281.3</v>
      </c>
      <c r="H149" s="12">
        <v>13.99</v>
      </c>
      <c r="I149" s="21"/>
      <c r="J149" s="21"/>
      <c r="K149" s="68">
        <v>318.6090268099511</v>
      </c>
      <c r="L149" s="8">
        <f t="shared" si="51"/>
        <v>1.2774054811290285</v>
      </c>
      <c r="M149" s="92">
        <v>412.37304190728815</v>
      </c>
      <c r="N149" s="91">
        <f t="shared" si="46"/>
        <v>1.9476271758919808</v>
      </c>
      <c r="O149" s="91"/>
      <c r="P149" s="86"/>
      <c r="Q149" s="91"/>
      <c r="R149" s="91"/>
      <c r="S149" s="68">
        <v>355.17700373011428</v>
      </c>
      <c r="T149" s="75">
        <f t="shared" si="47"/>
        <v>1.538792020944348</v>
      </c>
      <c r="U149" s="75"/>
      <c r="V149" s="8"/>
      <c r="X149">
        <f t="shared" si="48"/>
        <v>1</v>
      </c>
    </row>
    <row r="150" spans="1:26" ht="15" thickBot="1" x14ac:dyDescent="0.4">
      <c r="A150" s="160" t="s">
        <v>17</v>
      </c>
      <c r="B150" s="161"/>
      <c r="C150" s="161"/>
      <c r="D150" s="161"/>
      <c r="E150" s="161"/>
      <c r="F150" s="161"/>
      <c r="G150" s="161"/>
      <c r="H150" s="161"/>
      <c r="I150" s="161"/>
      <c r="J150" s="162"/>
      <c r="K150" s="73"/>
      <c r="L150" s="74">
        <f>SUM(L142:L149)/8</f>
        <v>0.43930943421282881</v>
      </c>
      <c r="M150" s="92"/>
      <c r="N150" s="91">
        <f>SUM(N142:N149)/8</f>
        <v>0.58194652178405282</v>
      </c>
      <c r="O150" s="91"/>
      <c r="P150" s="86"/>
      <c r="Q150" s="91"/>
      <c r="R150" s="91"/>
      <c r="S150" s="73"/>
      <c r="T150" s="76">
        <f>SUM(T142:T149)/8</f>
        <v>0.51711448959041251</v>
      </c>
      <c r="U150" s="76"/>
      <c r="V150" s="74"/>
      <c r="X150">
        <f>SUM(X142:X149)/8</f>
        <v>1</v>
      </c>
      <c r="Y150" s="42"/>
      <c r="Z150" s="42"/>
    </row>
    <row r="151" spans="1:26" x14ac:dyDescent="0.35">
      <c r="A151" s="26">
        <v>1</v>
      </c>
      <c r="B151" s="11">
        <v>1</v>
      </c>
      <c r="C151" s="12">
        <f t="shared" ref="C151:C176" si="52">1-B151</f>
        <v>0</v>
      </c>
      <c r="D151" s="27">
        <v>0.5</v>
      </c>
      <c r="E151" s="26">
        <f>0.5*B151</f>
        <v>0.5</v>
      </c>
      <c r="F151" s="28">
        <f>0.5*C151</f>
        <v>0</v>
      </c>
      <c r="G151" s="11">
        <v>274</v>
      </c>
      <c r="H151" s="12">
        <v>1.3939999999999999</v>
      </c>
      <c r="I151" s="22">
        <v>1</v>
      </c>
      <c r="J151" s="21"/>
      <c r="K151" s="68">
        <v>12.615277282527503</v>
      </c>
      <c r="L151" s="8">
        <f>ABS(K151-H151*10)/H151/10</f>
        <v>9.5030324065458888E-2</v>
      </c>
      <c r="M151" s="92">
        <v>15.921145606183948</v>
      </c>
      <c r="N151" s="91">
        <f t="shared" ref="N151:N176" si="53">ABS(M151-H151*10)/H151/10</f>
        <v>0.14211948394432922</v>
      </c>
      <c r="O151" s="91">
        <v>0.99999999999999989</v>
      </c>
      <c r="P151" s="86">
        <f>ABS(O151-I151)/I151</f>
        <v>1.1102230246251565E-16</v>
      </c>
      <c r="Q151" s="91"/>
      <c r="R151" s="91"/>
      <c r="S151" s="68">
        <v>16.658462992188067</v>
      </c>
      <c r="T151" s="75">
        <f t="shared" ref="T151:T176" si="54">ABS(S151-H151*10)/H151/10</f>
        <v>0.195011692409474</v>
      </c>
      <c r="U151" s="75"/>
      <c r="V151" s="8"/>
      <c r="X151">
        <f t="shared" ref="X151:X176" si="55">ABS(W151-H151*10)/H151/10</f>
        <v>1</v>
      </c>
    </row>
    <row r="152" spans="1:26" x14ac:dyDescent="0.35">
      <c r="A152" s="26">
        <v>2</v>
      </c>
      <c r="B152" s="11">
        <v>0.82050000000000001</v>
      </c>
      <c r="C152" s="12">
        <f t="shared" si="52"/>
        <v>0.17949999999999999</v>
      </c>
      <c r="D152" s="27">
        <v>0.5</v>
      </c>
      <c r="E152" s="26">
        <f t="shared" ref="E152:E176" si="56">0.5*B152</f>
        <v>0.41025</v>
      </c>
      <c r="F152" s="28">
        <f t="shared" ref="F152:F176" si="57">0.5*C152</f>
        <v>8.9749999999999996E-2</v>
      </c>
      <c r="G152" s="11">
        <v>274</v>
      </c>
      <c r="H152" s="12">
        <v>1.7690000000000001</v>
      </c>
      <c r="I152" s="22">
        <v>0.98499999999999999</v>
      </c>
      <c r="J152" s="21"/>
      <c r="K152" s="68">
        <v>15.269352547725521</v>
      </c>
      <c r="L152" s="8">
        <f t="shared" ref="L152:L176" si="58">ABS(K152-H152*10)/H152/10</f>
        <v>0.13683705213535782</v>
      </c>
      <c r="M152" s="92">
        <v>19.363360983511107</v>
      </c>
      <c r="N152" s="91">
        <f t="shared" si="53"/>
        <v>9.4593611278185746E-2</v>
      </c>
      <c r="O152" s="91">
        <v>0.97459425509598607</v>
      </c>
      <c r="P152" s="86">
        <f t="shared" ref="P152:P175" si="59">ABS(O152-I152)/I152</f>
        <v>1.0564208024379608E-2</v>
      </c>
      <c r="Q152" s="91"/>
      <c r="R152" s="91"/>
      <c r="S152" s="68">
        <v>20.239593407663317</v>
      </c>
      <c r="T152" s="75">
        <f t="shared" si="54"/>
        <v>0.14412625255304218</v>
      </c>
      <c r="U152" s="75"/>
      <c r="V152" s="8"/>
      <c r="X152">
        <f t="shared" si="55"/>
        <v>1</v>
      </c>
    </row>
    <row r="153" spans="1:26" x14ac:dyDescent="0.35">
      <c r="A153" s="26">
        <v>3</v>
      </c>
      <c r="B153" s="11">
        <v>0.59940000000000004</v>
      </c>
      <c r="C153" s="12">
        <f t="shared" si="52"/>
        <v>0.40059999999999996</v>
      </c>
      <c r="D153" s="27">
        <v>0.5</v>
      </c>
      <c r="E153" s="26">
        <f t="shared" si="56"/>
        <v>0.29970000000000002</v>
      </c>
      <c r="F153" s="28">
        <f t="shared" si="57"/>
        <v>0.20029999999999998</v>
      </c>
      <c r="G153" s="11">
        <v>274</v>
      </c>
      <c r="H153" s="12">
        <v>2.3540000000000001</v>
      </c>
      <c r="I153" s="22">
        <v>0.97170000000000001</v>
      </c>
      <c r="J153" s="21"/>
      <c r="K153" s="68">
        <v>20.666386904866293</v>
      </c>
      <c r="L153" s="8">
        <f t="shared" si="58"/>
        <v>0.1220736234126468</v>
      </c>
      <c r="M153" s="92">
        <v>26.280203826529217</v>
      </c>
      <c r="N153" s="91">
        <f t="shared" si="53"/>
        <v>0.11640627980158103</v>
      </c>
      <c r="O153" s="91">
        <v>0.92565497114418838</v>
      </c>
      <c r="P153" s="86">
        <f t="shared" si="59"/>
        <v>4.7386054189370828E-2</v>
      </c>
      <c r="Q153" s="91"/>
      <c r="R153" s="91"/>
      <c r="S153" s="68">
        <v>27.367287517173892</v>
      </c>
      <c r="T153" s="75">
        <f t="shared" si="54"/>
        <v>0.162586555529902</v>
      </c>
      <c r="U153" s="75"/>
      <c r="V153" s="8"/>
      <c r="X153">
        <f t="shared" si="55"/>
        <v>1</v>
      </c>
    </row>
    <row r="154" spans="1:26" x14ac:dyDescent="0.35">
      <c r="A154" s="26">
        <v>4</v>
      </c>
      <c r="B154" s="11">
        <v>0.50480000000000003</v>
      </c>
      <c r="C154" s="12">
        <f t="shared" si="52"/>
        <v>0.49519999999999997</v>
      </c>
      <c r="D154" s="27">
        <v>0.5</v>
      </c>
      <c r="E154" s="26">
        <f t="shared" si="56"/>
        <v>0.25240000000000001</v>
      </c>
      <c r="F154" s="28">
        <f t="shared" si="57"/>
        <v>0.24759999999999999</v>
      </c>
      <c r="G154" s="11">
        <v>274</v>
      </c>
      <c r="H154" s="12">
        <v>2.835</v>
      </c>
      <c r="I154" s="22">
        <v>0.93010000000000004</v>
      </c>
      <c r="J154" s="21"/>
      <c r="K154" s="68">
        <v>24.353191243731398</v>
      </c>
      <c r="L154" s="8">
        <f t="shared" si="58"/>
        <v>0.14098090851035636</v>
      </c>
      <c r="M154" s="92">
        <v>30.947269143072326</v>
      </c>
      <c r="N154" s="91">
        <f t="shared" si="53"/>
        <v>9.1614431854402975E-2</v>
      </c>
      <c r="O154" s="91">
        <v>0.89396609741858679</v>
      </c>
      <c r="P154" s="86">
        <f t="shared" si="59"/>
        <v>3.8849481326108208E-2</v>
      </c>
      <c r="Q154" s="91"/>
      <c r="R154" s="91"/>
      <c r="S154" s="68">
        <v>32.126500892538516</v>
      </c>
      <c r="T154" s="75">
        <f t="shared" si="54"/>
        <v>0.1332099080260499</v>
      </c>
      <c r="U154" s="75"/>
      <c r="V154" s="8"/>
      <c r="X154">
        <f t="shared" si="55"/>
        <v>1</v>
      </c>
    </row>
    <row r="155" spans="1:26" x14ac:dyDescent="0.35">
      <c r="A155" s="26">
        <v>5</v>
      </c>
      <c r="B155" s="11">
        <v>0.39939999999999998</v>
      </c>
      <c r="C155" s="12">
        <f t="shared" si="52"/>
        <v>0.60060000000000002</v>
      </c>
      <c r="D155" s="27">
        <v>0.5</v>
      </c>
      <c r="E155" s="26">
        <f t="shared" si="56"/>
        <v>0.19969999999999999</v>
      </c>
      <c r="F155" s="28">
        <f t="shared" si="57"/>
        <v>0.30030000000000001</v>
      </c>
      <c r="G155" s="11">
        <v>274</v>
      </c>
      <c r="H155" s="12">
        <v>3.56</v>
      </c>
      <c r="I155" s="22">
        <v>0.90010000000000001</v>
      </c>
      <c r="J155" s="21"/>
      <c r="K155" s="68">
        <v>30.376201207053654</v>
      </c>
      <c r="L155" s="8">
        <f t="shared" si="58"/>
        <v>0.14673592115017828</v>
      </c>
      <c r="M155" s="92">
        <v>38.47431507193069</v>
      </c>
      <c r="N155" s="91">
        <f t="shared" si="53"/>
        <v>8.0739187413783373E-2</v>
      </c>
      <c r="O155" s="91">
        <v>0.8448036920132469</v>
      </c>
      <c r="P155" s="86">
        <f t="shared" si="59"/>
        <v>6.1433516261252208E-2</v>
      </c>
      <c r="Q155" s="91"/>
      <c r="R155" s="91"/>
      <c r="S155" s="68">
        <v>39.718057888058048</v>
      </c>
      <c r="T155" s="75">
        <f t="shared" si="54"/>
        <v>0.11567578337241705</v>
      </c>
      <c r="U155" s="75"/>
      <c r="V155" s="8"/>
      <c r="X155">
        <f t="shared" si="55"/>
        <v>1</v>
      </c>
    </row>
    <row r="156" spans="1:26" x14ac:dyDescent="0.35">
      <c r="A156" s="26">
        <v>6</v>
      </c>
      <c r="B156" s="11">
        <v>0.20569999999999999</v>
      </c>
      <c r="C156" s="12">
        <f t="shared" si="52"/>
        <v>0.79430000000000001</v>
      </c>
      <c r="D156" s="27">
        <v>0.5</v>
      </c>
      <c r="E156" s="26">
        <f t="shared" si="56"/>
        <v>0.10285</v>
      </c>
      <c r="F156" s="28">
        <f t="shared" si="57"/>
        <v>0.39715</v>
      </c>
      <c r="G156" s="11">
        <v>274</v>
      </c>
      <c r="H156" s="12">
        <v>7.2349999999999994</v>
      </c>
      <c r="I156" s="22">
        <v>0.58360000000000001</v>
      </c>
      <c r="J156" s="21"/>
      <c r="K156" s="68">
        <v>55.198712456818683</v>
      </c>
      <c r="L156" s="8">
        <f t="shared" si="58"/>
        <v>0.23705995222088888</v>
      </c>
      <c r="M156" s="92">
        <v>68.199162331436753</v>
      </c>
      <c r="N156" s="91">
        <f t="shared" si="53"/>
        <v>5.7371633290438727E-2</v>
      </c>
      <c r="O156" s="91">
        <v>0.6698231070050652</v>
      </c>
      <c r="P156" s="86">
        <f t="shared" si="59"/>
        <v>0.14774350069408018</v>
      </c>
      <c r="Q156" s="91"/>
      <c r="R156" s="91"/>
      <c r="S156" s="68">
        <v>68.69462887256951</v>
      </c>
      <c r="T156" s="75">
        <f t="shared" si="54"/>
        <v>5.0523443364623145E-2</v>
      </c>
      <c r="U156" s="75"/>
      <c r="V156" s="8"/>
      <c r="X156">
        <f t="shared" si="55"/>
        <v>1</v>
      </c>
    </row>
    <row r="157" spans="1:26" x14ac:dyDescent="0.35">
      <c r="A157" s="26">
        <v>7</v>
      </c>
      <c r="B157" s="11">
        <v>0.1159</v>
      </c>
      <c r="C157" s="12">
        <f t="shared" si="52"/>
        <v>0.8841</v>
      </c>
      <c r="D157" s="27">
        <v>0.5</v>
      </c>
      <c r="E157" s="26">
        <f t="shared" si="56"/>
        <v>5.7950000000000002E-2</v>
      </c>
      <c r="F157" s="28">
        <f t="shared" si="57"/>
        <v>0.44205</v>
      </c>
      <c r="G157" s="11">
        <v>274</v>
      </c>
      <c r="H157" s="12">
        <v>11.2</v>
      </c>
      <c r="I157" s="22">
        <v>0.34260000000000002</v>
      </c>
      <c r="J157" s="21"/>
      <c r="K157" s="68">
        <v>87.322833612005027</v>
      </c>
      <c r="L157" s="8">
        <f t="shared" si="58"/>
        <v>0.22033184274995513</v>
      </c>
      <c r="M157" s="92">
        <v>103.53494875483655</v>
      </c>
      <c r="N157" s="91">
        <f t="shared" si="53"/>
        <v>7.5580814688959386E-2</v>
      </c>
      <c r="O157" s="91">
        <v>0.49339083828739067</v>
      </c>
      <c r="P157" s="86">
        <f t="shared" si="59"/>
        <v>0.44013671420721145</v>
      </c>
      <c r="Q157" s="91"/>
      <c r="R157" s="91"/>
      <c r="S157" s="68">
        <v>101.1692279490431</v>
      </c>
      <c r="T157" s="75">
        <f t="shared" si="54"/>
        <v>9.6703321883543719E-2</v>
      </c>
      <c r="U157" s="75"/>
      <c r="V157" s="8"/>
      <c r="X157">
        <f t="shared" si="55"/>
        <v>1</v>
      </c>
    </row>
    <row r="158" spans="1:26" x14ac:dyDescent="0.35">
      <c r="A158" s="26">
        <v>8</v>
      </c>
      <c r="B158" s="11">
        <v>4.9799999999999997E-2</v>
      </c>
      <c r="C158" s="12">
        <f t="shared" si="52"/>
        <v>0.95020000000000004</v>
      </c>
      <c r="D158" s="27">
        <v>0.5</v>
      </c>
      <c r="E158" s="26">
        <f t="shared" si="56"/>
        <v>2.4899999999999999E-2</v>
      </c>
      <c r="F158" s="28">
        <f t="shared" si="57"/>
        <v>0.47510000000000002</v>
      </c>
      <c r="G158" s="11">
        <v>274</v>
      </c>
      <c r="H158" s="12">
        <v>14.928000000000001</v>
      </c>
      <c r="I158" s="22">
        <v>0.17929999999999999</v>
      </c>
      <c r="J158" s="21"/>
      <c r="K158" s="68">
        <v>146.02538828511652</v>
      </c>
      <c r="L158" s="8">
        <f t="shared" si="58"/>
        <v>2.1802061326925783E-2</v>
      </c>
      <c r="M158" s="92">
        <v>160.42110667025472</v>
      </c>
      <c r="N158" s="91">
        <f t="shared" si="53"/>
        <v>7.4632279409530516E-2</v>
      </c>
      <c r="O158" s="91">
        <v>0.26516043488269719</v>
      </c>
      <c r="P158" s="86">
        <f t="shared" si="59"/>
        <v>0.47886466749970558</v>
      </c>
      <c r="Q158" s="91"/>
      <c r="R158" s="91"/>
      <c r="S158" s="68">
        <v>149.69177704779773</v>
      </c>
      <c r="T158" s="75">
        <f t="shared" si="54"/>
        <v>2.7584207381948509E-3</v>
      </c>
      <c r="U158" s="75"/>
      <c r="V158" s="8"/>
      <c r="X158">
        <f t="shared" si="55"/>
        <v>1</v>
      </c>
    </row>
    <row r="159" spans="1:26" x14ac:dyDescent="0.35">
      <c r="A159" s="26">
        <v>9</v>
      </c>
      <c r="B159" s="11">
        <v>0</v>
      </c>
      <c r="C159" s="12">
        <f t="shared" si="52"/>
        <v>1</v>
      </c>
      <c r="D159" s="27">
        <v>0.5</v>
      </c>
      <c r="E159" s="26">
        <f t="shared" si="56"/>
        <v>0</v>
      </c>
      <c r="F159" s="28">
        <f t="shared" si="57"/>
        <v>0.5</v>
      </c>
      <c r="G159" s="11">
        <v>274</v>
      </c>
      <c r="H159" s="12">
        <v>17.925999999999998</v>
      </c>
      <c r="I159" s="22">
        <v>0</v>
      </c>
      <c r="J159" s="21"/>
      <c r="K159" s="68">
        <v>185.00418225527821</v>
      </c>
      <c r="L159" s="8">
        <f t="shared" si="58"/>
        <v>3.2043859507297885E-2</v>
      </c>
      <c r="M159" s="92">
        <v>180.78961901829911</v>
      </c>
      <c r="N159" s="91">
        <f t="shared" si="53"/>
        <v>8.5329633956215296E-3</v>
      </c>
      <c r="O159" s="91">
        <v>0</v>
      </c>
      <c r="P159" s="86">
        <v>0</v>
      </c>
      <c r="Q159" s="91"/>
      <c r="R159" s="91"/>
      <c r="S159" s="68">
        <v>162.23581426916996</v>
      </c>
      <c r="T159" s="75">
        <f t="shared" si="54"/>
        <v>9.496923870818938E-2</v>
      </c>
      <c r="U159" s="75"/>
      <c r="V159" s="8"/>
      <c r="X159">
        <f t="shared" si="55"/>
        <v>1</v>
      </c>
    </row>
    <row r="160" spans="1:26" x14ac:dyDescent="0.35">
      <c r="A160" s="26">
        <v>10</v>
      </c>
      <c r="B160" s="11">
        <v>1</v>
      </c>
      <c r="C160" s="12">
        <f t="shared" si="52"/>
        <v>0</v>
      </c>
      <c r="D160" s="27">
        <v>0.5</v>
      </c>
      <c r="E160" s="26">
        <f t="shared" si="56"/>
        <v>0.5</v>
      </c>
      <c r="F160" s="28">
        <f t="shared" si="57"/>
        <v>0</v>
      </c>
      <c r="G160" s="11">
        <v>277</v>
      </c>
      <c r="H160" s="12">
        <v>1.9530000000000001</v>
      </c>
      <c r="I160" s="22">
        <v>1</v>
      </c>
      <c r="J160" s="21"/>
      <c r="K160" s="68">
        <v>16.451616259225165</v>
      </c>
      <c r="L160" s="8">
        <f t="shared" si="58"/>
        <v>0.15762333542113854</v>
      </c>
      <c r="M160" s="92">
        <v>20.769463945310243</v>
      </c>
      <c r="N160" s="91">
        <f t="shared" si="53"/>
        <v>6.3464615735291413E-2</v>
      </c>
      <c r="O160" s="91">
        <v>1</v>
      </c>
      <c r="P160" s="86">
        <f t="shared" si="59"/>
        <v>0</v>
      </c>
      <c r="Q160" s="91"/>
      <c r="R160" s="91"/>
      <c r="S160" s="68">
        <v>21.724219039197244</v>
      </c>
      <c r="T160" s="75">
        <f t="shared" si="54"/>
        <v>0.11235120528403701</v>
      </c>
      <c r="U160" s="75"/>
      <c r="V160" s="8"/>
      <c r="X160">
        <f t="shared" si="55"/>
        <v>1</v>
      </c>
    </row>
    <row r="161" spans="1:24" x14ac:dyDescent="0.35">
      <c r="A161" s="26">
        <v>11</v>
      </c>
      <c r="B161" s="11">
        <v>0.84909999999999997</v>
      </c>
      <c r="C161" s="12">
        <f t="shared" si="52"/>
        <v>0.15090000000000003</v>
      </c>
      <c r="D161" s="27">
        <v>0.5</v>
      </c>
      <c r="E161" s="26">
        <f t="shared" si="56"/>
        <v>0.42454999999999998</v>
      </c>
      <c r="F161" s="28">
        <f t="shared" si="57"/>
        <v>7.5450000000000017E-2</v>
      </c>
      <c r="G161" s="11">
        <v>277</v>
      </c>
      <c r="H161" s="12">
        <v>2.6</v>
      </c>
      <c r="I161" s="22">
        <v>0.97819999999999996</v>
      </c>
      <c r="J161" s="21"/>
      <c r="K161" s="68">
        <v>18.426212285757771</v>
      </c>
      <c r="L161" s="8">
        <f t="shared" si="58"/>
        <v>0.29129952747085497</v>
      </c>
      <c r="M161" s="92">
        <v>24.636040913968301</v>
      </c>
      <c r="N161" s="91">
        <f t="shared" si="53"/>
        <v>5.2459964847373017E-2</v>
      </c>
      <c r="O161" s="91">
        <v>0.97743732876670331</v>
      </c>
      <c r="P161" s="86">
        <f t="shared" si="59"/>
        <v>7.7966799560074871E-4</v>
      </c>
      <c r="Q161" s="91"/>
      <c r="R161" s="91"/>
      <c r="S161" s="68">
        <v>24.413706060958884</v>
      </c>
      <c r="T161" s="75">
        <f t="shared" si="54"/>
        <v>6.1011305347735245E-2</v>
      </c>
      <c r="U161" s="75"/>
      <c r="V161" s="8"/>
      <c r="X161">
        <f t="shared" si="55"/>
        <v>1</v>
      </c>
    </row>
    <row r="162" spans="1:24" x14ac:dyDescent="0.35">
      <c r="A162" s="26">
        <v>12</v>
      </c>
      <c r="B162" s="11">
        <v>0.5867</v>
      </c>
      <c r="C162" s="12">
        <f t="shared" si="52"/>
        <v>0.4133</v>
      </c>
      <c r="D162" s="27">
        <v>0.5</v>
      </c>
      <c r="E162" s="26">
        <f t="shared" si="56"/>
        <v>0.29335</v>
      </c>
      <c r="F162" s="28">
        <f t="shared" si="57"/>
        <v>0.20665</v>
      </c>
      <c r="G162" s="11">
        <v>277</v>
      </c>
      <c r="H162" s="12">
        <v>3.3770000000000002</v>
      </c>
      <c r="I162" s="22">
        <v>0.94550000000000001</v>
      </c>
      <c r="J162" s="21"/>
      <c r="K162" s="68">
        <v>28.16208029099738</v>
      </c>
      <c r="L162" s="8">
        <f t="shared" si="58"/>
        <v>0.1660621767545935</v>
      </c>
      <c r="M162" s="92">
        <v>35.95962171783534</v>
      </c>
      <c r="N162" s="91">
        <f t="shared" si="53"/>
        <v>6.4839257264890038E-2</v>
      </c>
      <c r="O162" s="91">
        <v>0.91468172052620633</v>
      </c>
      <c r="P162" s="86">
        <f t="shared" si="59"/>
        <v>3.2594690083335459E-2</v>
      </c>
      <c r="Q162" s="91"/>
      <c r="R162" s="91"/>
      <c r="S162" s="68">
        <v>37.43485127643855</v>
      </c>
      <c r="T162" s="75">
        <f t="shared" si="54"/>
        <v>0.10852387552379469</v>
      </c>
      <c r="U162" s="75"/>
      <c r="V162" s="8"/>
      <c r="X162">
        <f t="shared" si="55"/>
        <v>1</v>
      </c>
    </row>
    <row r="163" spans="1:24" x14ac:dyDescent="0.35">
      <c r="A163" s="26">
        <v>13</v>
      </c>
      <c r="B163" s="11">
        <v>0.38990000000000002</v>
      </c>
      <c r="C163" s="12">
        <f t="shared" si="52"/>
        <v>0.61009999999999998</v>
      </c>
      <c r="D163" s="27">
        <v>0.5</v>
      </c>
      <c r="E163" s="26">
        <f t="shared" si="56"/>
        <v>0.19495000000000001</v>
      </c>
      <c r="F163" s="28">
        <f t="shared" si="57"/>
        <v>0.30504999999999999</v>
      </c>
      <c r="G163" s="11">
        <v>277</v>
      </c>
      <c r="H163" s="12">
        <v>5.2329999999999997</v>
      </c>
      <c r="I163" s="22">
        <v>0.88670000000000004</v>
      </c>
      <c r="J163" s="21"/>
      <c r="K163" s="68">
        <v>42.188763936174645</v>
      </c>
      <c r="L163" s="8">
        <f t="shared" si="58"/>
        <v>0.19379392439949081</v>
      </c>
      <c r="M163" s="92">
        <v>53.826940192640613</v>
      </c>
      <c r="N163" s="91">
        <f t="shared" si="53"/>
        <v>2.8605774749486241E-2</v>
      </c>
      <c r="O163" s="91">
        <v>0.82393838939671205</v>
      </c>
      <c r="P163" s="86">
        <f t="shared" si="59"/>
        <v>7.0781110413091236E-2</v>
      </c>
      <c r="Q163" s="91"/>
      <c r="R163" s="91"/>
      <c r="S163" s="68">
        <v>55.499238558798716</v>
      </c>
      <c r="T163" s="75">
        <f t="shared" si="54"/>
        <v>6.0562556063419024E-2</v>
      </c>
      <c r="U163" s="75"/>
      <c r="V163" s="8"/>
      <c r="X163">
        <f t="shared" si="55"/>
        <v>1</v>
      </c>
    </row>
    <row r="164" spans="1:24" x14ac:dyDescent="0.35">
      <c r="A164" s="26">
        <v>14</v>
      </c>
      <c r="B164" s="11">
        <v>0.17610000000000001</v>
      </c>
      <c r="C164" s="12">
        <f t="shared" si="52"/>
        <v>0.82389999999999997</v>
      </c>
      <c r="D164" s="27">
        <v>0.5</v>
      </c>
      <c r="E164" s="26">
        <f t="shared" si="56"/>
        <v>8.8050000000000003E-2</v>
      </c>
      <c r="F164" s="28">
        <f t="shared" si="57"/>
        <v>0.41194999999999998</v>
      </c>
      <c r="G164" s="11">
        <v>277</v>
      </c>
      <c r="H164" s="12">
        <v>11.98</v>
      </c>
      <c r="I164" s="22">
        <v>0.54</v>
      </c>
      <c r="J164" s="21"/>
      <c r="K164" s="68">
        <v>89.103706841166584</v>
      </c>
      <c r="L164" s="8">
        <f t="shared" si="58"/>
        <v>0.2562294921438516</v>
      </c>
      <c r="M164" s="92">
        <v>110.48728071731145</v>
      </c>
      <c r="N164" s="91">
        <f t="shared" si="53"/>
        <v>7.7735553277867797E-2</v>
      </c>
      <c r="O164" s="91">
        <v>0.58760677633943814</v>
      </c>
      <c r="P164" s="86">
        <f t="shared" si="59"/>
        <v>8.8160696924885373E-2</v>
      </c>
      <c r="Q164" s="91"/>
      <c r="R164" s="91"/>
      <c r="S164" s="68">
        <v>109.71308027874024</v>
      </c>
      <c r="T164" s="75">
        <f t="shared" si="54"/>
        <v>8.4197994334388765E-2</v>
      </c>
      <c r="U164" s="75"/>
      <c r="V164" s="8"/>
      <c r="X164">
        <f t="shared" si="55"/>
        <v>1</v>
      </c>
    </row>
    <row r="165" spans="1:24" x14ac:dyDescent="0.35">
      <c r="A165" s="26">
        <v>15</v>
      </c>
      <c r="B165" s="11">
        <v>0.1159</v>
      </c>
      <c r="C165" s="12">
        <f t="shared" si="52"/>
        <v>0.8841</v>
      </c>
      <c r="D165" s="27">
        <v>0.5</v>
      </c>
      <c r="E165" s="26">
        <f t="shared" si="56"/>
        <v>5.7950000000000002E-2</v>
      </c>
      <c r="F165" s="28">
        <f t="shared" si="57"/>
        <v>0.44205</v>
      </c>
      <c r="G165" s="11">
        <v>277</v>
      </c>
      <c r="H165" s="12">
        <v>15.5</v>
      </c>
      <c r="I165" s="22">
        <v>0.35260000000000002</v>
      </c>
      <c r="J165" s="21"/>
      <c r="K165" s="68">
        <v>127.15563562174538</v>
      </c>
      <c r="L165" s="8">
        <f t="shared" si="58"/>
        <v>0.17964106050486855</v>
      </c>
      <c r="M165" s="92">
        <v>152.60903843902696</v>
      </c>
      <c r="N165" s="91">
        <f t="shared" si="53"/>
        <v>1.5425558457890579E-2</v>
      </c>
      <c r="O165" s="91">
        <v>0.45144565969120537</v>
      </c>
      <c r="P165" s="86">
        <f t="shared" si="59"/>
        <v>0.28033369169371908</v>
      </c>
      <c r="Q165" s="91"/>
      <c r="R165" s="91"/>
      <c r="S165" s="68">
        <v>147.1522401167183</v>
      </c>
      <c r="T165" s="75">
        <f t="shared" si="54"/>
        <v>5.0630708924398041E-2</v>
      </c>
      <c r="U165" s="75"/>
      <c r="V165" s="8"/>
      <c r="X165">
        <f t="shared" si="55"/>
        <v>1</v>
      </c>
    </row>
    <row r="166" spans="1:24" x14ac:dyDescent="0.35">
      <c r="A166" s="26">
        <v>16</v>
      </c>
      <c r="B166" s="11">
        <v>6.6299999999999998E-2</v>
      </c>
      <c r="C166" s="12">
        <f t="shared" si="52"/>
        <v>0.93369999999999997</v>
      </c>
      <c r="D166" s="27">
        <v>0.5</v>
      </c>
      <c r="E166" s="26">
        <f t="shared" si="56"/>
        <v>3.3149999999999999E-2</v>
      </c>
      <c r="F166" s="28">
        <f t="shared" si="57"/>
        <v>0.46684999999999999</v>
      </c>
      <c r="G166" s="11">
        <v>277</v>
      </c>
      <c r="H166" s="12">
        <v>19.173999999999999</v>
      </c>
      <c r="I166" s="22">
        <v>0.1928</v>
      </c>
      <c r="J166" s="21"/>
      <c r="K166" s="68">
        <v>190.29657779454024</v>
      </c>
      <c r="L166" s="8">
        <f t="shared" si="58"/>
        <v>7.5280181780524062E-3</v>
      </c>
      <c r="M166" s="92">
        <v>216.02540313353052</v>
      </c>
      <c r="N166" s="91">
        <f t="shared" si="53"/>
        <v>0.12665799068285444</v>
      </c>
      <c r="O166" s="91">
        <v>0.29311542537307705</v>
      </c>
      <c r="P166" s="86">
        <f t="shared" si="59"/>
        <v>0.52030822288940382</v>
      </c>
      <c r="Q166" s="91"/>
      <c r="R166" s="91"/>
      <c r="S166" s="68">
        <v>199.67664493356054</v>
      </c>
      <c r="T166" s="75">
        <f t="shared" si="54"/>
        <v>4.1392745037866538E-2</v>
      </c>
      <c r="U166" s="75"/>
      <c r="V166" s="8"/>
      <c r="X166">
        <f t="shared" si="55"/>
        <v>1</v>
      </c>
    </row>
    <row r="167" spans="1:24" x14ac:dyDescent="0.35">
      <c r="A167" s="26">
        <v>17</v>
      </c>
      <c r="B167" s="11">
        <v>0</v>
      </c>
      <c r="C167" s="12">
        <f t="shared" si="52"/>
        <v>1</v>
      </c>
      <c r="D167" s="27">
        <v>0.5</v>
      </c>
      <c r="E167" s="26">
        <f t="shared" si="56"/>
        <v>0</v>
      </c>
      <c r="F167" s="28">
        <f t="shared" si="57"/>
        <v>0.5</v>
      </c>
      <c r="G167" s="11">
        <v>277</v>
      </c>
      <c r="H167" s="12">
        <v>24.041</v>
      </c>
      <c r="I167" s="22">
        <v>0</v>
      </c>
      <c r="J167" s="21"/>
      <c r="K167" s="68">
        <v>286.23051572931064</v>
      </c>
      <c r="L167" s="8">
        <f t="shared" si="58"/>
        <v>0.19059321879002805</v>
      </c>
      <c r="M167" s="92">
        <v>277.34112442904723</v>
      </c>
      <c r="N167" s="91">
        <f t="shared" si="53"/>
        <v>0.15361725564264062</v>
      </c>
      <c r="O167" s="91">
        <v>0</v>
      </c>
      <c r="P167" s="86">
        <v>0</v>
      </c>
      <c r="Q167" s="91"/>
      <c r="R167" s="91"/>
      <c r="S167" s="68">
        <v>240.69815959439302</v>
      </c>
      <c r="T167" s="75">
        <f t="shared" si="54"/>
        <v>1.1986173386840074E-3</v>
      </c>
      <c r="U167" s="75"/>
      <c r="V167" s="8"/>
      <c r="X167">
        <f t="shared" si="55"/>
        <v>1</v>
      </c>
    </row>
    <row r="168" spans="1:24" x14ac:dyDescent="0.35">
      <c r="A168" s="26">
        <v>18</v>
      </c>
      <c r="B168" s="11">
        <v>1</v>
      </c>
      <c r="C168" s="12">
        <f t="shared" si="52"/>
        <v>0</v>
      </c>
      <c r="D168" s="27">
        <v>0.5</v>
      </c>
      <c r="E168" s="26">
        <f t="shared" si="56"/>
        <v>0.5</v>
      </c>
      <c r="F168" s="28">
        <f t="shared" si="57"/>
        <v>0</v>
      </c>
      <c r="G168" s="11">
        <v>280</v>
      </c>
      <c r="H168" s="12">
        <v>2.8010000000000002</v>
      </c>
      <c r="I168" s="22">
        <v>1</v>
      </c>
      <c r="J168" s="21"/>
      <c r="K168" s="68">
        <v>21.419300275149254</v>
      </c>
      <c r="L168" s="8">
        <f t="shared" si="58"/>
        <v>0.23529809799538545</v>
      </c>
      <c r="M168" s="92">
        <v>26.966175835641685</v>
      </c>
      <c r="N168" s="91">
        <f t="shared" si="53"/>
        <v>3.7266125110971653E-2</v>
      </c>
      <c r="O168" s="91">
        <v>0.99999999999999989</v>
      </c>
      <c r="P168" s="86">
        <f t="shared" si="59"/>
        <v>1.1102230246251565E-16</v>
      </c>
      <c r="Q168" s="91"/>
      <c r="R168" s="91"/>
      <c r="S168" s="68">
        <v>28.175215200861523</v>
      </c>
      <c r="T168" s="75">
        <f t="shared" si="54"/>
        <v>5.8984363035173536E-3</v>
      </c>
      <c r="U168" s="75"/>
      <c r="V168" s="8"/>
      <c r="X168">
        <f t="shared" si="55"/>
        <v>1</v>
      </c>
    </row>
    <row r="169" spans="1:24" x14ac:dyDescent="0.35">
      <c r="A169" s="26">
        <v>19</v>
      </c>
      <c r="B169" s="11">
        <v>0.82499999999999996</v>
      </c>
      <c r="C169" s="12">
        <f t="shared" si="52"/>
        <v>0.17500000000000004</v>
      </c>
      <c r="D169" s="27">
        <v>0.5</v>
      </c>
      <c r="E169" s="26">
        <f t="shared" si="56"/>
        <v>0.41249999999999998</v>
      </c>
      <c r="F169" s="28">
        <f t="shared" si="57"/>
        <v>8.7500000000000022E-2</v>
      </c>
      <c r="G169" s="11">
        <v>280</v>
      </c>
      <c r="H169" s="12">
        <v>3.6</v>
      </c>
      <c r="I169" s="22">
        <v>0.97650000000000003</v>
      </c>
      <c r="J169" s="21"/>
      <c r="K169" s="68">
        <v>26.314438685417997</v>
      </c>
      <c r="L169" s="8">
        <f t="shared" si="58"/>
        <v>0.26904336984950006</v>
      </c>
      <c r="M169" s="92">
        <v>33.418089354227092</v>
      </c>
      <c r="N169" s="91">
        <f t="shared" si="53"/>
        <v>7.171974016035855E-2</v>
      </c>
      <c r="O169" s="91">
        <v>0.97028257854354116</v>
      </c>
      <c r="P169" s="86">
        <f t="shared" si="59"/>
        <v>6.3670470624258794E-3</v>
      </c>
      <c r="Q169" s="91"/>
      <c r="R169" s="91"/>
      <c r="S169" s="68">
        <v>34.909558306273262</v>
      </c>
      <c r="T169" s="75">
        <f t="shared" si="54"/>
        <v>3.0290047047964959E-2</v>
      </c>
      <c r="U169" s="75"/>
      <c r="V169" s="8"/>
      <c r="X169">
        <f t="shared" si="55"/>
        <v>1</v>
      </c>
    </row>
    <row r="170" spans="1:24" x14ac:dyDescent="0.35">
      <c r="A170" s="26">
        <v>20</v>
      </c>
      <c r="B170" s="11">
        <v>0.69989999999999997</v>
      </c>
      <c r="C170" s="12">
        <f t="shared" si="52"/>
        <v>0.30010000000000003</v>
      </c>
      <c r="D170" s="27">
        <v>0.5</v>
      </c>
      <c r="E170" s="26">
        <f t="shared" si="56"/>
        <v>0.34994999999999998</v>
      </c>
      <c r="F170" s="28">
        <f t="shared" si="57"/>
        <v>0.15005000000000002</v>
      </c>
      <c r="G170" s="11">
        <v>280</v>
      </c>
      <c r="H170" s="12">
        <v>4.2329999999999997</v>
      </c>
      <c r="I170" s="22">
        <v>0.96120000000000005</v>
      </c>
      <c r="J170" s="21"/>
      <c r="K170" s="68">
        <v>31.350682048371077</v>
      </c>
      <c r="L170" s="8">
        <f t="shared" si="58"/>
        <v>0.25937439054167072</v>
      </c>
      <c r="M170" s="92">
        <v>40.056987730342072</v>
      </c>
      <c r="N170" s="91">
        <f t="shared" si="53"/>
        <v>5.3697431364467897E-2</v>
      </c>
      <c r="O170" s="91">
        <v>0.94090682137482817</v>
      </c>
      <c r="P170" s="86">
        <f t="shared" si="59"/>
        <v>2.1112337312912902E-2</v>
      </c>
      <c r="Q170" s="91"/>
      <c r="R170" s="91"/>
      <c r="S170" s="68">
        <v>41.799042692903278</v>
      </c>
      <c r="T170" s="75">
        <f t="shared" si="54"/>
        <v>1.254328625317081E-2</v>
      </c>
      <c r="U170" s="75"/>
      <c r="V170" s="8"/>
      <c r="X170">
        <f t="shared" si="55"/>
        <v>1</v>
      </c>
    </row>
    <row r="171" spans="1:24" x14ac:dyDescent="0.35">
      <c r="A171" s="26">
        <v>21</v>
      </c>
      <c r="B171" s="11">
        <v>0.5917</v>
      </c>
      <c r="C171" s="12">
        <f t="shared" si="52"/>
        <v>0.4083</v>
      </c>
      <c r="D171" s="27">
        <v>0.5</v>
      </c>
      <c r="E171" s="26">
        <f t="shared" si="56"/>
        <v>0.29585</v>
      </c>
      <c r="F171" s="28">
        <f t="shared" si="57"/>
        <v>0.20415</v>
      </c>
      <c r="G171" s="11">
        <v>280</v>
      </c>
      <c r="H171" s="12">
        <v>5.0679999999999996</v>
      </c>
      <c r="I171" s="22">
        <v>0.94320000000000004</v>
      </c>
      <c r="J171" s="21"/>
      <c r="K171" s="68">
        <v>37.460912971851208</v>
      </c>
      <c r="L171" s="8">
        <f t="shared" si="58"/>
        <v>0.26083439282061532</v>
      </c>
      <c r="M171" s="92">
        <v>48.109642495988545</v>
      </c>
      <c r="N171" s="91">
        <f t="shared" si="53"/>
        <v>5.0717393528244815E-2</v>
      </c>
      <c r="O171" s="91">
        <v>0.90676777752659354</v>
      </c>
      <c r="P171" s="86">
        <f t="shared" si="59"/>
        <v>3.8626190069345305E-2</v>
      </c>
      <c r="Q171" s="91"/>
      <c r="R171" s="91"/>
      <c r="S171" s="68">
        <v>50.09775203320698</v>
      </c>
      <c r="T171" s="75">
        <f t="shared" si="54"/>
        <v>1.1488712841219663E-2</v>
      </c>
      <c r="U171" s="75"/>
      <c r="V171" s="8"/>
      <c r="X171">
        <f t="shared" si="55"/>
        <v>1</v>
      </c>
    </row>
    <row r="172" spans="1:24" x14ac:dyDescent="0.35">
      <c r="A172" s="26">
        <v>22</v>
      </c>
      <c r="B172" s="11">
        <v>0.39240000000000003</v>
      </c>
      <c r="C172" s="12">
        <f t="shared" si="52"/>
        <v>0.60759999999999992</v>
      </c>
      <c r="D172" s="27">
        <v>0.5</v>
      </c>
      <c r="E172" s="26">
        <f t="shared" si="56"/>
        <v>0.19620000000000001</v>
      </c>
      <c r="F172" s="28">
        <f t="shared" si="57"/>
        <v>0.30379999999999996</v>
      </c>
      <c r="G172" s="11">
        <v>280</v>
      </c>
      <c r="H172" s="12">
        <v>8.2750000000000004</v>
      </c>
      <c r="I172" s="22">
        <v>0.86409999999999998</v>
      </c>
      <c r="J172" s="21"/>
      <c r="K172" s="68">
        <v>57.746449832714148</v>
      </c>
      <c r="L172" s="8">
        <f t="shared" si="58"/>
        <v>0.30215770594907376</v>
      </c>
      <c r="M172" s="92">
        <v>74.775736488019064</v>
      </c>
      <c r="N172" s="91">
        <f t="shared" si="53"/>
        <v>9.6365722199165393E-2</v>
      </c>
      <c r="O172" s="91">
        <v>0.80410685230118972</v>
      </c>
      <c r="P172" s="86">
        <f t="shared" si="59"/>
        <v>6.9428477836836311E-2</v>
      </c>
      <c r="Q172" s="91"/>
      <c r="R172" s="91"/>
      <c r="S172" s="68">
        <v>77.083132680771911</v>
      </c>
      <c r="T172" s="75">
        <f t="shared" si="54"/>
        <v>6.8481780292786579E-2</v>
      </c>
      <c r="U172" s="75"/>
      <c r="V172" s="8"/>
      <c r="X172">
        <f t="shared" si="55"/>
        <v>1</v>
      </c>
    </row>
    <row r="173" spans="1:24" x14ac:dyDescent="0.35">
      <c r="A173" s="26">
        <v>23</v>
      </c>
      <c r="B173" s="11">
        <v>0.251</v>
      </c>
      <c r="C173" s="12">
        <f t="shared" si="52"/>
        <v>0.749</v>
      </c>
      <c r="D173" s="27">
        <v>0.5</v>
      </c>
      <c r="E173" s="26">
        <f t="shared" si="56"/>
        <v>0.1255</v>
      </c>
      <c r="F173" s="28">
        <f t="shared" si="57"/>
        <v>0.3745</v>
      </c>
      <c r="G173" s="11">
        <v>280</v>
      </c>
      <c r="H173" s="12">
        <v>14.974</v>
      </c>
      <c r="I173" s="22">
        <v>0.64</v>
      </c>
      <c r="J173" s="21"/>
      <c r="K173" s="68">
        <v>92.177854600206246</v>
      </c>
      <c r="L173" s="8">
        <f t="shared" si="58"/>
        <v>0.38441395351805635</v>
      </c>
      <c r="M173" s="92">
        <v>119.44316347653054</v>
      </c>
      <c r="N173" s="91">
        <f t="shared" si="53"/>
        <v>0.20232961482215486</v>
      </c>
      <c r="O173" s="91">
        <v>0.6624998601138592</v>
      </c>
      <c r="P173" s="86">
        <f t="shared" si="59"/>
        <v>3.5156031427904973E-2</v>
      </c>
      <c r="Q173" s="91"/>
      <c r="R173" s="91"/>
      <c r="S173" s="68">
        <v>120.38805295980335</v>
      </c>
      <c r="T173" s="75">
        <f t="shared" si="54"/>
        <v>0.19601941391877029</v>
      </c>
      <c r="U173" s="75"/>
      <c r="V173" s="8"/>
      <c r="X173">
        <f t="shared" si="55"/>
        <v>1</v>
      </c>
    </row>
    <row r="174" spans="1:24" x14ac:dyDescent="0.35">
      <c r="A174" s="26">
        <v>24</v>
      </c>
      <c r="B174" s="11">
        <v>0.1709</v>
      </c>
      <c r="C174" s="12">
        <f t="shared" si="52"/>
        <v>0.82909999999999995</v>
      </c>
      <c r="D174" s="27">
        <v>0.5</v>
      </c>
      <c r="E174" s="26">
        <f t="shared" si="56"/>
        <v>8.5449999999999998E-2</v>
      </c>
      <c r="F174" s="28">
        <f t="shared" si="57"/>
        <v>0.41454999999999997</v>
      </c>
      <c r="G174" s="11">
        <v>280</v>
      </c>
      <c r="H174" s="12">
        <v>20.753</v>
      </c>
      <c r="I174" s="22">
        <v>0.45</v>
      </c>
      <c r="J174" s="21"/>
      <c r="K174" s="68">
        <v>137.30561085218304</v>
      </c>
      <c r="L174" s="8">
        <f t="shared" si="58"/>
        <v>0.33838186839404888</v>
      </c>
      <c r="M174" s="92">
        <v>175.97886609150851</v>
      </c>
      <c r="N174" s="91">
        <f t="shared" si="53"/>
        <v>0.15203167690691222</v>
      </c>
      <c r="O174" s="91">
        <v>0.52599858067952732</v>
      </c>
      <c r="P174" s="86">
        <f t="shared" si="59"/>
        <v>0.168885734843394</v>
      </c>
      <c r="Q174" s="91"/>
      <c r="R174" s="91"/>
      <c r="S174" s="68">
        <v>171.65856005735012</v>
      </c>
      <c r="T174" s="75">
        <f t="shared" si="54"/>
        <v>0.1728494190847101</v>
      </c>
      <c r="U174" s="75"/>
      <c r="V174" s="8"/>
      <c r="X174">
        <f t="shared" si="55"/>
        <v>1</v>
      </c>
    </row>
    <row r="175" spans="1:24" x14ac:dyDescent="0.35">
      <c r="A175" s="26">
        <v>25</v>
      </c>
      <c r="B175" s="11">
        <v>9.0499999999999997E-2</v>
      </c>
      <c r="C175" s="12">
        <f t="shared" si="52"/>
        <v>0.90949999999999998</v>
      </c>
      <c r="D175" s="27">
        <v>0.5</v>
      </c>
      <c r="E175" s="26">
        <f t="shared" si="56"/>
        <v>4.5249999999999999E-2</v>
      </c>
      <c r="F175" s="28">
        <f t="shared" si="57"/>
        <v>0.45474999999999999</v>
      </c>
      <c r="G175" s="11">
        <v>280</v>
      </c>
      <c r="H175" s="12">
        <v>26.689999999999998</v>
      </c>
      <c r="I175" s="22">
        <v>0.22170000000000001</v>
      </c>
      <c r="J175" s="21"/>
      <c r="K175" s="68">
        <v>257.69784654202499</v>
      </c>
      <c r="L175" s="8">
        <f t="shared" si="58"/>
        <v>3.4477907298520002E-2</v>
      </c>
      <c r="M175" s="92">
        <v>313.50204002643056</v>
      </c>
      <c r="N175" s="91">
        <f t="shared" si="53"/>
        <v>0.17460487083713222</v>
      </c>
      <c r="O175" s="91">
        <v>0.31885553410761758</v>
      </c>
      <c r="P175" s="86">
        <f t="shared" si="59"/>
        <v>0.43822974338122495</v>
      </c>
      <c r="Q175" s="91"/>
      <c r="R175" s="91"/>
      <c r="S175" s="68">
        <v>282.00882177224548</v>
      </c>
      <c r="T175" s="75">
        <f t="shared" si="54"/>
        <v>5.6608549165400923E-2</v>
      </c>
      <c r="U175" s="75"/>
      <c r="V175" s="8"/>
      <c r="X175">
        <f t="shared" si="55"/>
        <v>1</v>
      </c>
    </row>
    <row r="176" spans="1:24" ht="15" thickBot="1" x14ac:dyDescent="0.4">
      <c r="A176" s="26">
        <v>26</v>
      </c>
      <c r="B176" s="11">
        <v>0</v>
      </c>
      <c r="C176" s="12">
        <f t="shared" si="52"/>
        <v>1</v>
      </c>
      <c r="D176" s="27">
        <v>0.5</v>
      </c>
      <c r="E176" s="26">
        <f t="shared" si="56"/>
        <v>0</v>
      </c>
      <c r="F176" s="28">
        <f t="shared" si="57"/>
        <v>0.5</v>
      </c>
      <c r="G176" s="11">
        <v>280</v>
      </c>
      <c r="H176" s="12">
        <v>32.308</v>
      </c>
      <c r="I176" s="22">
        <v>0</v>
      </c>
      <c r="J176" s="21"/>
      <c r="K176" s="68">
        <v>599.57449416374311</v>
      </c>
      <c r="L176" s="8">
        <f t="shared" si="58"/>
        <v>0.85580814090548196</v>
      </c>
      <c r="M176" s="92">
        <v>554.69492955349983</v>
      </c>
      <c r="N176" s="91">
        <f t="shared" si="53"/>
        <v>0.71689652579392049</v>
      </c>
      <c r="O176" s="91">
        <v>0</v>
      </c>
      <c r="P176" s="86">
        <v>0</v>
      </c>
      <c r="Q176" s="91"/>
      <c r="R176" s="91"/>
      <c r="S176" s="68">
        <v>419.26863768943008</v>
      </c>
      <c r="T176" s="75">
        <f t="shared" si="54"/>
        <v>0.29772390023966228</v>
      </c>
      <c r="U176" s="75"/>
      <c r="V176" s="8"/>
      <c r="X176">
        <f t="shared" si="55"/>
        <v>1</v>
      </c>
    </row>
    <row r="177" spans="1:26" ht="15" thickBot="1" x14ac:dyDescent="0.4">
      <c r="A177" s="160" t="s">
        <v>18</v>
      </c>
      <c r="B177" s="161"/>
      <c r="C177" s="161"/>
      <c r="D177" s="161"/>
      <c r="E177" s="161"/>
      <c r="F177" s="161"/>
      <c r="G177" s="161"/>
      <c r="H177" s="161"/>
      <c r="I177" s="161"/>
      <c r="J177" s="162"/>
      <c r="K177" s="73"/>
      <c r="L177" s="74">
        <f>SUM(L151:L176)/26</f>
        <v>0.21290215869285756</v>
      </c>
      <c r="M177" s="92"/>
      <c r="N177" s="91">
        <f>SUM(N151:N176)/26</f>
        <v>0.11077022140224826</v>
      </c>
      <c r="O177" s="91"/>
      <c r="P177" s="86">
        <f>SUM(P151:P176)/26</f>
        <v>0.11522083785139184</v>
      </c>
      <c r="Q177" s="91"/>
      <c r="R177" s="91"/>
      <c r="S177" s="73"/>
      <c r="T177" s="76">
        <f>SUM(T151:T176)/26</f>
        <v>9.1051429599498565E-2</v>
      </c>
      <c r="U177" s="76"/>
      <c r="V177" s="74"/>
      <c r="X177">
        <f>SUM(X151:X176)/26</f>
        <v>1</v>
      </c>
      <c r="Y177" s="42"/>
      <c r="Z177" s="42"/>
    </row>
    <row r="178" spans="1:26" x14ac:dyDescent="0.35">
      <c r="A178" s="26">
        <v>1</v>
      </c>
      <c r="B178" s="33">
        <f>E178/(E178+F178)</f>
        <v>0.90559440559440552</v>
      </c>
      <c r="C178" s="34">
        <f>F178/(E178+F178)</f>
        <v>9.4405594405594415E-2</v>
      </c>
      <c r="D178" s="6">
        <v>0.97140000000000004</v>
      </c>
      <c r="E178" s="7">
        <v>2.5899999999999999E-2</v>
      </c>
      <c r="F178" s="14">
        <v>2.7000000000000001E-3</v>
      </c>
      <c r="G178" s="6">
        <v>280.04000000000002</v>
      </c>
      <c r="H178" s="14">
        <v>5</v>
      </c>
      <c r="I178" s="21"/>
      <c r="J178" s="21"/>
      <c r="K178" s="68">
        <v>23.994125696186867</v>
      </c>
      <c r="L178" s="8">
        <f>ABS(K178-H178*10)/H178/10</f>
        <v>0.52011748607626263</v>
      </c>
      <c r="M178" s="89"/>
      <c r="N178" s="90">
        <f t="shared" ref="N178:N193" si="60">ABS(M178-H178*10)/H178/10</f>
        <v>1</v>
      </c>
      <c r="O178" s="91"/>
      <c r="P178" s="86"/>
      <c r="Q178" s="91"/>
      <c r="R178" s="91"/>
      <c r="S178" s="68">
        <v>31.674151493676646</v>
      </c>
      <c r="T178" s="75">
        <f t="shared" ref="T178:T203" si="61">ABS(S178-H178*10)/H178/10</f>
        <v>0.36651697012646711</v>
      </c>
      <c r="U178" s="75"/>
      <c r="V178" s="8"/>
      <c r="X178">
        <f t="shared" ref="X178:X193" si="62">ABS(W178-H178*10)/H178/10</f>
        <v>1</v>
      </c>
    </row>
    <row r="179" spans="1:26" x14ac:dyDescent="0.35">
      <c r="A179" s="26">
        <v>2</v>
      </c>
      <c r="B179" s="33">
        <f t="shared" ref="B179:B193" si="63">E179/(E179+F179)</f>
        <v>0.90559440559440552</v>
      </c>
      <c r="C179" s="34">
        <f t="shared" ref="C179:C193" si="64">F179/(E179+F179)</f>
        <v>9.4405594405594415E-2</v>
      </c>
      <c r="D179" s="6">
        <v>0.97140000000000004</v>
      </c>
      <c r="E179" s="7">
        <v>2.5899999999999999E-2</v>
      </c>
      <c r="F179" s="14">
        <v>2.7000000000000001E-3</v>
      </c>
      <c r="G179" s="6">
        <v>280.13</v>
      </c>
      <c r="H179" s="14">
        <v>5</v>
      </c>
      <c r="I179" s="21"/>
      <c r="J179" s="21"/>
      <c r="K179" s="68">
        <v>24.189816883278095</v>
      </c>
      <c r="L179" s="8">
        <f t="shared" ref="L179:L193" si="65">ABS(K179-H179*10)/H179/10</f>
        <v>0.51620366233443815</v>
      </c>
      <c r="M179" s="89"/>
      <c r="N179" s="90">
        <f t="shared" si="60"/>
        <v>1</v>
      </c>
      <c r="O179" s="91"/>
      <c r="P179" s="86"/>
      <c r="Q179" s="91"/>
      <c r="R179" s="91"/>
      <c r="S179" s="68">
        <v>31.927519082113275</v>
      </c>
      <c r="T179" s="75">
        <f t="shared" si="61"/>
        <v>0.36144961835773454</v>
      </c>
      <c r="U179" s="75"/>
      <c r="V179" s="8"/>
      <c r="X179">
        <f t="shared" si="62"/>
        <v>1</v>
      </c>
    </row>
    <row r="180" spans="1:26" x14ac:dyDescent="0.35">
      <c r="A180" s="26">
        <v>3</v>
      </c>
      <c r="B180" s="33">
        <f t="shared" si="63"/>
        <v>0.90559440559440552</v>
      </c>
      <c r="C180" s="34">
        <f t="shared" si="64"/>
        <v>9.4405594405594415E-2</v>
      </c>
      <c r="D180" s="6">
        <v>0.97140000000000004</v>
      </c>
      <c r="E180" s="7">
        <v>2.5899999999999999E-2</v>
      </c>
      <c r="F180" s="14">
        <v>2.7000000000000001E-3</v>
      </c>
      <c r="G180" s="6">
        <v>281.7</v>
      </c>
      <c r="H180" s="14">
        <v>7.5</v>
      </c>
      <c r="I180" s="21"/>
      <c r="J180" s="21"/>
      <c r="K180" s="68">
        <v>27.866261940589233</v>
      </c>
      <c r="L180" s="8">
        <f t="shared" si="65"/>
        <v>0.6284498407921435</v>
      </c>
      <c r="M180" s="89"/>
      <c r="N180" s="90">
        <f t="shared" si="60"/>
        <v>1</v>
      </c>
      <c r="O180" s="91"/>
      <c r="P180" s="86"/>
      <c r="Q180" s="91"/>
      <c r="R180" s="91"/>
      <c r="S180" s="68">
        <v>36.64414418532013</v>
      </c>
      <c r="T180" s="75">
        <f t="shared" si="61"/>
        <v>0.51141141086239827</v>
      </c>
      <c r="U180" s="75"/>
      <c r="V180" s="8"/>
      <c r="X180">
        <f t="shared" si="62"/>
        <v>1</v>
      </c>
    </row>
    <row r="181" spans="1:26" x14ac:dyDescent="0.35">
      <c r="A181" s="26">
        <v>4</v>
      </c>
      <c r="B181" s="33">
        <f t="shared" si="63"/>
        <v>0.90559440559440552</v>
      </c>
      <c r="C181" s="34">
        <f t="shared" si="64"/>
        <v>9.4405594405594415E-2</v>
      </c>
      <c r="D181" s="6">
        <v>0.97140000000000004</v>
      </c>
      <c r="E181" s="7">
        <v>2.5899999999999999E-2</v>
      </c>
      <c r="F181" s="14">
        <v>2.7000000000000001E-3</v>
      </c>
      <c r="G181" s="6">
        <v>282.55</v>
      </c>
      <c r="H181" s="14">
        <v>10</v>
      </c>
      <c r="I181" s="21"/>
      <c r="J181" s="21"/>
      <c r="K181" s="68">
        <v>30.077570494543195</v>
      </c>
      <c r="L181" s="8">
        <f t="shared" si="65"/>
        <v>0.69922429505456807</v>
      </c>
      <c r="M181" s="89"/>
      <c r="N181" s="90">
        <f t="shared" si="60"/>
        <v>1</v>
      </c>
      <c r="O181" s="91"/>
      <c r="P181" s="86"/>
      <c r="Q181" s="91"/>
      <c r="R181" s="91"/>
      <c r="S181" s="68">
        <v>39.434440591518182</v>
      </c>
      <c r="T181" s="75">
        <f t="shared" si="61"/>
        <v>0.60565559408481817</v>
      </c>
      <c r="U181" s="75"/>
      <c r="V181" s="8"/>
      <c r="X181">
        <f t="shared" si="62"/>
        <v>1</v>
      </c>
    </row>
    <row r="182" spans="1:26" x14ac:dyDescent="0.35">
      <c r="A182" s="26">
        <v>5</v>
      </c>
      <c r="B182" s="33">
        <f t="shared" si="63"/>
        <v>0.90559440559440552</v>
      </c>
      <c r="C182" s="34">
        <f t="shared" si="64"/>
        <v>9.4405594405594415E-2</v>
      </c>
      <c r="D182" s="6">
        <v>0.97140000000000004</v>
      </c>
      <c r="E182" s="7">
        <v>2.5899999999999999E-2</v>
      </c>
      <c r="F182" s="14">
        <v>2.7000000000000001E-3</v>
      </c>
      <c r="G182" s="6">
        <v>282.66000000000003</v>
      </c>
      <c r="H182" s="14">
        <v>10</v>
      </c>
      <c r="I182" s="21"/>
      <c r="J182" s="21"/>
      <c r="K182" s="68">
        <v>30.375796370231367</v>
      </c>
      <c r="L182" s="8">
        <f t="shared" si="65"/>
        <v>0.69624203629768622</v>
      </c>
      <c r="M182" s="89"/>
      <c r="N182" s="90">
        <f t="shared" si="60"/>
        <v>1</v>
      </c>
      <c r="O182" s="91"/>
      <c r="P182" s="86"/>
      <c r="Q182" s="91"/>
      <c r="R182" s="91"/>
      <c r="S182" s="68">
        <v>39.807615970739988</v>
      </c>
      <c r="T182" s="75">
        <f t="shared" si="61"/>
        <v>0.60192384029260015</v>
      </c>
      <c r="U182" s="75"/>
      <c r="V182" s="8"/>
      <c r="X182">
        <f t="shared" si="62"/>
        <v>1</v>
      </c>
    </row>
    <row r="183" spans="1:26" x14ac:dyDescent="0.35">
      <c r="A183" s="26">
        <v>6</v>
      </c>
      <c r="B183" s="33">
        <f t="shared" si="63"/>
        <v>0.90559440559440552</v>
      </c>
      <c r="C183" s="34">
        <f t="shared" si="64"/>
        <v>9.4405594405594415E-2</v>
      </c>
      <c r="D183" s="6">
        <v>0.97140000000000004</v>
      </c>
      <c r="E183" s="7">
        <v>2.5899999999999999E-2</v>
      </c>
      <c r="F183" s="14">
        <v>2.7000000000000001E-3</v>
      </c>
      <c r="G183" s="6">
        <v>283.60000000000002</v>
      </c>
      <c r="H183" s="14">
        <v>12.5</v>
      </c>
      <c r="I183" s="21"/>
      <c r="J183" s="21"/>
      <c r="K183" s="68">
        <v>33.041861511683912</v>
      </c>
      <c r="L183" s="8">
        <f t="shared" si="65"/>
        <v>0.73566510790652861</v>
      </c>
      <c r="M183" s="89"/>
      <c r="N183" s="90">
        <f t="shared" si="60"/>
        <v>1</v>
      </c>
      <c r="O183" s="91"/>
      <c r="P183" s="86"/>
      <c r="Q183" s="91"/>
      <c r="R183" s="91"/>
      <c r="S183" s="68">
        <v>43.106302115143365</v>
      </c>
      <c r="T183" s="75">
        <f t="shared" si="61"/>
        <v>0.65514958307885307</v>
      </c>
      <c r="U183" s="75"/>
      <c r="V183" s="8"/>
      <c r="X183">
        <f t="shared" si="62"/>
        <v>1</v>
      </c>
    </row>
    <row r="184" spans="1:26" x14ac:dyDescent="0.35">
      <c r="A184" s="26">
        <v>7</v>
      </c>
      <c r="B184" s="33">
        <f t="shared" si="63"/>
        <v>0.90559440559440552</v>
      </c>
      <c r="C184" s="34">
        <f t="shared" si="64"/>
        <v>9.4405594405594415E-2</v>
      </c>
      <c r="D184" s="6">
        <v>0.97140000000000004</v>
      </c>
      <c r="E184" s="7">
        <v>2.5899999999999999E-2</v>
      </c>
      <c r="F184" s="14">
        <v>2.7000000000000001E-3</v>
      </c>
      <c r="G184" s="6">
        <v>284.37</v>
      </c>
      <c r="H184" s="14">
        <v>15</v>
      </c>
      <c r="I184" s="21"/>
      <c r="J184" s="21"/>
      <c r="K184" s="68">
        <v>35.388555489849779</v>
      </c>
      <c r="L184" s="8">
        <f t="shared" si="65"/>
        <v>0.76407629673433486</v>
      </c>
      <c r="M184" s="89"/>
      <c r="N184" s="90">
        <f t="shared" si="60"/>
        <v>1</v>
      </c>
      <c r="O184" s="91"/>
      <c r="P184" s="86"/>
      <c r="Q184" s="91"/>
      <c r="R184" s="91"/>
      <c r="S184" s="68">
        <v>45.947242970203249</v>
      </c>
      <c r="T184" s="75">
        <f t="shared" si="61"/>
        <v>0.69368504686531174</v>
      </c>
      <c r="U184" s="75"/>
      <c r="V184" s="8"/>
      <c r="X184">
        <f t="shared" si="62"/>
        <v>1</v>
      </c>
    </row>
    <row r="185" spans="1:26" x14ac:dyDescent="0.35">
      <c r="A185" s="26">
        <v>8</v>
      </c>
      <c r="B185" s="33">
        <f t="shared" si="63"/>
        <v>0.90559440559440552</v>
      </c>
      <c r="C185" s="34">
        <f t="shared" si="64"/>
        <v>9.4405594405594415E-2</v>
      </c>
      <c r="D185" s="6">
        <v>0.97140000000000004</v>
      </c>
      <c r="E185" s="7">
        <v>2.5899999999999999E-2</v>
      </c>
      <c r="F185" s="14">
        <v>2.7000000000000001E-3</v>
      </c>
      <c r="G185" s="6">
        <v>285.36</v>
      </c>
      <c r="H185" s="14">
        <v>20</v>
      </c>
      <c r="I185" s="21"/>
      <c r="J185" s="21"/>
      <c r="K185" s="68">
        <v>38.632193221405238</v>
      </c>
      <c r="L185" s="8">
        <f t="shared" si="65"/>
        <v>0.80683903389297384</v>
      </c>
      <c r="M185" s="89"/>
      <c r="N185" s="90">
        <f t="shared" si="60"/>
        <v>1</v>
      </c>
      <c r="O185" s="91"/>
      <c r="P185" s="86"/>
      <c r="Q185" s="91"/>
      <c r="R185" s="91"/>
      <c r="S185" s="68">
        <v>49.759454900127373</v>
      </c>
      <c r="T185" s="75">
        <f t="shared" si="61"/>
        <v>0.75120272549936318</v>
      </c>
      <c r="U185" s="75"/>
      <c r="V185" s="8"/>
      <c r="X185">
        <f t="shared" si="62"/>
        <v>1</v>
      </c>
    </row>
    <row r="186" spans="1:26" x14ac:dyDescent="0.35">
      <c r="A186" s="26">
        <v>9</v>
      </c>
      <c r="B186" s="33">
        <f t="shared" si="63"/>
        <v>0.90559440559440552</v>
      </c>
      <c r="C186" s="34">
        <f t="shared" si="64"/>
        <v>9.4405594405594415E-2</v>
      </c>
      <c r="D186" s="6">
        <v>0.97140000000000004</v>
      </c>
      <c r="E186" s="7">
        <v>2.5899999999999999E-2</v>
      </c>
      <c r="F186" s="14">
        <v>2.7000000000000001E-3</v>
      </c>
      <c r="G186" s="6">
        <v>285.41000000000003</v>
      </c>
      <c r="H186" s="14">
        <v>20</v>
      </c>
      <c r="I186" s="21"/>
      <c r="J186" s="21"/>
      <c r="K186" s="68">
        <v>38.802956544755652</v>
      </c>
      <c r="L186" s="8">
        <f t="shared" si="65"/>
        <v>0.80598521727622163</v>
      </c>
      <c r="M186" s="89"/>
      <c r="N186" s="90">
        <f t="shared" si="60"/>
        <v>1</v>
      </c>
      <c r="O186" s="91"/>
      <c r="P186" s="86"/>
      <c r="Q186" s="91"/>
      <c r="R186" s="91"/>
      <c r="S186" s="68">
        <v>49.956053497818132</v>
      </c>
      <c r="T186" s="75">
        <f t="shared" si="61"/>
        <v>0.75021973251090945</v>
      </c>
      <c r="U186" s="75"/>
      <c r="V186" s="8"/>
      <c r="X186">
        <f t="shared" si="62"/>
        <v>1</v>
      </c>
    </row>
    <row r="187" spans="1:26" x14ac:dyDescent="0.35">
      <c r="A187" s="26">
        <v>10</v>
      </c>
      <c r="B187" s="33">
        <f t="shared" si="63"/>
        <v>0.84102564102564115</v>
      </c>
      <c r="C187" s="34">
        <f t="shared" si="64"/>
        <v>0.15897435897435896</v>
      </c>
      <c r="D187" s="6">
        <v>0.98050000000000004</v>
      </c>
      <c r="E187" s="7">
        <v>1.6400000000000001E-2</v>
      </c>
      <c r="F187" s="14">
        <v>3.0999999999999999E-3</v>
      </c>
      <c r="G187" s="6">
        <v>276.88</v>
      </c>
      <c r="H187" s="14">
        <v>5</v>
      </c>
      <c r="I187" s="21"/>
      <c r="J187" s="21"/>
      <c r="K187" s="68">
        <v>19.513712647832929</v>
      </c>
      <c r="L187" s="8">
        <f t="shared" si="65"/>
        <v>0.60972574704334137</v>
      </c>
      <c r="M187" s="89"/>
      <c r="N187" s="90">
        <f t="shared" si="60"/>
        <v>1</v>
      </c>
      <c r="O187" s="91"/>
      <c r="P187" s="86"/>
      <c r="Q187" s="91"/>
      <c r="R187" s="91"/>
      <c r="S187" s="68">
        <v>25.843903254291053</v>
      </c>
      <c r="T187" s="75">
        <f t="shared" si="61"/>
        <v>0.48312193491417893</v>
      </c>
      <c r="U187" s="75"/>
      <c r="V187" s="8"/>
      <c r="X187">
        <f t="shared" si="62"/>
        <v>1</v>
      </c>
    </row>
    <row r="188" spans="1:26" x14ac:dyDescent="0.35">
      <c r="A188" s="26">
        <v>11</v>
      </c>
      <c r="B188" s="33">
        <f t="shared" si="63"/>
        <v>0.84102564102564115</v>
      </c>
      <c r="C188" s="34">
        <f t="shared" si="64"/>
        <v>0.15897435897435896</v>
      </c>
      <c r="D188" s="6">
        <v>0.98050000000000004</v>
      </c>
      <c r="E188" s="7">
        <v>1.6400000000000001E-2</v>
      </c>
      <c r="F188" s="14">
        <v>3.0999999999999999E-3</v>
      </c>
      <c r="G188" s="6">
        <v>278.7</v>
      </c>
      <c r="H188" s="14">
        <v>7.5</v>
      </c>
      <c r="I188" s="21"/>
      <c r="J188" s="21"/>
      <c r="K188" s="68">
        <v>23.0962131025654</v>
      </c>
      <c r="L188" s="8">
        <f t="shared" si="65"/>
        <v>0.6920504919657946</v>
      </c>
      <c r="M188" s="89"/>
      <c r="N188" s="90">
        <f t="shared" si="60"/>
        <v>1</v>
      </c>
      <c r="O188" s="91"/>
      <c r="P188" s="86"/>
      <c r="Q188" s="91"/>
      <c r="R188" s="91"/>
      <c r="S188" s="68">
        <v>30.557510017686834</v>
      </c>
      <c r="T188" s="75">
        <f t="shared" si="61"/>
        <v>0.59256653309750884</v>
      </c>
      <c r="U188" s="75"/>
      <c r="V188" s="8"/>
      <c r="X188">
        <f t="shared" si="62"/>
        <v>1</v>
      </c>
    </row>
    <row r="189" spans="1:26" x14ac:dyDescent="0.35">
      <c r="A189" s="26">
        <v>12</v>
      </c>
      <c r="B189" s="33">
        <f t="shared" si="63"/>
        <v>0.84102564102564115</v>
      </c>
      <c r="C189" s="34">
        <f t="shared" si="64"/>
        <v>0.15897435897435896</v>
      </c>
      <c r="D189" s="6">
        <v>0.98050000000000004</v>
      </c>
      <c r="E189" s="7">
        <v>1.6400000000000001E-2</v>
      </c>
      <c r="F189" s="14">
        <v>3.0999999999999999E-3</v>
      </c>
      <c r="G189" s="6">
        <v>279.98</v>
      </c>
      <c r="H189" s="14">
        <v>10</v>
      </c>
      <c r="I189" s="21"/>
      <c r="J189" s="21"/>
      <c r="K189" s="68">
        <v>26.016311103520419</v>
      </c>
      <c r="L189" s="8">
        <f t="shared" si="65"/>
        <v>0.73983688896479571</v>
      </c>
      <c r="M189" s="89"/>
      <c r="N189" s="90">
        <f t="shared" si="60"/>
        <v>1</v>
      </c>
      <c r="O189" s="91"/>
      <c r="P189" s="86"/>
      <c r="Q189" s="91"/>
      <c r="R189" s="91"/>
      <c r="S189" s="68">
        <v>34.364745925640008</v>
      </c>
      <c r="T189" s="75">
        <f t="shared" si="61"/>
        <v>0.65635254074359994</v>
      </c>
      <c r="U189" s="75"/>
      <c r="V189" s="8"/>
      <c r="X189">
        <f t="shared" si="62"/>
        <v>1</v>
      </c>
    </row>
    <row r="190" spans="1:26" x14ac:dyDescent="0.35">
      <c r="A190" s="26">
        <v>13</v>
      </c>
      <c r="B190" s="33">
        <f t="shared" si="63"/>
        <v>0.84102564102564115</v>
      </c>
      <c r="C190" s="34">
        <f t="shared" si="64"/>
        <v>0.15897435897435896</v>
      </c>
      <c r="D190" s="6">
        <v>0.98050000000000004</v>
      </c>
      <c r="E190" s="7">
        <v>1.6400000000000001E-2</v>
      </c>
      <c r="F190" s="14">
        <v>3.0999999999999999E-3</v>
      </c>
      <c r="G190" s="6">
        <v>280.02</v>
      </c>
      <c r="H190" s="14">
        <v>10</v>
      </c>
      <c r="I190" s="21"/>
      <c r="J190" s="21"/>
      <c r="K190" s="68">
        <v>26.113492960272833</v>
      </c>
      <c r="L190" s="8">
        <f t="shared" si="65"/>
        <v>0.73886507039727167</v>
      </c>
      <c r="M190" s="89"/>
      <c r="N190" s="90">
        <f t="shared" si="60"/>
        <v>1</v>
      </c>
      <c r="O190" s="91"/>
      <c r="P190" s="86"/>
      <c r="Q190" s="91"/>
      <c r="R190" s="91"/>
      <c r="S190" s="68">
        <v>34.490786329674627</v>
      </c>
      <c r="T190" s="75">
        <f t="shared" si="61"/>
        <v>0.65509213670325384</v>
      </c>
      <c r="U190" s="75"/>
      <c r="V190" s="8"/>
      <c r="X190">
        <f t="shared" si="62"/>
        <v>1</v>
      </c>
    </row>
    <row r="191" spans="1:26" x14ac:dyDescent="0.35">
      <c r="A191" s="26">
        <v>14</v>
      </c>
      <c r="B191" s="33">
        <f t="shared" si="63"/>
        <v>0.84102564102564115</v>
      </c>
      <c r="C191" s="34">
        <f t="shared" si="64"/>
        <v>0.15897435897435896</v>
      </c>
      <c r="D191" s="6">
        <v>0.98050000000000004</v>
      </c>
      <c r="E191" s="7">
        <v>1.6400000000000001E-2</v>
      </c>
      <c r="F191" s="14">
        <v>3.0999999999999999E-3</v>
      </c>
      <c r="G191" s="6">
        <v>281.17</v>
      </c>
      <c r="H191" s="14">
        <v>12.5</v>
      </c>
      <c r="I191" s="21"/>
      <c r="J191" s="21"/>
      <c r="K191" s="68">
        <v>29.074783376450871</v>
      </c>
      <c r="L191" s="8">
        <f t="shared" si="65"/>
        <v>0.76740173298839309</v>
      </c>
      <c r="M191" s="89"/>
      <c r="N191" s="90">
        <f t="shared" si="60"/>
        <v>1</v>
      </c>
      <c r="O191" s="91"/>
      <c r="P191" s="86"/>
      <c r="Q191" s="91"/>
      <c r="R191" s="91"/>
      <c r="S191" s="68">
        <v>38.307143520103764</v>
      </c>
      <c r="T191" s="75">
        <f t="shared" si="61"/>
        <v>0.69354285183916997</v>
      </c>
      <c r="U191" s="75"/>
      <c r="V191" s="8"/>
      <c r="X191">
        <f t="shared" si="62"/>
        <v>1</v>
      </c>
    </row>
    <row r="192" spans="1:26" x14ac:dyDescent="0.35">
      <c r="A192" s="26">
        <v>15</v>
      </c>
      <c r="B192" s="33">
        <f t="shared" si="63"/>
        <v>0.84102564102564115</v>
      </c>
      <c r="C192" s="34">
        <f t="shared" si="64"/>
        <v>0.15897435897435896</v>
      </c>
      <c r="D192" s="6">
        <v>0.98050000000000004</v>
      </c>
      <c r="E192" s="7">
        <v>1.6400000000000001E-2</v>
      </c>
      <c r="F192" s="14">
        <v>3.0999999999999999E-3</v>
      </c>
      <c r="G192" s="6">
        <v>282.05</v>
      </c>
      <c r="H192" s="14">
        <v>15</v>
      </c>
      <c r="I192" s="21"/>
      <c r="J192" s="21"/>
      <c r="K192" s="68">
        <v>31.576014854331625</v>
      </c>
      <c r="L192" s="8">
        <f t="shared" si="65"/>
        <v>0.78949323430445584</v>
      </c>
      <c r="M192" s="89"/>
      <c r="N192" s="90">
        <f t="shared" si="60"/>
        <v>1</v>
      </c>
      <c r="O192" s="91"/>
      <c r="P192" s="86"/>
      <c r="Q192" s="91"/>
      <c r="R192" s="91"/>
      <c r="S192" s="68">
        <v>41.487820812575691</v>
      </c>
      <c r="T192" s="75">
        <f t="shared" si="61"/>
        <v>0.72341452791616212</v>
      </c>
      <c r="U192" s="75"/>
      <c r="V192" s="8"/>
      <c r="X192">
        <f t="shared" si="62"/>
        <v>1</v>
      </c>
    </row>
    <row r="193" spans="1:26" ht="15" thickBot="1" x14ac:dyDescent="0.4">
      <c r="A193" s="26">
        <v>16</v>
      </c>
      <c r="B193" s="33">
        <f t="shared" si="63"/>
        <v>0.84102564102564115</v>
      </c>
      <c r="C193" s="34">
        <f t="shared" si="64"/>
        <v>0.15897435897435896</v>
      </c>
      <c r="D193" s="6">
        <v>0.98050000000000004</v>
      </c>
      <c r="E193" s="7">
        <v>1.6400000000000001E-2</v>
      </c>
      <c r="F193" s="14">
        <v>3.0999999999999999E-3</v>
      </c>
      <c r="G193" s="6">
        <v>283.37</v>
      </c>
      <c r="H193" s="14">
        <v>20</v>
      </c>
      <c r="I193" s="21"/>
      <c r="J193" s="21"/>
      <c r="K193" s="68">
        <v>35.760027747722688</v>
      </c>
      <c r="L193" s="8">
        <f t="shared" si="65"/>
        <v>0.82119986126138644</v>
      </c>
      <c r="M193" s="89"/>
      <c r="N193" s="90">
        <f t="shared" si="60"/>
        <v>1</v>
      </c>
      <c r="O193" s="91"/>
      <c r="P193" s="86"/>
      <c r="Q193" s="91"/>
      <c r="R193" s="91"/>
      <c r="S193" s="68">
        <v>46.69670051826521</v>
      </c>
      <c r="T193" s="75">
        <f t="shared" si="61"/>
        <v>0.766516497408674</v>
      </c>
      <c r="U193" s="75"/>
      <c r="V193" s="8"/>
      <c r="X193">
        <f t="shared" si="62"/>
        <v>1</v>
      </c>
    </row>
    <row r="194" spans="1:26" ht="15" thickBot="1" x14ac:dyDescent="0.4">
      <c r="A194" s="160" t="s">
        <v>19</v>
      </c>
      <c r="B194" s="161"/>
      <c r="C194" s="161"/>
      <c r="D194" s="161"/>
      <c r="E194" s="161"/>
      <c r="F194" s="161"/>
      <c r="G194" s="161"/>
      <c r="H194" s="161"/>
      <c r="I194" s="161"/>
      <c r="J194" s="162"/>
      <c r="K194" s="73"/>
      <c r="L194" s="74">
        <f>SUM(L178:L193)/16</f>
        <v>0.70821100020566219</v>
      </c>
      <c r="M194" s="92"/>
      <c r="N194" s="91">
        <f>SUM(N178:N193)/16</f>
        <v>1</v>
      </c>
      <c r="O194" s="91"/>
      <c r="P194" s="86"/>
      <c r="Q194" s="91"/>
      <c r="R194" s="91"/>
      <c r="S194" s="73"/>
      <c r="T194" s="76">
        <f>SUM(T178:T193)/16</f>
        <v>0.61673884651881272</v>
      </c>
      <c r="U194" s="76"/>
      <c r="V194" s="74"/>
      <c r="X194">
        <f>SUM(X178:X193)/16</f>
        <v>1</v>
      </c>
      <c r="Y194" s="42"/>
      <c r="Z194" s="42"/>
    </row>
    <row r="195" spans="1:26" x14ac:dyDescent="0.35">
      <c r="A195" s="26">
        <v>1</v>
      </c>
      <c r="B195" s="33">
        <f>E195/(E195+F195)</f>
        <v>0.81200000000000006</v>
      </c>
      <c r="C195" s="34">
        <f>F195/(E195+F195)</f>
        <v>0.18799999999999992</v>
      </c>
      <c r="D195" s="6">
        <v>0.77900000000000003</v>
      </c>
      <c r="E195" s="7">
        <v>0.179452</v>
      </c>
      <c r="F195" s="14">
        <v>4.1547999999999974E-2</v>
      </c>
      <c r="G195" s="6">
        <v>284.10000000000002</v>
      </c>
      <c r="H195" s="14">
        <v>7.07</v>
      </c>
      <c r="I195" s="21"/>
      <c r="J195" s="21"/>
      <c r="K195" s="68">
        <v>47.723030295661374</v>
      </c>
      <c r="L195" s="8">
        <f>ABS(K195-H195*10)/H195/10</f>
        <v>0.32499249935415314</v>
      </c>
      <c r="M195" s="92">
        <v>49.386274931562163</v>
      </c>
      <c r="N195" s="90">
        <f t="shared" ref="N195:N202" si="66">ABS(M195-H195*10)/H195/10</f>
        <v>0.3014671155366031</v>
      </c>
      <c r="O195" s="91"/>
      <c r="P195" s="86"/>
      <c r="Q195" s="91"/>
      <c r="R195" s="91"/>
      <c r="S195" s="68">
        <v>49.631605959298177</v>
      </c>
      <c r="T195" s="75">
        <f t="shared" si="61"/>
        <v>0.29799708685575427</v>
      </c>
      <c r="U195" s="75"/>
      <c r="V195" s="8"/>
      <c r="W195">
        <v>48.659440632442099</v>
      </c>
      <c r="X195">
        <f t="shared" ref="X195:X202" si="67">ABS(W195-H195*10)/H195/10</f>
        <v>0.31174765724975817</v>
      </c>
    </row>
    <row r="196" spans="1:26" x14ac:dyDescent="0.35">
      <c r="A196" s="26">
        <v>2</v>
      </c>
      <c r="B196" s="33">
        <f t="shared" ref="B196:B203" si="68">E196/(E196+F196)</f>
        <v>0.77300000000000002</v>
      </c>
      <c r="C196" s="34">
        <f t="shared" ref="C196:C203" si="69">F196/(E196+F196)</f>
        <v>0.22699999999999995</v>
      </c>
      <c r="D196" s="6">
        <v>0.84699999999999998</v>
      </c>
      <c r="E196" s="7">
        <v>0.11826900000000003</v>
      </c>
      <c r="F196" s="14">
        <v>3.4730999999999998E-2</v>
      </c>
      <c r="G196" s="6">
        <v>279.2</v>
      </c>
      <c r="H196" s="14">
        <v>3.24</v>
      </c>
      <c r="I196" s="21"/>
      <c r="J196" s="21"/>
      <c r="K196" s="68">
        <v>29.761654587651261</v>
      </c>
      <c r="L196" s="8">
        <f t="shared" ref="L196:L202" si="70">ABS(K196-H196*10)/H196/10</f>
        <v>8.1430413961380996E-2</v>
      </c>
      <c r="M196" s="92">
        <v>33.360445666232863</v>
      </c>
      <c r="N196" s="90">
        <f t="shared" si="66"/>
        <v>2.9643384760273374E-2</v>
      </c>
      <c r="O196" s="91"/>
      <c r="P196" s="86"/>
      <c r="Q196" s="91"/>
      <c r="R196" s="91"/>
      <c r="S196" s="68">
        <v>33.554275479831048</v>
      </c>
      <c r="T196" s="75">
        <f t="shared" si="61"/>
        <v>3.5625786414538355E-2</v>
      </c>
      <c r="U196" s="75"/>
      <c r="V196" s="8"/>
      <c r="W196">
        <v>30.212253797710549</v>
      </c>
      <c r="X196">
        <f t="shared" si="67"/>
        <v>6.7523030934859771E-2</v>
      </c>
    </row>
    <row r="197" spans="1:26" x14ac:dyDescent="0.35">
      <c r="A197" s="26">
        <v>3</v>
      </c>
      <c r="B197" s="33">
        <f t="shared" si="68"/>
        <v>0.77300000000000002</v>
      </c>
      <c r="C197" s="34">
        <f t="shared" si="69"/>
        <v>0.22700000000000001</v>
      </c>
      <c r="D197" s="6">
        <v>0.96499999999999997</v>
      </c>
      <c r="E197" s="7">
        <v>2.7055000000000023E-2</v>
      </c>
      <c r="F197" s="14">
        <v>7.9450000000000076E-3</v>
      </c>
      <c r="G197" s="6">
        <v>280</v>
      </c>
      <c r="H197" s="14">
        <v>5</v>
      </c>
      <c r="I197" s="21"/>
      <c r="J197" s="21"/>
      <c r="K197" s="68">
        <v>32.49677709361157</v>
      </c>
      <c r="L197" s="8">
        <f t="shared" si="70"/>
        <v>0.3500644581277686</v>
      </c>
      <c r="M197" s="92">
        <v>36.128914502553336</v>
      </c>
      <c r="N197" s="90">
        <f t="shared" si="66"/>
        <v>0.27742170994893328</v>
      </c>
      <c r="O197" s="91"/>
      <c r="P197" s="86"/>
      <c r="Q197" s="91"/>
      <c r="R197" s="91"/>
      <c r="S197" s="68">
        <v>36.349975642080658</v>
      </c>
      <c r="T197" s="75">
        <f t="shared" si="61"/>
        <v>0.27300048715838682</v>
      </c>
      <c r="U197" s="75"/>
      <c r="V197" s="8"/>
      <c r="W197">
        <v>33.031069402155019</v>
      </c>
      <c r="X197">
        <f t="shared" si="67"/>
        <v>0.33937861195689961</v>
      </c>
    </row>
    <row r="198" spans="1:26" x14ac:dyDescent="0.35">
      <c r="A198" s="26">
        <v>4</v>
      </c>
      <c r="B198" s="33">
        <f t="shared" si="68"/>
        <v>0.748</v>
      </c>
      <c r="C198" s="34">
        <f t="shared" si="69"/>
        <v>0.252</v>
      </c>
      <c r="D198" s="6">
        <v>0.88900000000000001</v>
      </c>
      <c r="E198" s="7">
        <v>8.3027999999999991E-2</v>
      </c>
      <c r="F198" s="14">
        <v>2.7971999999999997E-2</v>
      </c>
      <c r="G198" s="6">
        <v>280.5</v>
      </c>
      <c r="H198" s="14">
        <v>4.16</v>
      </c>
      <c r="I198" s="21"/>
      <c r="J198" s="21"/>
      <c r="K198" s="68">
        <v>35.03204899880739</v>
      </c>
      <c r="L198" s="8">
        <f t="shared" si="70"/>
        <v>0.15788343752866854</v>
      </c>
      <c r="M198" s="93">
        <v>39.109621826356118</v>
      </c>
      <c r="N198" s="90">
        <f t="shared" si="66"/>
        <v>5.9864859943362568E-2</v>
      </c>
      <c r="O198" s="91"/>
      <c r="P198" s="86"/>
      <c r="Q198" s="91"/>
      <c r="R198" s="91"/>
      <c r="S198" s="68">
        <v>39.388116365339641</v>
      </c>
      <c r="T198" s="75">
        <f t="shared" si="61"/>
        <v>5.3170279679335575E-2</v>
      </c>
      <c r="U198" s="75"/>
      <c r="V198" s="8"/>
      <c r="W198">
        <v>35.662904999736824</v>
      </c>
      <c r="X198">
        <f t="shared" si="67"/>
        <v>0.14271862981401867</v>
      </c>
    </row>
    <row r="199" spans="1:26" x14ac:dyDescent="0.35">
      <c r="A199" s="26">
        <v>5</v>
      </c>
      <c r="B199" s="33">
        <f t="shared" si="68"/>
        <v>0.47599999999999992</v>
      </c>
      <c r="C199" s="34">
        <f t="shared" si="69"/>
        <v>0.52400000000000002</v>
      </c>
      <c r="D199" s="6">
        <v>0.80300000000000005</v>
      </c>
      <c r="E199" s="7">
        <v>9.3771999999999966E-2</v>
      </c>
      <c r="F199" s="14">
        <v>0.10322799999999999</v>
      </c>
      <c r="G199" s="6">
        <v>278.10000000000002</v>
      </c>
      <c r="H199" s="14">
        <v>4.76</v>
      </c>
      <c r="I199" s="21"/>
      <c r="J199" s="21"/>
      <c r="K199" s="68">
        <v>38.594874525615275</v>
      </c>
      <c r="L199" s="8">
        <f t="shared" si="70"/>
        <v>0.18918330828539326</v>
      </c>
      <c r="M199" s="92">
        <v>49.786298893813253</v>
      </c>
      <c r="N199" s="90">
        <f t="shared" si="66"/>
        <v>4.593064902969031E-2</v>
      </c>
      <c r="O199" s="91"/>
      <c r="P199" s="86"/>
      <c r="Q199" s="91"/>
      <c r="R199" s="91"/>
      <c r="S199" s="68">
        <v>51.200002436936082</v>
      </c>
      <c r="T199" s="75">
        <f t="shared" si="61"/>
        <v>7.5630303296976634E-2</v>
      </c>
      <c r="U199" s="75"/>
      <c r="V199" s="8"/>
      <c r="W199">
        <v>39.245933314629752</v>
      </c>
      <c r="X199">
        <f t="shared" si="67"/>
        <v>0.17550560263382861</v>
      </c>
    </row>
    <row r="200" spans="1:26" x14ac:dyDescent="0.35">
      <c r="A200" s="26">
        <v>6</v>
      </c>
      <c r="B200" s="33">
        <f t="shared" si="68"/>
        <v>0.47599999999999998</v>
      </c>
      <c r="C200" s="34">
        <f t="shared" si="69"/>
        <v>0.52400000000000002</v>
      </c>
      <c r="D200" s="6">
        <v>0.94299999999999995</v>
      </c>
      <c r="E200" s="7">
        <v>2.7132000000000024E-2</v>
      </c>
      <c r="F200" s="14">
        <v>2.9868000000000026E-2</v>
      </c>
      <c r="G200" s="6">
        <v>280.7</v>
      </c>
      <c r="H200" s="14">
        <v>10.67</v>
      </c>
      <c r="I200" s="21"/>
      <c r="J200" s="21"/>
      <c r="K200" s="68">
        <v>51.981639233173127</v>
      </c>
      <c r="L200" s="8">
        <f t="shared" si="70"/>
        <v>0.51282437457194818</v>
      </c>
      <c r="M200" s="92">
        <v>66.970037873487584</v>
      </c>
      <c r="N200" s="90">
        <f t="shared" si="66"/>
        <v>0.3723520349251398</v>
      </c>
      <c r="O200" s="91"/>
      <c r="P200" s="86"/>
      <c r="Q200" s="91"/>
      <c r="R200" s="91"/>
      <c r="S200" s="68">
        <v>69.366254532207364</v>
      </c>
      <c r="T200" s="75">
        <f t="shared" si="61"/>
        <v>0.34989452172251767</v>
      </c>
      <c r="U200" s="75"/>
      <c r="V200" s="8"/>
      <c r="W200">
        <v>53.020529838734056</v>
      </c>
      <c r="X200">
        <f t="shared" si="67"/>
        <v>0.50308781781879985</v>
      </c>
    </row>
    <row r="201" spans="1:26" x14ac:dyDescent="0.35">
      <c r="A201" s="26">
        <v>7</v>
      </c>
      <c r="B201" s="33">
        <f t="shared" si="68"/>
        <v>0.27100000000000002</v>
      </c>
      <c r="C201" s="34">
        <f t="shared" si="69"/>
        <v>0.72899999999999998</v>
      </c>
      <c r="D201" s="6">
        <v>0.66600000000000004</v>
      </c>
      <c r="E201" s="7">
        <v>9.0513999999999997E-2</v>
      </c>
      <c r="F201" s="14">
        <v>0.24348599999999998</v>
      </c>
      <c r="G201" s="6">
        <v>279.60000000000002</v>
      </c>
      <c r="H201" s="14">
        <v>9.76</v>
      </c>
      <c r="I201" s="21"/>
      <c r="J201" s="21"/>
      <c r="K201" s="68">
        <v>74.23707540743743</v>
      </c>
      <c r="L201" s="8">
        <f t="shared" si="70"/>
        <v>0.23937422738281317</v>
      </c>
      <c r="M201" s="92">
        <v>104.81384741886261</v>
      </c>
      <c r="N201" s="90">
        <f t="shared" si="66"/>
        <v>7.3912371094903825E-2</v>
      </c>
      <c r="O201" s="91"/>
      <c r="P201" s="86"/>
      <c r="Q201" s="91"/>
      <c r="R201" s="91"/>
      <c r="S201" s="68">
        <v>117.52896650682236</v>
      </c>
      <c r="T201" s="75">
        <f t="shared" si="61"/>
        <v>0.20419023060268815</v>
      </c>
      <c r="U201" s="75"/>
      <c r="V201" s="8"/>
      <c r="W201">
        <v>73.791569008918145</v>
      </c>
      <c r="X201">
        <f t="shared" si="67"/>
        <v>0.24393884212174025</v>
      </c>
    </row>
    <row r="202" spans="1:26" x14ac:dyDescent="0.35">
      <c r="A202" s="26">
        <v>8</v>
      </c>
      <c r="B202" s="33">
        <f t="shared" si="68"/>
        <v>0.27100000000000002</v>
      </c>
      <c r="C202" s="34">
        <f t="shared" si="69"/>
        <v>0.72899999999999998</v>
      </c>
      <c r="D202" s="6">
        <v>0.89500000000000002</v>
      </c>
      <c r="E202" s="7">
        <v>2.8454999999999998E-2</v>
      </c>
      <c r="F202" s="14">
        <v>7.6544999999999988E-2</v>
      </c>
      <c r="G202" s="6">
        <v>282.39999999999998</v>
      </c>
      <c r="H202" s="14">
        <v>19.170000000000002</v>
      </c>
      <c r="I202" s="21"/>
      <c r="J202" s="21"/>
      <c r="K202" s="68">
        <v>109.72923070431388</v>
      </c>
      <c r="L202" s="8">
        <f t="shared" si="70"/>
        <v>0.42759921385334448</v>
      </c>
      <c r="M202" s="92">
        <v>163.49667537775431</v>
      </c>
      <c r="N202" s="90">
        <f t="shared" si="66"/>
        <v>0.14712219416925248</v>
      </c>
      <c r="O202" s="91"/>
      <c r="P202" s="86"/>
      <c r="Q202" s="91"/>
      <c r="R202" s="91"/>
      <c r="S202" s="68">
        <v>202.96770607284063</v>
      </c>
      <c r="T202" s="75">
        <f t="shared" si="61"/>
        <v>5.8777809456654194E-2</v>
      </c>
      <c r="U202" s="75"/>
      <c r="V202" s="8"/>
      <c r="W202">
        <v>107.96317957552098</v>
      </c>
      <c r="X202">
        <f t="shared" si="67"/>
        <v>0.43681179146833082</v>
      </c>
    </row>
    <row r="203" spans="1:26" ht="15" thickBot="1" x14ac:dyDescent="0.4">
      <c r="A203" s="26">
        <v>9</v>
      </c>
      <c r="B203" s="35">
        <f t="shared" si="68"/>
        <v>0.27100000000000002</v>
      </c>
      <c r="C203" s="36">
        <f t="shared" si="69"/>
        <v>0.72899999999999998</v>
      </c>
      <c r="D203" s="9">
        <v>0.95599999999999996</v>
      </c>
      <c r="E203" s="10">
        <v>1.1924000000000011E-2</v>
      </c>
      <c r="F203" s="15">
        <v>3.2076000000000028E-2</v>
      </c>
      <c r="G203" s="9">
        <v>285.3</v>
      </c>
      <c r="H203" s="15">
        <v>29.92</v>
      </c>
      <c r="I203" s="23"/>
      <c r="J203" s="23"/>
      <c r="K203" s="68">
        <v>188.82029760216125</v>
      </c>
      <c r="L203" s="8"/>
      <c r="M203" s="92"/>
      <c r="N203" s="91"/>
      <c r="O203" s="91"/>
      <c r="P203" s="86"/>
      <c r="Q203" s="91"/>
      <c r="R203" s="91"/>
      <c r="S203" s="68"/>
      <c r="T203" s="75">
        <f t="shared" si="61"/>
        <v>1.0000000000000002</v>
      </c>
      <c r="U203" s="75"/>
      <c r="V203" s="8"/>
      <c r="W203">
        <v>179.2662285800335</v>
      </c>
    </row>
    <row r="204" spans="1:26" ht="15" thickBot="1" x14ac:dyDescent="0.4">
      <c r="A204" s="160" t="s">
        <v>20</v>
      </c>
      <c r="B204" s="161"/>
      <c r="C204" s="161"/>
      <c r="D204" s="161"/>
      <c r="E204" s="161"/>
      <c r="F204" s="161"/>
      <c r="G204" s="161"/>
      <c r="H204" s="161"/>
      <c r="I204" s="161"/>
      <c r="J204" s="162"/>
      <c r="K204" s="73"/>
      <c r="L204" s="74">
        <f>SUM(L195:L202)/8</f>
        <v>0.28541899163318379</v>
      </c>
      <c r="M204" s="92"/>
      <c r="N204" s="91">
        <f>SUM(N195:N202)/8</f>
        <v>0.16346428992601986</v>
      </c>
      <c r="O204" s="91"/>
      <c r="P204" s="86"/>
      <c r="Q204" s="91"/>
      <c r="R204" s="91"/>
      <c r="S204" s="73"/>
      <c r="T204" s="76">
        <f>SUM(T195:T202)/8</f>
        <v>0.16853581314835647</v>
      </c>
      <c r="U204" s="76"/>
      <c r="V204" s="74"/>
      <c r="X204">
        <f>SUM(X195:X202)/8</f>
        <v>0.27758899799977949</v>
      </c>
      <c r="Y204" s="42"/>
      <c r="Z204" s="42"/>
    </row>
    <row r="205" spans="1:26" ht="14.15" customHeight="1" x14ac:dyDescent="0.35">
      <c r="A205" s="26">
        <v>1</v>
      </c>
      <c r="B205" s="31">
        <f>E205/(E205+F205)</f>
        <v>0.75008989572096374</v>
      </c>
      <c r="C205" s="32">
        <f>F205/(E205+F205)</f>
        <v>0.24991010427903637</v>
      </c>
      <c r="D205" s="31">
        <v>0.84729009939047828</v>
      </c>
      <c r="E205" s="39">
        <v>0.11454615342375488</v>
      </c>
      <c r="F205" s="32">
        <v>3.8163747185766851E-2</v>
      </c>
      <c r="G205" s="5">
        <v>273.60000000000002</v>
      </c>
      <c r="H205" s="13">
        <v>2.032</v>
      </c>
      <c r="I205" s="24">
        <v>0.97</v>
      </c>
      <c r="J205" s="24">
        <v>0.61699999999999999</v>
      </c>
      <c r="K205" s="68">
        <v>16.681111932318245</v>
      </c>
      <c r="L205" s="8">
        <f>ABS(K205-H205*10)/10/H205</f>
        <v>0.17907913718906274</v>
      </c>
      <c r="M205" s="89">
        <v>20.378719217754877</v>
      </c>
      <c r="N205" s="90">
        <f t="shared" ref="N205:N239" si="71">ABS(M205-H205*10)/H205/10</f>
        <v>2.889725283212461E-3</v>
      </c>
      <c r="O205" s="91">
        <v>0.96207145966018437</v>
      </c>
      <c r="P205" s="86">
        <f>ABS(O205-I205)/I205</f>
        <v>8.1737529276449533E-3</v>
      </c>
      <c r="Q205" s="91"/>
      <c r="R205" s="91"/>
      <c r="S205" s="68">
        <v>20.500855493210562</v>
      </c>
      <c r="T205" s="75">
        <f t="shared" ref="T205:T239" si="72">ABS(S205-H205*10)/H205/10</f>
        <v>8.9003687603622771E-3</v>
      </c>
      <c r="U205" s="75"/>
      <c r="V205" s="8"/>
      <c r="W205">
        <v>16.835107805809194</v>
      </c>
      <c r="X205">
        <f t="shared" ref="X205:X239" si="73">ABS(W205-H205*10)/H205/10</f>
        <v>0.17150060010781526</v>
      </c>
    </row>
    <row r="206" spans="1:26" x14ac:dyDescent="0.35">
      <c r="A206" s="26">
        <v>2</v>
      </c>
      <c r="B206" s="33">
        <f t="shared" ref="B206:B239" si="74">E206/(E206+F206)</f>
        <v>0.24996790345358838</v>
      </c>
      <c r="C206" s="34">
        <f t="shared" ref="C206:C239" si="75">F206/(E206+F206)</f>
        <v>0.75003209654641156</v>
      </c>
      <c r="D206" s="33">
        <v>0.66640969634673863</v>
      </c>
      <c r="E206" s="40">
        <v>8.338686881665168E-2</v>
      </c>
      <c r="F206" s="34">
        <v>0.25020343483660973</v>
      </c>
      <c r="G206" s="6">
        <v>273.60000000000002</v>
      </c>
      <c r="H206" s="14">
        <v>8.1489999999999991</v>
      </c>
      <c r="I206" s="29">
        <v>0.65700000000000003</v>
      </c>
      <c r="J206" s="29">
        <v>0.17100000000000001</v>
      </c>
      <c r="K206" s="68">
        <v>39.608940846792159</v>
      </c>
      <c r="L206" s="8">
        <f t="shared" ref="L206:L239" si="76">ABS(K206-H206*10)/10/H206</f>
        <v>0.51394108667576199</v>
      </c>
      <c r="M206" s="89">
        <v>55.734327859049088</v>
      </c>
      <c r="N206" s="90">
        <f t="shared" si="71"/>
        <v>0.31605929734876559</v>
      </c>
      <c r="O206" s="91">
        <v>0.72863004973722079</v>
      </c>
      <c r="P206" s="86">
        <f t="shared" ref="P206:P239" si="77">ABS(O206-I206)/I206</f>
        <v>0.10902595089379111</v>
      </c>
      <c r="Q206" s="91"/>
      <c r="R206" s="91"/>
      <c r="S206" s="68">
        <v>60.189897084942537</v>
      </c>
      <c r="T206" s="75">
        <f t="shared" si="72"/>
        <v>0.26138302755009768</v>
      </c>
      <c r="U206" s="75"/>
      <c r="V206" s="8"/>
      <c r="W206">
        <v>39.337941873819155</v>
      </c>
      <c r="X206">
        <f t="shared" si="73"/>
        <v>0.5172666354912363</v>
      </c>
    </row>
    <row r="207" spans="1:26" x14ac:dyDescent="0.35">
      <c r="A207" s="26">
        <v>3</v>
      </c>
      <c r="B207" s="33">
        <f t="shared" si="74"/>
        <v>0.24996790345358838</v>
      </c>
      <c r="C207" s="34">
        <f t="shared" si="75"/>
        <v>0.75003209654641156</v>
      </c>
      <c r="D207" s="33">
        <v>0.89531476802322452</v>
      </c>
      <c r="E207" s="40">
        <v>2.6167947959787108E-2</v>
      </c>
      <c r="F207" s="34">
        <v>7.8517284016988334E-2</v>
      </c>
      <c r="G207" s="6">
        <v>273.60000000000002</v>
      </c>
      <c r="H207" s="14">
        <v>11.943</v>
      </c>
      <c r="I207" s="29">
        <v>0.373</v>
      </c>
      <c r="J207" s="29">
        <v>0.17899999999999999</v>
      </c>
      <c r="K207" s="68">
        <v>39.81826527509174</v>
      </c>
      <c r="L207" s="8">
        <f t="shared" si="76"/>
        <v>0.66659746064563552</v>
      </c>
      <c r="M207" s="89">
        <v>56.232502440831915</v>
      </c>
      <c r="N207" s="90">
        <f t="shared" si="71"/>
        <v>0.52915931976193653</v>
      </c>
      <c r="O207" s="91">
        <v>0.72566688747791674</v>
      </c>
      <c r="P207" s="86">
        <f t="shared" si="77"/>
        <v>0.94548763398905289</v>
      </c>
      <c r="Q207" s="91"/>
      <c r="R207" s="91"/>
      <c r="S207" s="68">
        <v>60.873535785252017</v>
      </c>
      <c r="T207" s="75">
        <f t="shared" si="72"/>
        <v>0.49029945754624443</v>
      </c>
      <c r="U207" s="75"/>
      <c r="V207" s="8"/>
      <c r="W207">
        <v>39.530304855136905</v>
      </c>
      <c r="X207">
        <f t="shared" si="73"/>
        <v>0.66900858364617843</v>
      </c>
    </row>
    <row r="208" spans="1:26" x14ac:dyDescent="0.35">
      <c r="A208" s="26">
        <v>4</v>
      </c>
      <c r="B208" s="33">
        <f t="shared" si="74"/>
        <v>0.75703139176193068</v>
      </c>
      <c r="C208" s="34">
        <f t="shared" si="75"/>
        <v>0.24296860823806929</v>
      </c>
      <c r="D208" s="33">
        <v>0.96522830949391447</v>
      </c>
      <c r="E208" s="40">
        <v>2.6323261257737034E-2</v>
      </c>
      <c r="F208" s="34">
        <v>8.4484292483484862E-3</v>
      </c>
      <c r="G208" s="6">
        <v>273.60000000000002</v>
      </c>
      <c r="H208" s="14">
        <v>2.9620000000000002</v>
      </c>
      <c r="I208" s="29">
        <v>0.89700000000000002</v>
      </c>
      <c r="J208" s="29">
        <v>0.42899999999999999</v>
      </c>
      <c r="K208" s="68">
        <v>16.585017027081861</v>
      </c>
      <c r="L208" s="8">
        <f t="shared" si="76"/>
        <v>0.4400736992882559</v>
      </c>
      <c r="M208" s="89">
        <v>20.239490161263543</v>
      </c>
      <c r="N208" s="90">
        <f t="shared" si="71"/>
        <v>0.3166951329755725</v>
      </c>
      <c r="O208" s="91">
        <v>0.96310217071477422</v>
      </c>
      <c r="P208" s="86">
        <f t="shared" si="77"/>
        <v>7.3692498009781712E-2</v>
      </c>
      <c r="Q208" s="91"/>
      <c r="R208" s="91"/>
      <c r="S208" s="68">
        <v>20.357443481620511</v>
      </c>
      <c r="T208" s="75">
        <f t="shared" si="72"/>
        <v>0.31271291419242031</v>
      </c>
      <c r="U208" s="75"/>
      <c r="V208" s="8"/>
      <c r="W208">
        <v>16.735864799201458</v>
      </c>
      <c r="X208">
        <f t="shared" si="73"/>
        <v>0.43498093182979547</v>
      </c>
    </row>
    <row r="209" spans="1:24" x14ac:dyDescent="0.35">
      <c r="A209" s="26">
        <v>5</v>
      </c>
      <c r="B209" s="33">
        <f t="shared" si="74"/>
        <v>0.48488830486202361</v>
      </c>
      <c r="C209" s="34">
        <f t="shared" si="75"/>
        <v>0.51511169513797639</v>
      </c>
      <c r="D209" s="33">
        <v>0.80114972563365572</v>
      </c>
      <c r="E209" s="40">
        <v>9.6420172458845058E-2</v>
      </c>
      <c r="F209" s="34">
        <v>0.10243010190749936</v>
      </c>
      <c r="G209" s="6">
        <v>273.60000000000002</v>
      </c>
      <c r="H209" s="14">
        <v>3.7610000000000001</v>
      </c>
      <c r="I209" s="29"/>
      <c r="J209" s="29">
        <v>0.32</v>
      </c>
      <c r="K209" s="68">
        <v>23.338803331098674</v>
      </c>
      <c r="L209" s="8">
        <f t="shared" si="76"/>
        <v>0.3794521847620666</v>
      </c>
      <c r="M209" s="89">
        <v>30.928552332556258</v>
      </c>
      <c r="N209" s="90">
        <f t="shared" si="71"/>
        <v>0.1776508287009769</v>
      </c>
      <c r="O209" s="91">
        <v>0.88698048206168845</v>
      </c>
      <c r="P209" s="86"/>
      <c r="Q209" s="91"/>
      <c r="R209" s="91"/>
      <c r="S209" s="68">
        <v>31.628729026737858</v>
      </c>
      <c r="T209" s="75">
        <f t="shared" si="72"/>
        <v>0.15903405937947729</v>
      </c>
      <c r="U209" s="75"/>
      <c r="V209" s="8"/>
      <c r="W209">
        <v>23.613430253359137</v>
      </c>
      <c r="X209">
        <f t="shared" si="73"/>
        <v>0.37215021926723907</v>
      </c>
    </row>
    <row r="210" spans="1:24" x14ac:dyDescent="0.35">
      <c r="A210" s="26">
        <v>6</v>
      </c>
      <c r="B210" s="33">
        <f t="shared" si="74"/>
        <v>0.73933236574746009</v>
      </c>
      <c r="C210" s="34">
        <f t="shared" si="75"/>
        <v>0.26066763425253997</v>
      </c>
      <c r="D210" s="33">
        <v>0.88876331934129804</v>
      </c>
      <c r="E210" s="40">
        <v>8.2240878269292855E-2</v>
      </c>
      <c r="F210" s="34">
        <v>2.8995802389409107E-2</v>
      </c>
      <c r="G210" s="6">
        <v>274.60000000000002</v>
      </c>
      <c r="H210" s="14">
        <v>2.5430000000000001</v>
      </c>
      <c r="I210" s="29">
        <v>0.73899999999999999</v>
      </c>
      <c r="J210" s="29">
        <v>0.72799999999999998</v>
      </c>
      <c r="K210" s="68">
        <v>18.783395639810539</v>
      </c>
      <c r="L210" s="8">
        <f t="shared" si="76"/>
        <v>0.26136863390442233</v>
      </c>
      <c r="M210" s="89">
        <v>22.705763434057769</v>
      </c>
      <c r="N210" s="90">
        <f t="shared" si="71"/>
        <v>0.10712688029658793</v>
      </c>
      <c r="O210" s="91">
        <v>0.95879344285089241</v>
      </c>
      <c r="P210" s="86">
        <f t="shared" si="77"/>
        <v>0.29742008504856893</v>
      </c>
      <c r="Q210" s="91"/>
      <c r="R210" s="91"/>
      <c r="S210" s="68">
        <v>22.853552511322025</v>
      </c>
      <c r="T210" s="75">
        <f t="shared" si="72"/>
        <v>0.101315276786393</v>
      </c>
      <c r="U210" s="75"/>
      <c r="V210" s="8"/>
      <c r="W210">
        <v>18.982623735284356</v>
      </c>
      <c r="X210">
        <f t="shared" si="73"/>
        <v>0.25353426129436268</v>
      </c>
    </row>
    <row r="211" spans="1:24" x14ac:dyDescent="0.35">
      <c r="A211" s="26">
        <v>7</v>
      </c>
      <c r="B211" s="33">
        <f t="shared" si="74"/>
        <v>0.71503353508915424</v>
      </c>
      <c r="C211" s="34">
        <f t="shared" si="75"/>
        <v>0.28496646491084576</v>
      </c>
      <c r="D211" s="33">
        <v>0.77077396130193487</v>
      </c>
      <c r="E211" s="40">
        <v>0.16390430478476076</v>
      </c>
      <c r="F211" s="34">
        <v>6.5321733913304342E-2</v>
      </c>
      <c r="G211" s="6">
        <v>274.89999999999998</v>
      </c>
      <c r="H211" s="14">
        <v>5.2039999999999997</v>
      </c>
      <c r="I211" s="29">
        <v>0.78800000000000003</v>
      </c>
      <c r="J211" s="29">
        <v>0.71699999999999997</v>
      </c>
      <c r="K211" s="68">
        <v>19.886716562112614</v>
      </c>
      <c r="L211" s="8">
        <f t="shared" si="76"/>
        <v>0.61785709911390052</v>
      </c>
      <c r="M211" s="89">
        <v>23.45292673081374</v>
      </c>
      <c r="N211" s="90">
        <f t="shared" si="71"/>
        <v>0.54932884837022022</v>
      </c>
      <c r="O211" s="91">
        <v>0.95372193484192613</v>
      </c>
      <c r="P211" s="86">
        <f t="shared" si="77"/>
        <v>0.21030702391107373</v>
      </c>
      <c r="Q211" s="91"/>
      <c r="R211" s="91"/>
      <c r="S211" s="68">
        <v>24.306720399366036</v>
      </c>
      <c r="T211" s="75">
        <f t="shared" si="72"/>
        <v>0.53292235973547197</v>
      </c>
      <c r="U211" s="75"/>
      <c r="V211" s="8"/>
      <c r="W211">
        <v>20.117028707103611</v>
      </c>
      <c r="X211">
        <f t="shared" si="73"/>
        <v>0.61343142376818582</v>
      </c>
    </row>
    <row r="212" spans="1:24" x14ac:dyDescent="0.35">
      <c r="A212" s="26">
        <v>8</v>
      </c>
      <c r="B212" s="33">
        <f t="shared" si="74"/>
        <v>0.75008989572096374</v>
      </c>
      <c r="C212" s="34">
        <f t="shared" si="75"/>
        <v>0.24991010427903637</v>
      </c>
      <c r="D212" s="33">
        <v>0.84729009939047828</v>
      </c>
      <c r="E212" s="40">
        <v>0.11454615342375488</v>
      </c>
      <c r="F212" s="34">
        <v>3.8163747185766851E-2</v>
      </c>
      <c r="G212" s="6">
        <v>275.2</v>
      </c>
      <c r="H212" s="14">
        <v>2.29</v>
      </c>
      <c r="I212" s="29">
        <v>0.89700000000000002</v>
      </c>
      <c r="J212" s="29">
        <v>0.65600000000000003</v>
      </c>
      <c r="K212" s="68">
        <v>19.817602560442712</v>
      </c>
      <c r="L212" s="8">
        <f t="shared" si="76"/>
        <v>0.13460250827761078</v>
      </c>
      <c r="M212" s="89">
        <v>23.670226270443635</v>
      </c>
      <c r="N212" s="90">
        <f t="shared" si="71"/>
        <v>3.3634334953870589E-2</v>
      </c>
      <c r="O212" s="91">
        <v>0.96037219661257034</v>
      </c>
      <c r="P212" s="86">
        <f t="shared" si="77"/>
        <v>7.0649048620479729E-2</v>
      </c>
      <c r="Q212" s="91"/>
      <c r="R212" s="91"/>
      <c r="S212" s="68">
        <v>23.816060029500942</v>
      </c>
      <c r="T212" s="75">
        <f t="shared" si="72"/>
        <v>4.0002621375587064E-2</v>
      </c>
      <c r="U212" s="75"/>
      <c r="V212" s="8"/>
      <c r="W212">
        <v>20.034921994975438</v>
      </c>
      <c r="X212">
        <f t="shared" si="73"/>
        <v>0.12511257663862713</v>
      </c>
    </row>
    <row r="213" spans="1:24" x14ac:dyDescent="0.35">
      <c r="A213" s="26">
        <v>9</v>
      </c>
      <c r="B213" s="33">
        <f t="shared" si="74"/>
        <v>0.73933236574746009</v>
      </c>
      <c r="C213" s="34">
        <f t="shared" si="75"/>
        <v>0.26066763425253997</v>
      </c>
      <c r="D213" s="33">
        <v>0.88876331934129804</v>
      </c>
      <c r="E213" s="40">
        <v>8.2240878269292855E-2</v>
      </c>
      <c r="F213" s="34">
        <v>2.8995802389409107E-2</v>
      </c>
      <c r="G213" s="6">
        <v>275.2</v>
      </c>
      <c r="H213" s="14">
        <v>2.6429999999999998</v>
      </c>
      <c r="I213" s="29">
        <v>0.88800000000000001</v>
      </c>
      <c r="J213" s="29">
        <v>0.72899999999999998</v>
      </c>
      <c r="K213" s="68">
        <v>20.036637845991248</v>
      </c>
      <c r="L213" s="8">
        <f t="shared" si="76"/>
        <v>0.24189792485844697</v>
      </c>
      <c r="M213" s="94">
        <v>24.022015052773586</v>
      </c>
      <c r="N213" s="90">
        <f t="shared" si="71"/>
        <v>9.1108019191313422E-2</v>
      </c>
      <c r="O213" s="91">
        <v>0.95808833343925404</v>
      </c>
      <c r="P213" s="86">
        <f t="shared" si="77"/>
        <v>7.8928303422583362E-2</v>
      </c>
      <c r="Q213" s="91"/>
      <c r="R213" s="91"/>
      <c r="S213" s="68">
        <v>24.180139401063375</v>
      </c>
      <c r="T213" s="75">
        <f t="shared" si="72"/>
        <v>8.5125259134946091E-2</v>
      </c>
      <c r="U213" s="75"/>
      <c r="V213" s="8"/>
      <c r="W213">
        <v>20.262883603351117</v>
      </c>
      <c r="X213">
        <f t="shared" si="73"/>
        <v>0.23333773729280677</v>
      </c>
    </row>
    <row r="214" spans="1:24" x14ac:dyDescent="0.35">
      <c r="A214" s="26">
        <v>10</v>
      </c>
      <c r="B214" s="33">
        <f t="shared" si="74"/>
        <v>0.75008989572096363</v>
      </c>
      <c r="C214" s="34">
        <f t="shared" si="75"/>
        <v>0.24991010427903629</v>
      </c>
      <c r="D214" s="33">
        <v>0.96491781357621331</v>
      </c>
      <c r="E214" s="40">
        <v>2.6314793556281621E-2</v>
      </c>
      <c r="F214" s="34">
        <v>8.7673928675051412E-3</v>
      </c>
      <c r="G214" s="6">
        <v>275.2</v>
      </c>
      <c r="H214" s="14">
        <v>3.2559999999999998</v>
      </c>
      <c r="I214" s="29">
        <v>0.879</v>
      </c>
      <c r="J214" s="29">
        <v>0.44900000000000001</v>
      </c>
      <c r="K214" s="68">
        <v>19.848138945969232</v>
      </c>
      <c r="L214" s="8">
        <f t="shared" si="76"/>
        <v>0.39041342303534282</v>
      </c>
      <c r="M214" s="89">
        <v>23.736840546639129</v>
      </c>
      <c r="N214" s="90">
        <f t="shared" si="71"/>
        <v>0.27098155569290128</v>
      </c>
      <c r="O214" s="91">
        <v>0.95993928045002819</v>
      </c>
      <c r="P214" s="86">
        <f t="shared" si="77"/>
        <v>9.2081092662148104E-2</v>
      </c>
      <c r="Q214" s="91"/>
      <c r="R214" s="91"/>
      <c r="S214" s="68">
        <v>23.885691157324864</v>
      </c>
      <c r="T214" s="75">
        <f t="shared" si="72"/>
        <v>0.26640997674063671</v>
      </c>
      <c r="U214" s="75"/>
      <c r="V214" s="8"/>
      <c r="W214">
        <v>20.067339348092943</v>
      </c>
      <c r="X214">
        <f t="shared" si="73"/>
        <v>0.38368122395291931</v>
      </c>
    </row>
    <row r="215" spans="1:24" x14ac:dyDescent="0.35">
      <c r="A215" s="26">
        <v>11</v>
      </c>
      <c r="B215" s="33">
        <f t="shared" si="74"/>
        <v>0.48488830486202367</v>
      </c>
      <c r="C215" s="34">
        <f t="shared" si="75"/>
        <v>0.51511169513797639</v>
      </c>
      <c r="D215" s="33">
        <v>0.80320662011895527</v>
      </c>
      <c r="E215" s="40">
        <v>9.5422808378588062E-2</v>
      </c>
      <c r="F215" s="34">
        <v>0.10137057150245669</v>
      </c>
      <c r="G215" s="6">
        <v>275.2</v>
      </c>
      <c r="H215" s="14">
        <v>4.0449999999999999</v>
      </c>
      <c r="I215" s="29"/>
      <c r="J215" s="29">
        <v>0.35699999999999998</v>
      </c>
      <c r="K215" s="68">
        <v>27.73504420567432</v>
      </c>
      <c r="L215" s="8">
        <f t="shared" si="76"/>
        <v>0.31433759689309476</v>
      </c>
      <c r="M215" s="89">
        <v>36.292571168166432</v>
      </c>
      <c r="N215" s="90">
        <f t="shared" si="71"/>
        <v>0.10277945196127491</v>
      </c>
      <c r="O215" s="91">
        <v>0.88172591082119611</v>
      </c>
      <c r="P215" s="86"/>
      <c r="Q215" s="91"/>
      <c r="R215" s="91"/>
      <c r="S215" s="68">
        <v>37.158084440687496</v>
      </c>
      <c r="T215" s="75">
        <f t="shared" si="72"/>
        <v>8.1382337683869141E-2</v>
      </c>
      <c r="U215" s="75"/>
      <c r="V215" s="8"/>
      <c r="W215">
        <v>28.112893726577784</v>
      </c>
      <c r="X215">
        <f t="shared" si="73"/>
        <v>0.30499644680895471</v>
      </c>
    </row>
    <row r="216" spans="1:24" x14ac:dyDescent="0.35">
      <c r="A216" s="26">
        <v>12</v>
      </c>
      <c r="B216" s="33">
        <f t="shared" si="74"/>
        <v>0.48488830486202361</v>
      </c>
      <c r="C216" s="34">
        <f t="shared" si="75"/>
        <v>0.51511169513797628</v>
      </c>
      <c r="D216" s="33">
        <v>0.94281205380626742</v>
      </c>
      <c r="E216" s="40">
        <v>2.7729766288419631E-2</v>
      </c>
      <c r="F216" s="34">
        <v>2.9458179905312996E-2</v>
      </c>
      <c r="G216" s="6">
        <v>275.2</v>
      </c>
      <c r="H216" s="14">
        <v>7.45</v>
      </c>
      <c r="I216" s="29">
        <v>0.81699999999999995</v>
      </c>
      <c r="J216" s="29">
        <v>0.17399999999999999</v>
      </c>
      <c r="K216" s="68">
        <v>27.831000486055604</v>
      </c>
      <c r="L216" s="8">
        <f t="shared" si="76"/>
        <v>0.62642952367710591</v>
      </c>
      <c r="M216" s="89">
        <v>36.528613069523551</v>
      </c>
      <c r="N216" s="90">
        <f t="shared" si="71"/>
        <v>0.5096830460466637</v>
      </c>
      <c r="O216" s="91">
        <v>0.88031440277610107</v>
      </c>
      <c r="P216" s="86">
        <f t="shared" si="77"/>
        <v>7.7496209028275545E-2</v>
      </c>
      <c r="Q216" s="91"/>
      <c r="R216" s="91"/>
      <c r="S216" s="68">
        <v>37.423289245854612</v>
      </c>
      <c r="T216" s="75">
        <f t="shared" si="72"/>
        <v>0.49767396985430051</v>
      </c>
      <c r="U216" s="75"/>
      <c r="V216" s="8"/>
      <c r="W216">
        <v>28.211286989759312</v>
      </c>
      <c r="X216">
        <f t="shared" si="73"/>
        <v>0.62132500684886827</v>
      </c>
    </row>
    <row r="217" spans="1:24" x14ac:dyDescent="0.35">
      <c r="A217" s="26">
        <v>13</v>
      </c>
      <c r="B217" s="33">
        <f t="shared" si="74"/>
        <v>0.24996790345358838</v>
      </c>
      <c r="C217" s="34">
        <f t="shared" si="75"/>
        <v>0.75003209654641156</v>
      </c>
      <c r="D217" s="33">
        <v>0.66577987556318385</v>
      </c>
      <c r="E217" s="40">
        <v>8.3544303797468356E-2</v>
      </c>
      <c r="F217" s="34">
        <v>0.25067582063934779</v>
      </c>
      <c r="G217" s="6">
        <v>275.2</v>
      </c>
      <c r="H217" s="14">
        <v>8.2460000000000004</v>
      </c>
      <c r="I217" s="29">
        <v>0.79900000000000004</v>
      </c>
      <c r="J217" s="29">
        <v>0.17599999999999999</v>
      </c>
      <c r="K217" s="68">
        <v>47.389958359760868</v>
      </c>
      <c r="L217" s="8">
        <f t="shared" si="76"/>
        <v>0.42529761872712996</v>
      </c>
      <c r="M217" s="89">
        <v>66.435559611133229</v>
      </c>
      <c r="N217" s="90">
        <f t="shared" si="71"/>
        <v>0.19432986161613847</v>
      </c>
      <c r="O217" s="91">
        <v>0.71587516501589854</v>
      </c>
      <c r="P217" s="86">
        <f t="shared" si="77"/>
        <v>0.10403608884117835</v>
      </c>
      <c r="Q217" s="91"/>
      <c r="R217" s="91"/>
      <c r="S217" s="68">
        <v>72.321825215885511</v>
      </c>
      <c r="T217" s="75">
        <f t="shared" si="72"/>
        <v>0.12294657754201428</v>
      </c>
      <c r="U217" s="75"/>
      <c r="V217" s="8"/>
      <c r="W217">
        <v>47.042611464717204</v>
      </c>
      <c r="X217">
        <f t="shared" si="73"/>
        <v>0.42950992645261704</v>
      </c>
    </row>
    <row r="218" spans="1:24" x14ac:dyDescent="0.35">
      <c r="A218" s="26">
        <v>14</v>
      </c>
      <c r="B218" s="33">
        <f t="shared" si="74"/>
        <v>0.24996790345358838</v>
      </c>
      <c r="C218" s="34">
        <f t="shared" si="75"/>
        <v>0.75003209654641156</v>
      </c>
      <c r="D218" s="33">
        <v>0.89531476802322452</v>
      </c>
      <c r="E218" s="40">
        <v>2.6167947959787108E-2</v>
      </c>
      <c r="F218" s="34">
        <v>7.8517284016988334E-2</v>
      </c>
      <c r="G218" s="6">
        <v>275.2</v>
      </c>
      <c r="H218" s="14">
        <v>12.744999999999999</v>
      </c>
      <c r="I218" s="29">
        <v>0.38200000000000001</v>
      </c>
      <c r="J218" s="29">
        <v>0.16</v>
      </c>
      <c r="K218" s="68">
        <v>47.715494991830759</v>
      </c>
      <c r="L218" s="8">
        <f t="shared" si="76"/>
        <v>0.62561400555644753</v>
      </c>
      <c r="M218" s="89">
        <v>67.178557587878572</v>
      </c>
      <c r="N218" s="90">
        <f t="shared" si="71"/>
        <v>0.47290264740777888</v>
      </c>
      <c r="O218" s="91">
        <v>0.71211652853150376</v>
      </c>
      <c r="P218" s="86">
        <f t="shared" si="77"/>
        <v>0.86417939406152811</v>
      </c>
      <c r="Q218" s="91"/>
      <c r="R218" s="91"/>
      <c r="S218" s="68">
        <v>73.362253328346554</v>
      </c>
      <c r="T218" s="75">
        <f t="shared" si="72"/>
        <v>0.4243840460702506</v>
      </c>
      <c r="U218" s="75"/>
      <c r="V218" s="8"/>
      <c r="W218">
        <v>47.33950773964763</v>
      </c>
      <c r="X218">
        <f t="shared" si="73"/>
        <v>0.62856408207416525</v>
      </c>
    </row>
    <row r="219" spans="1:24" x14ac:dyDescent="0.35">
      <c r="A219" s="26">
        <v>15</v>
      </c>
      <c r="B219" s="33">
        <f t="shared" si="74"/>
        <v>0.73933236574746009</v>
      </c>
      <c r="C219" s="34">
        <f t="shared" si="75"/>
        <v>0.26066763425253997</v>
      </c>
      <c r="D219" s="33">
        <v>0.88876331934129804</v>
      </c>
      <c r="E219" s="40">
        <v>8.2240878269292855E-2</v>
      </c>
      <c r="F219" s="34">
        <v>2.8995802389409107E-2</v>
      </c>
      <c r="G219" s="6">
        <v>275.60000000000002</v>
      </c>
      <c r="H219" s="14">
        <v>2.714</v>
      </c>
      <c r="I219" s="29">
        <v>0.76400000000000001</v>
      </c>
      <c r="J219" s="29">
        <v>0.73</v>
      </c>
      <c r="K219" s="68">
        <v>20.917894772139679</v>
      </c>
      <c r="L219" s="8">
        <f t="shared" si="76"/>
        <v>0.22925958835152255</v>
      </c>
      <c r="M219" s="89">
        <v>24.942347872303856</v>
      </c>
      <c r="N219" s="90">
        <f t="shared" si="71"/>
        <v>8.0974654668244106E-2</v>
      </c>
      <c r="O219" s="91">
        <v>0.95759869421435229</v>
      </c>
      <c r="P219" s="86">
        <f t="shared" si="77"/>
        <v>0.25340143221773859</v>
      </c>
      <c r="Q219" s="91"/>
      <c r="R219" s="91"/>
      <c r="S219" s="68">
        <v>25.107825882634675</v>
      </c>
      <c r="T219" s="75">
        <f t="shared" si="72"/>
        <v>7.4877454582362779E-2</v>
      </c>
      <c r="U219" s="75"/>
      <c r="V219" s="8"/>
      <c r="W219">
        <v>21.163929926842425</v>
      </c>
      <c r="X219">
        <f t="shared" si="73"/>
        <v>0.22019418103012439</v>
      </c>
    </row>
    <row r="220" spans="1:24" x14ac:dyDescent="0.35">
      <c r="A220" s="26">
        <v>16</v>
      </c>
      <c r="B220" s="33">
        <f t="shared" si="74"/>
        <v>0.74807461920246454</v>
      </c>
      <c r="C220" s="34">
        <f t="shared" si="75"/>
        <v>0.25192538079753546</v>
      </c>
      <c r="D220" s="33">
        <v>0.77865747405106434</v>
      </c>
      <c r="E220" s="40">
        <v>0.16558072581256156</v>
      </c>
      <c r="F220" s="34">
        <v>5.5761800136373961E-2</v>
      </c>
      <c r="G220" s="6">
        <v>275.8</v>
      </c>
      <c r="H220" s="14">
        <v>5.3810000000000002</v>
      </c>
      <c r="I220" s="29">
        <v>0.80200000000000005</v>
      </c>
      <c r="J220" s="29">
        <v>0.71899999999999997</v>
      </c>
      <c r="K220" s="68">
        <v>21.178223676542306</v>
      </c>
      <c r="L220" s="8">
        <f t="shared" si="76"/>
        <v>0.60642587480872889</v>
      </c>
      <c r="M220" s="89">
        <v>25.100191232318689</v>
      </c>
      <c r="N220" s="90">
        <f t="shared" si="71"/>
        <v>0.53354039709498813</v>
      </c>
      <c r="O220" s="91">
        <v>0.9593001004046694</v>
      </c>
      <c r="P220" s="86">
        <f t="shared" si="77"/>
        <v>0.19613478853450042</v>
      </c>
      <c r="Q220" s="91"/>
      <c r="R220" s="91"/>
      <c r="S220" s="68">
        <v>25.258250980568306</v>
      </c>
      <c r="T220" s="75">
        <f t="shared" si="72"/>
        <v>0.53060302953784977</v>
      </c>
      <c r="U220" s="75"/>
      <c r="V220" s="8"/>
      <c r="W220">
        <v>21.426352710974815</v>
      </c>
      <c r="X220">
        <f t="shared" si="73"/>
        <v>0.60181466807331696</v>
      </c>
    </row>
    <row r="221" spans="1:24" x14ac:dyDescent="0.35">
      <c r="A221" s="26">
        <v>17</v>
      </c>
      <c r="B221" s="33">
        <f t="shared" si="74"/>
        <v>0.75008989572096374</v>
      </c>
      <c r="C221" s="34">
        <f t="shared" si="75"/>
        <v>0.24991010427903637</v>
      </c>
      <c r="D221" s="33">
        <v>0.84729009939047828</v>
      </c>
      <c r="E221" s="40">
        <v>0.11454615342375488</v>
      </c>
      <c r="F221" s="34">
        <v>3.8163747185766851E-2</v>
      </c>
      <c r="G221" s="6">
        <v>276.10000000000002</v>
      </c>
      <c r="H221" s="14">
        <v>2.5</v>
      </c>
      <c r="I221" s="29">
        <v>0.98399999999999999</v>
      </c>
      <c r="J221" s="29">
        <v>0.68200000000000005</v>
      </c>
      <c r="K221" s="68">
        <v>21.832188547741506</v>
      </c>
      <c r="L221" s="8">
        <f t="shared" si="76"/>
        <v>0.12671245809033976</v>
      </c>
      <c r="M221" s="89">
        <v>25.753814016143927</v>
      </c>
      <c r="N221" s="90">
        <f t="shared" si="71"/>
        <v>3.0152560645757092E-2</v>
      </c>
      <c r="O221" s="91">
        <v>0.95931639457951068</v>
      </c>
      <c r="P221" s="86">
        <f t="shared" si="77"/>
        <v>2.5084964858220843E-2</v>
      </c>
      <c r="Q221" s="91"/>
      <c r="R221" s="91"/>
      <c r="S221" s="68">
        <v>25.915261945329966</v>
      </c>
      <c r="T221" s="75">
        <f t="shared" si="72"/>
        <v>3.6610477813198657E-2</v>
      </c>
      <c r="U221" s="75"/>
      <c r="V221" s="8"/>
      <c r="W221">
        <v>22.094583661395937</v>
      </c>
      <c r="X221">
        <f t="shared" si="73"/>
        <v>0.11621665354416251</v>
      </c>
    </row>
    <row r="222" spans="1:24" x14ac:dyDescent="0.35">
      <c r="A222" s="26">
        <v>18</v>
      </c>
      <c r="B222" s="33">
        <f t="shared" si="74"/>
        <v>0.73933236574746009</v>
      </c>
      <c r="C222" s="34">
        <f t="shared" si="75"/>
        <v>0.26066763425253997</v>
      </c>
      <c r="D222" s="33">
        <v>0.88876331934129804</v>
      </c>
      <c r="E222" s="40">
        <v>8.2240878269292855E-2</v>
      </c>
      <c r="F222" s="34">
        <v>2.8995802389409107E-2</v>
      </c>
      <c r="G222" s="6">
        <v>276.10000000000002</v>
      </c>
      <c r="H222" s="14">
        <v>2.8650000000000002</v>
      </c>
      <c r="I222" s="29">
        <v>0.79</v>
      </c>
      <c r="J222" s="29">
        <v>0.73099999999999998</v>
      </c>
      <c r="K222" s="68">
        <v>22.073507164851666</v>
      </c>
      <c r="L222" s="8">
        <f t="shared" si="76"/>
        <v>0.22954599773641662</v>
      </c>
      <c r="M222" s="89">
        <v>26.143709882240749</v>
      </c>
      <c r="N222" s="90">
        <f t="shared" si="71"/>
        <v>8.747958526210306E-2</v>
      </c>
      <c r="O222" s="91">
        <v>0.95696280276334644</v>
      </c>
      <c r="P222" s="86">
        <f t="shared" si="77"/>
        <v>0.21134531995360303</v>
      </c>
      <c r="Q222" s="91"/>
      <c r="R222" s="91"/>
      <c r="S222" s="68">
        <v>26.318942576144465</v>
      </c>
      <c r="T222" s="75">
        <f t="shared" si="72"/>
        <v>8.136326086755799E-2</v>
      </c>
      <c r="U222" s="75"/>
      <c r="V222" s="8"/>
      <c r="W222">
        <v>22.346453400274484</v>
      </c>
      <c r="X222">
        <f t="shared" si="73"/>
        <v>0.22001907852445085</v>
      </c>
    </row>
    <row r="223" spans="1:24" x14ac:dyDescent="0.35">
      <c r="A223" s="26">
        <v>19</v>
      </c>
      <c r="B223" s="33">
        <f t="shared" si="74"/>
        <v>0.75008989572096363</v>
      </c>
      <c r="C223" s="34">
        <f t="shared" si="75"/>
        <v>0.24991010427903629</v>
      </c>
      <c r="D223" s="33">
        <v>0.96491781357621331</v>
      </c>
      <c r="E223" s="40">
        <v>2.6314793556281621E-2</v>
      </c>
      <c r="F223" s="34">
        <v>8.7673928675051412E-3</v>
      </c>
      <c r="G223" s="6">
        <v>276.10000000000002</v>
      </c>
      <c r="H223" s="14">
        <v>3.7029999999999998</v>
      </c>
      <c r="I223" s="29">
        <v>0.70299999999999996</v>
      </c>
      <c r="J223" s="29">
        <v>0.48799999999999999</v>
      </c>
      <c r="K223" s="68">
        <v>21.87117035670024</v>
      </c>
      <c r="L223" s="8">
        <f t="shared" si="76"/>
        <v>0.40936617994328278</v>
      </c>
      <c r="M223" s="89">
        <v>25.837053132366581</v>
      </c>
      <c r="N223" s="90">
        <f t="shared" si="71"/>
        <v>0.30226699615537189</v>
      </c>
      <c r="O223" s="91">
        <v>0.95881339376752983</v>
      </c>
      <c r="P223" s="86">
        <f t="shared" si="77"/>
        <v>0.36388818459108091</v>
      </c>
      <c r="Q223" s="91"/>
      <c r="R223" s="91"/>
      <c r="S223" s="68">
        <v>26.00230139236514</v>
      </c>
      <c r="T223" s="75">
        <f t="shared" si="72"/>
        <v>0.2978044452507389</v>
      </c>
      <c r="U223" s="75"/>
      <c r="V223" s="8"/>
      <c r="W223">
        <v>22.136145835375043</v>
      </c>
      <c r="X223">
        <f t="shared" si="73"/>
        <v>0.40221048243653684</v>
      </c>
    </row>
    <row r="224" spans="1:24" x14ac:dyDescent="0.35">
      <c r="A224" s="26">
        <v>20</v>
      </c>
      <c r="B224" s="33">
        <f t="shared" si="74"/>
        <v>0.48488830486202367</v>
      </c>
      <c r="C224" s="34">
        <f t="shared" si="75"/>
        <v>0.51511169513797639</v>
      </c>
      <c r="D224" s="33">
        <v>0.80320662011895527</v>
      </c>
      <c r="E224" s="40">
        <v>9.5422808378588062E-2</v>
      </c>
      <c r="F224" s="34">
        <v>0.10137057150245669</v>
      </c>
      <c r="G224" s="6">
        <v>276.10000000000002</v>
      </c>
      <c r="H224" s="14">
        <v>4.4009999999999998</v>
      </c>
      <c r="I224" s="29">
        <v>0.68799999999999994</v>
      </c>
      <c r="J224" s="29">
        <v>0.39600000000000002</v>
      </c>
      <c r="K224" s="68">
        <v>30.573685476246329</v>
      </c>
      <c r="L224" s="8">
        <f t="shared" si="76"/>
        <v>0.30530139794941308</v>
      </c>
      <c r="M224" s="89">
        <v>39.752761908034074</v>
      </c>
      <c r="N224" s="90">
        <f t="shared" si="71"/>
        <v>9.6733426311427492E-2</v>
      </c>
      <c r="O224" s="91">
        <v>0.87842222944977921</v>
      </c>
      <c r="P224" s="86">
        <f t="shared" si="77"/>
        <v>0.27677649629328382</v>
      </c>
      <c r="Q224" s="91"/>
      <c r="R224" s="91"/>
      <c r="S224" s="68">
        <v>40.733886020571312</v>
      </c>
      <c r="T224" s="75">
        <f t="shared" si="72"/>
        <v>7.444021766481905E-2</v>
      </c>
      <c r="U224" s="75"/>
      <c r="V224" s="8"/>
      <c r="W224">
        <v>31.022858424633949</v>
      </c>
      <c r="X224">
        <f t="shared" si="73"/>
        <v>0.29509524143072141</v>
      </c>
    </row>
    <row r="225" spans="1:26" x14ac:dyDescent="0.35">
      <c r="A225" s="26">
        <v>21</v>
      </c>
      <c r="B225" s="33">
        <f t="shared" si="74"/>
        <v>0.24996790345358844</v>
      </c>
      <c r="C225" s="34">
        <f t="shared" si="75"/>
        <v>0.75003209654641168</v>
      </c>
      <c r="D225" s="33">
        <v>0.66583723025440811</v>
      </c>
      <c r="E225" s="40">
        <v>8.352996696554979E-2</v>
      </c>
      <c r="F225" s="34">
        <v>0.25063280278004202</v>
      </c>
      <c r="G225" s="6">
        <v>276.10000000000002</v>
      </c>
      <c r="H225" s="14">
        <v>8.58</v>
      </c>
      <c r="I225" s="29">
        <v>0.57399999999999995</v>
      </c>
      <c r="J225" s="29">
        <v>0.19600000000000001</v>
      </c>
      <c r="K225" s="68">
        <v>52.517560916498056</v>
      </c>
      <c r="L225" s="8">
        <f t="shared" si="76"/>
        <v>0.38790721542543055</v>
      </c>
      <c r="M225" s="89">
        <v>73.579363769368328</v>
      </c>
      <c r="N225" s="90">
        <f t="shared" si="71"/>
        <v>0.14243165769966981</v>
      </c>
      <c r="O225" s="91">
        <v>0.70774408783942611</v>
      </c>
      <c r="P225" s="86">
        <f t="shared" si="77"/>
        <v>0.23300363735091667</v>
      </c>
      <c r="Q225" s="91"/>
      <c r="R225" s="91"/>
      <c r="S225" s="68">
        <v>80.576388841413802</v>
      </c>
      <c r="T225" s="75">
        <f t="shared" si="72"/>
        <v>6.0881248934571031E-2</v>
      </c>
      <c r="U225" s="75"/>
      <c r="V225" s="8"/>
      <c r="W225">
        <v>52.105736083407422</v>
      </c>
      <c r="X225">
        <f t="shared" si="73"/>
        <v>0.39270703865492512</v>
      </c>
    </row>
    <row r="226" spans="1:26" x14ac:dyDescent="0.35">
      <c r="A226" s="26">
        <v>22</v>
      </c>
      <c r="B226" s="33">
        <f t="shared" si="74"/>
        <v>0.75008989572096374</v>
      </c>
      <c r="C226" s="34">
        <f t="shared" si="75"/>
        <v>0.24991010427903634</v>
      </c>
      <c r="D226" s="33">
        <v>0.96491648584548628</v>
      </c>
      <c r="E226" s="40">
        <v>2.6315789473684213E-2</v>
      </c>
      <c r="F226" s="34">
        <v>8.7677246808295917E-3</v>
      </c>
      <c r="G226" s="6">
        <v>276.7</v>
      </c>
      <c r="H226" s="14">
        <v>3.7029999999999998</v>
      </c>
      <c r="I226" s="29">
        <v>0.70299999999999996</v>
      </c>
      <c r="J226" s="29">
        <v>0.48799999999999999</v>
      </c>
      <c r="K226" s="68">
        <v>23.332085598250806</v>
      </c>
      <c r="L226" s="8">
        <f t="shared" si="76"/>
        <v>0.36991397250200364</v>
      </c>
      <c r="M226" s="89">
        <v>27.341877561354821</v>
      </c>
      <c r="N226" s="90">
        <f t="shared" si="71"/>
        <v>0.26162901535633759</v>
      </c>
      <c r="O226" s="91">
        <v>0.95800994732555034</v>
      </c>
      <c r="P226" s="86">
        <f t="shared" si="77"/>
        <v>0.36274530202780997</v>
      </c>
      <c r="Q226" s="91"/>
      <c r="R226" s="91"/>
      <c r="S226" s="68">
        <v>27.519241439961206</v>
      </c>
      <c r="T226" s="75">
        <f t="shared" si="72"/>
        <v>0.25683928058435851</v>
      </c>
      <c r="U226" s="75"/>
      <c r="V226" s="8"/>
      <c r="W226">
        <v>23.632184548911873</v>
      </c>
      <c r="X226">
        <f t="shared" si="73"/>
        <v>0.36180976103397594</v>
      </c>
    </row>
    <row r="227" spans="1:26" x14ac:dyDescent="0.35">
      <c r="A227" s="26">
        <v>23</v>
      </c>
      <c r="B227" s="33">
        <f t="shared" si="74"/>
        <v>0.75008989572096374</v>
      </c>
      <c r="C227" s="34">
        <f t="shared" si="75"/>
        <v>0.24991010427903637</v>
      </c>
      <c r="D227" s="33">
        <v>0.84729009939047828</v>
      </c>
      <c r="E227" s="40">
        <v>0.11454615342375488</v>
      </c>
      <c r="F227" s="34">
        <v>3.8163747185766851E-2</v>
      </c>
      <c r="G227" s="6">
        <v>277.10000000000002</v>
      </c>
      <c r="H227" s="14">
        <v>2.706</v>
      </c>
      <c r="I227" s="29">
        <v>0.83799999999999997</v>
      </c>
      <c r="J227" s="29">
        <v>0.70499999999999996</v>
      </c>
      <c r="K227" s="68">
        <v>24.308114414661436</v>
      </c>
      <c r="L227" s="8">
        <f t="shared" si="76"/>
        <v>0.10169569790608142</v>
      </c>
      <c r="M227" s="89">
        <v>28.288295162881237</v>
      </c>
      <c r="N227" s="90">
        <f t="shared" si="71"/>
        <v>4.5391543343726477E-2</v>
      </c>
      <c r="O227" s="91">
        <v>0.95804221658221955</v>
      </c>
      <c r="P227" s="86">
        <f t="shared" si="77"/>
        <v>0.14324846847520237</v>
      </c>
      <c r="Q227" s="91"/>
      <c r="R227" s="91"/>
      <c r="S227" s="68">
        <v>28.469407867356253</v>
      </c>
      <c r="T227" s="75">
        <f t="shared" si="72"/>
        <v>5.2084547943690107E-2</v>
      </c>
      <c r="U227" s="75"/>
      <c r="V227" s="8"/>
      <c r="W227">
        <v>24.630266753960765</v>
      </c>
      <c r="X227">
        <f t="shared" si="73"/>
        <v>8.9790585589033051E-2</v>
      </c>
    </row>
    <row r="228" spans="1:26" x14ac:dyDescent="0.35">
      <c r="A228" s="26">
        <v>24</v>
      </c>
      <c r="B228" s="33">
        <f t="shared" si="74"/>
        <v>0.73933236574746009</v>
      </c>
      <c r="C228" s="34">
        <f t="shared" si="75"/>
        <v>0.26066763425253997</v>
      </c>
      <c r="D228" s="33">
        <v>0.88876331934129804</v>
      </c>
      <c r="E228" s="40">
        <v>8.2240878269292855E-2</v>
      </c>
      <c r="F228" s="34">
        <v>2.8995802389409107E-2</v>
      </c>
      <c r="G228" s="6">
        <v>277.3</v>
      </c>
      <c r="H228" s="14">
        <v>3.13</v>
      </c>
      <c r="I228" s="29">
        <v>0.83</v>
      </c>
      <c r="J228" s="29">
        <v>0.73199999999999998</v>
      </c>
      <c r="K228" s="68">
        <v>25.110624912826673</v>
      </c>
      <c r="L228" s="8">
        <f t="shared" si="76"/>
        <v>0.19774361300873242</v>
      </c>
      <c r="M228" s="89">
        <v>29.273343237578032</v>
      </c>
      <c r="N228" s="90">
        <f t="shared" si="71"/>
        <v>6.4749417329775225E-2</v>
      </c>
      <c r="O228" s="91">
        <v>0.95531594246228069</v>
      </c>
      <c r="P228" s="86">
        <f t="shared" si="77"/>
        <v>0.15098306320756716</v>
      </c>
      <c r="Q228" s="91"/>
      <c r="R228" s="91"/>
      <c r="S228" s="68">
        <v>29.47486357685716</v>
      </c>
      <c r="T228" s="75">
        <f t="shared" si="72"/>
        <v>5.8311067832039522E-2</v>
      </c>
      <c r="U228" s="75"/>
      <c r="V228" s="8"/>
      <c r="W228">
        <v>25.459198437348284</v>
      </c>
      <c r="X228">
        <f t="shared" si="73"/>
        <v>0.18660707867896847</v>
      </c>
    </row>
    <row r="229" spans="1:26" x14ac:dyDescent="0.35">
      <c r="A229" s="26">
        <v>25</v>
      </c>
      <c r="B229" s="33">
        <f t="shared" si="74"/>
        <v>0.74807461920246454</v>
      </c>
      <c r="C229" s="34">
        <f t="shared" si="75"/>
        <v>0.25192538079753546</v>
      </c>
      <c r="D229" s="33">
        <v>0.77865747405106434</v>
      </c>
      <c r="E229" s="40">
        <v>0.16558072581256156</v>
      </c>
      <c r="F229" s="34">
        <v>5.5761800136373961E-2</v>
      </c>
      <c r="G229" s="6">
        <v>277.8</v>
      </c>
      <c r="H229" s="14">
        <v>6.1589999999999998</v>
      </c>
      <c r="I229" s="29">
        <v>0.86399999999999999</v>
      </c>
      <c r="J229" s="29">
        <v>0.747</v>
      </c>
      <c r="K229" s="68">
        <v>26.249799105319219</v>
      </c>
      <c r="L229" s="8">
        <f t="shared" si="76"/>
        <v>0.57379770895731086</v>
      </c>
      <c r="M229" s="89">
        <v>30.285476497095722</v>
      </c>
      <c r="N229" s="90">
        <f t="shared" si="71"/>
        <v>0.50827282842838573</v>
      </c>
      <c r="O229" s="91">
        <v>0.95668915425016343</v>
      </c>
      <c r="P229" s="86">
        <f t="shared" si="77"/>
        <v>0.10727911371546694</v>
      </c>
      <c r="Q229" s="91"/>
      <c r="R229" s="91"/>
      <c r="S229" s="68">
        <v>30.484509855429987</v>
      </c>
      <c r="T229" s="75">
        <f t="shared" si="72"/>
        <v>0.50504124280841067</v>
      </c>
      <c r="U229" s="75"/>
      <c r="V229" s="8"/>
      <c r="W229">
        <v>26.622902993591513</v>
      </c>
      <c r="X229">
        <f t="shared" si="73"/>
        <v>0.56773984423459134</v>
      </c>
    </row>
    <row r="230" spans="1:26" x14ac:dyDescent="0.35">
      <c r="A230" s="26">
        <v>26</v>
      </c>
      <c r="B230" s="33">
        <f t="shared" si="74"/>
        <v>0.75008989572096374</v>
      </c>
      <c r="C230" s="34">
        <f t="shared" si="75"/>
        <v>0.24991010427903637</v>
      </c>
      <c r="D230" s="33">
        <v>0.84729009939047828</v>
      </c>
      <c r="E230" s="40">
        <v>0.11454615342375488</v>
      </c>
      <c r="F230" s="34">
        <v>3.8163747185766851E-2</v>
      </c>
      <c r="G230" s="6">
        <v>278.10000000000002</v>
      </c>
      <c r="H230" s="14">
        <v>2.9740000000000002</v>
      </c>
      <c r="I230" s="29">
        <v>0.89</v>
      </c>
      <c r="J230" s="29">
        <v>0.72899999999999998</v>
      </c>
      <c r="K230" s="68">
        <v>27.058519360603473</v>
      </c>
      <c r="L230" s="8">
        <f t="shared" si="76"/>
        <v>9.016411026888127E-2</v>
      </c>
      <c r="M230" s="89">
        <v>31.076382906095652</v>
      </c>
      <c r="N230" s="90">
        <f t="shared" si="71"/>
        <v>4.4935538200929735E-2</v>
      </c>
      <c r="O230" s="91">
        <v>0.95664357149490276</v>
      </c>
      <c r="P230" s="86">
        <f t="shared" si="77"/>
        <v>7.4880417410003078E-2</v>
      </c>
      <c r="Q230" s="91"/>
      <c r="R230" s="91"/>
      <c r="S230" s="68">
        <v>31.280014313944921</v>
      </c>
      <c r="T230" s="75">
        <f t="shared" si="72"/>
        <v>5.178259293695088E-2</v>
      </c>
      <c r="U230" s="75"/>
      <c r="V230" s="8"/>
      <c r="W230">
        <v>27.452289213163724</v>
      </c>
      <c r="X230">
        <f t="shared" si="73"/>
        <v>7.692369827963276E-2</v>
      </c>
    </row>
    <row r="231" spans="1:26" x14ac:dyDescent="0.35">
      <c r="A231" s="26">
        <v>27</v>
      </c>
      <c r="B231" s="33">
        <f t="shared" si="74"/>
        <v>0.73933236574746009</v>
      </c>
      <c r="C231" s="34">
        <f t="shared" si="75"/>
        <v>0.26066763425253997</v>
      </c>
      <c r="D231" s="33">
        <v>0.88876331934129804</v>
      </c>
      <c r="E231" s="40">
        <v>8.2240878269292855E-2</v>
      </c>
      <c r="F231" s="34">
        <v>2.8995802389409107E-2</v>
      </c>
      <c r="G231" s="6">
        <v>278.10000000000002</v>
      </c>
      <c r="H231" s="14">
        <v>3.411</v>
      </c>
      <c r="I231" s="29">
        <v>0.752</v>
      </c>
      <c r="J231" s="29">
        <v>0.73399999999999999</v>
      </c>
      <c r="K231" s="68">
        <v>27.359316772813425</v>
      </c>
      <c r="L231" s="8">
        <f t="shared" si="76"/>
        <v>0.19790921217198984</v>
      </c>
      <c r="M231" s="89">
        <v>31.569824404080386</v>
      </c>
      <c r="N231" s="90">
        <f t="shared" si="71"/>
        <v>7.4470114216347513E-2</v>
      </c>
      <c r="O231" s="91">
        <v>0.95410944260610453</v>
      </c>
      <c r="P231" s="86">
        <f t="shared" si="77"/>
        <v>0.2687625566570539</v>
      </c>
      <c r="Q231" s="91"/>
      <c r="R231" s="91"/>
      <c r="S231" s="68">
        <v>31.791466027295129</v>
      </c>
      <c r="T231" s="75">
        <f t="shared" si="72"/>
        <v>6.7972265397386974E-2</v>
      </c>
      <c r="U231" s="75"/>
      <c r="V231" s="8"/>
      <c r="W231">
        <v>27.768180814667396</v>
      </c>
      <c r="X231">
        <f t="shared" si="73"/>
        <v>0.18592257945859289</v>
      </c>
    </row>
    <row r="232" spans="1:26" x14ac:dyDescent="0.35">
      <c r="A232" s="26">
        <v>28</v>
      </c>
      <c r="B232" s="33">
        <f t="shared" si="74"/>
        <v>0.75008989572096363</v>
      </c>
      <c r="C232" s="34">
        <f t="shared" si="75"/>
        <v>0.24991010427903629</v>
      </c>
      <c r="D232" s="33">
        <v>0.96491781357621331</v>
      </c>
      <c r="E232" s="40">
        <v>2.6314793556281621E-2</v>
      </c>
      <c r="F232" s="34">
        <v>8.7673928675051412E-3</v>
      </c>
      <c r="G232" s="6">
        <v>278.10000000000002</v>
      </c>
      <c r="H232" s="14">
        <v>4.194</v>
      </c>
      <c r="I232" s="29">
        <v>0.65500000000000003</v>
      </c>
      <c r="J232" s="29">
        <v>0.52100000000000002</v>
      </c>
      <c r="K232" s="68">
        <v>27.125103495806826</v>
      </c>
      <c r="L232" s="8">
        <f t="shared" si="76"/>
        <v>0.35324025999506847</v>
      </c>
      <c r="M232" s="89">
        <v>31.212554962821358</v>
      </c>
      <c r="N232" s="90">
        <f t="shared" si="71"/>
        <v>0.2557807591125093</v>
      </c>
      <c r="O232" s="91">
        <v>0.95594345831523519</v>
      </c>
      <c r="P232" s="86">
        <f t="shared" si="77"/>
        <v>0.45945566154997736</v>
      </c>
      <c r="Q232" s="91"/>
      <c r="R232" s="91"/>
      <c r="S232" s="68">
        <v>31.42252911332336</v>
      </c>
      <c r="T232" s="75">
        <f t="shared" si="72"/>
        <v>0.25077422238141722</v>
      </c>
      <c r="U232" s="75"/>
      <c r="V232" s="8"/>
      <c r="W232">
        <v>27.52393729199812</v>
      </c>
      <c r="X232">
        <f t="shared" si="73"/>
        <v>0.34373063204582449</v>
      </c>
    </row>
    <row r="233" spans="1:26" x14ac:dyDescent="0.35">
      <c r="A233" s="26">
        <v>29</v>
      </c>
      <c r="B233" s="33">
        <f t="shared" si="74"/>
        <v>0.24996790345358844</v>
      </c>
      <c r="C233" s="34">
        <f t="shared" si="75"/>
        <v>0.75003209654641168</v>
      </c>
      <c r="D233" s="33">
        <v>0.66583723025440811</v>
      </c>
      <c r="E233" s="40">
        <v>8.352996696554979E-2</v>
      </c>
      <c r="F233" s="34">
        <v>0.25063280278004202</v>
      </c>
      <c r="G233" s="6">
        <v>278.10000000000002</v>
      </c>
      <c r="H233" s="14">
        <v>9.1460000000000008</v>
      </c>
      <c r="I233" s="29">
        <v>0.54100000000000004</v>
      </c>
      <c r="J233" s="29">
        <v>0.22900000000000001</v>
      </c>
      <c r="K233" s="68">
        <v>66.440489035603861</v>
      </c>
      <c r="L233" s="8">
        <f t="shared" si="76"/>
        <v>0.27355686600039519</v>
      </c>
      <c r="M233" s="89">
        <v>93.473793896715279</v>
      </c>
      <c r="N233" s="90">
        <f t="shared" si="71"/>
        <v>2.2018301954026574E-2</v>
      </c>
      <c r="O233" s="91">
        <v>0.68638891375145339</v>
      </c>
      <c r="P233" s="86">
        <f t="shared" si="77"/>
        <v>0.26874106053873076</v>
      </c>
      <c r="Q233" s="91"/>
      <c r="R233" s="91"/>
      <c r="S233" s="68">
        <v>104.40171551803584</v>
      </c>
      <c r="T233" s="75">
        <f t="shared" si="72"/>
        <v>0.14150137238176069</v>
      </c>
      <c r="U233" s="75"/>
      <c r="V233" s="8"/>
      <c r="W233">
        <v>65.783627415448279</v>
      </c>
      <c r="X233">
        <f t="shared" si="73"/>
        <v>0.28073882117375604</v>
      </c>
    </row>
    <row r="234" spans="1:26" x14ac:dyDescent="0.35">
      <c r="A234" s="26">
        <v>30</v>
      </c>
      <c r="B234" s="33">
        <f t="shared" si="74"/>
        <v>0.24996790345358838</v>
      </c>
      <c r="C234" s="34">
        <f t="shared" si="75"/>
        <v>0.75003209654641156</v>
      </c>
      <c r="D234" s="33">
        <v>0.89531476802322452</v>
      </c>
      <c r="E234" s="40">
        <v>2.6167947959787108E-2</v>
      </c>
      <c r="F234" s="34">
        <v>7.8517284016988334E-2</v>
      </c>
      <c r="G234" s="6">
        <v>278.10000000000002</v>
      </c>
      <c r="H234" s="14">
        <v>14.26</v>
      </c>
      <c r="I234" s="29">
        <v>0.51300000000000001</v>
      </c>
      <c r="J234" s="29">
        <v>0.127</v>
      </c>
      <c r="K234" s="68">
        <v>67.17141099163203</v>
      </c>
      <c r="L234" s="8">
        <f t="shared" si="76"/>
        <v>0.52895223708532935</v>
      </c>
      <c r="M234" s="89">
        <v>94.995119908111974</v>
      </c>
      <c r="N234" s="90">
        <f t="shared" si="71"/>
        <v>0.3338350637579805</v>
      </c>
      <c r="O234" s="91">
        <v>0.68086869512716885</v>
      </c>
      <c r="P234" s="86">
        <f t="shared" si="77"/>
        <v>0.32722942519915954</v>
      </c>
      <c r="Q234" s="91"/>
      <c r="R234" s="91"/>
      <c r="S234" s="68">
        <v>106.62797636240725</v>
      </c>
      <c r="T234" s="75">
        <f t="shared" si="72"/>
        <v>0.25225823027764893</v>
      </c>
      <c r="U234" s="75"/>
      <c r="V234" s="8"/>
      <c r="W234">
        <v>66.435762221804097</v>
      </c>
      <c r="X234">
        <f t="shared" si="73"/>
        <v>0.53411106436322509</v>
      </c>
    </row>
    <row r="235" spans="1:26" x14ac:dyDescent="0.35">
      <c r="A235" s="26">
        <v>31</v>
      </c>
      <c r="B235" s="33">
        <f t="shared" si="74"/>
        <v>0.75008989572096363</v>
      </c>
      <c r="C235" s="34">
        <f t="shared" si="75"/>
        <v>0.24991010427903629</v>
      </c>
      <c r="D235" s="33">
        <v>0.96491781357621331</v>
      </c>
      <c r="E235" s="40">
        <v>2.6314793556281621E-2</v>
      </c>
      <c r="F235" s="34">
        <v>8.7673928675051412E-3</v>
      </c>
      <c r="G235" s="6">
        <v>279.7</v>
      </c>
      <c r="H235" s="14">
        <v>4.8170000000000002</v>
      </c>
      <c r="I235" s="29">
        <v>0.69799999999999995</v>
      </c>
      <c r="J235" s="29">
        <v>0.55700000000000005</v>
      </c>
      <c r="K235" s="68">
        <v>32.199752561032895</v>
      </c>
      <c r="L235" s="8">
        <f t="shared" si="76"/>
        <v>0.33153928667151977</v>
      </c>
      <c r="M235" s="89">
        <v>36.330446019602526</v>
      </c>
      <c r="N235" s="90">
        <f t="shared" si="71"/>
        <v>0.24578687939376115</v>
      </c>
      <c r="O235" s="91">
        <v>0.95317991411990632</v>
      </c>
      <c r="P235" s="86">
        <f t="shared" si="77"/>
        <v>0.36558726951275988</v>
      </c>
      <c r="Q235" s="91"/>
      <c r="R235" s="91"/>
      <c r="S235" s="68">
        <v>36.586898479602873</v>
      </c>
      <c r="T235" s="75">
        <f t="shared" si="72"/>
        <v>0.2404629753040716</v>
      </c>
      <c r="U235" s="75"/>
      <c r="V235" s="8"/>
      <c r="W235">
        <v>32.745931192077087</v>
      </c>
      <c r="X235">
        <f t="shared" si="73"/>
        <v>0.32020072260583171</v>
      </c>
    </row>
    <row r="236" spans="1:26" x14ac:dyDescent="0.35">
      <c r="A236" s="26">
        <v>32</v>
      </c>
      <c r="B236" s="33">
        <f t="shared" si="74"/>
        <v>0.48488830486202361</v>
      </c>
      <c r="C236" s="34">
        <f t="shared" si="75"/>
        <v>0.51511169513797628</v>
      </c>
      <c r="D236" s="33">
        <v>0.94281205380626742</v>
      </c>
      <c r="E236" s="40">
        <v>2.7729766288419631E-2</v>
      </c>
      <c r="F236" s="34">
        <v>2.9458179905312996E-2</v>
      </c>
      <c r="G236" s="6">
        <v>279.7</v>
      </c>
      <c r="H236" s="14">
        <v>10.021000000000001</v>
      </c>
      <c r="I236" s="29">
        <v>0.60699999999999998</v>
      </c>
      <c r="J236" s="29">
        <v>0.26300000000000001</v>
      </c>
      <c r="K236" s="68">
        <v>45.685916973717745</v>
      </c>
      <c r="L236" s="8">
        <f t="shared" si="76"/>
        <v>0.54409822399243846</v>
      </c>
      <c r="M236" s="89">
        <v>58.649994640368973</v>
      </c>
      <c r="N236" s="90">
        <f t="shared" si="71"/>
        <v>0.41472912243918802</v>
      </c>
      <c r="O236" s="91">
        <v>0.85860473428210404</v>
      </c>
      <c r="P236" s="86">
        <f t="shared" si="77"/>
        <v>0.41450532830659648</v>
      </c>
      <c r="Q236" s="91"/>
      <c r="R236" s="91"/>
      <c r="S236" s="68">
        <v>60.485979872449285</v>
      </c>
      <c r="T236" s="75">
        <f t="shared" si="72"/>
        <v>0.39640774501098414</v>
      </c>
      <c r="U236" s="75"/>
      <c r="V236" s="8"/>
      <c r="W236">
        <v>46.559635095117635</v>
      </c>
      <c r="X236">
        <f t="shared" si="73"/>
        <v>0.53537935240876533</v>
      </c>
    </row>
    <row r="237" spans="1:26" x14ac:dyDescent="0.35">
      <c r="A237" s="26">
        <v>33</v>
      </c>
      <c r="B237" s="33">
        <f t="shared" si="74"/>
        <v>0.24996790345358838</v>
      </c>
      <c r="C237" s="34">
        <f t="shared" si="75"/>
        <v>0.75003209654641156</v>
      </c>
      <c r="D237" s="33">
        <v>0.89531476802322452</v>
      </c>
      <c r="E237" s="40">
        <v>2.6167947959787108E-2</v>
      </c>
      <c r="F237" s="34">
        <v>7.8517284016988334E-2</v>
      </c>
      <c r="G237" s="6">
        <v>279.7</v>
      </c>
      <c r="H237" s="14">
        <v>15.816000000000001</v>
      </c>
      <c r="I237" s="29">
        <v>0.55100000000000005</v>
      </c>
      <c r="J237" s="29">
        <v>0.14799999999999999</v>
      </c>
      <c r="K237" s="68">
        <v>82.154606800930523</v>
      </c>
      <c r="L237" s="8">
        <f t="shared" si="76"/>
        <v>0.48056014921010037</v>
      </c>
      <c r="M237" s="89">
        <v>117.54757743364648</v>
      </c>
      <c r="N237" s="90">
        <f t="shared" si="71"/>
        <v>0.25678061814841624</v>
      </c>
      <c r="O237" s="91">
        <v>0.65834810512394071</v>
      </c>
      <c r="P237" s="86">
        <f t="shared" si="77"/>
        <v>0.1948241472303823</v>
      </c>
      <c r="Q237" s="91"/>
      <c r="R237" s="91"/>
      <c r="S237" s="68">
        <v>135.82634301933766</v>
      </c>
      <c r="T237" s="75">
        <f t="shared" si="72"/>
        <v>0.14120926264961015</v>
      </c>
      <c r="U237" s="75"/>
      <c r="V237" s="8"/>
      <c r="W237">
        <v>80.963716768471173</v>
      </c>
      <c r="X237">
        <f t="shared" si="73"/>
        <v>0.48808980293075888</v>
      </c>
    </row>
    <row r="238" spans="1:26" x14ac:dyDescent="0.35">
      <c r="A238" s="26">
        <v>34</v>
      </c>
      <c r="B238" s="33">
        <f t="shared" si="74"/>
        <v>0.24996790345358838</v>
      </c>
      <c r="C238" s="34">
        <f t="shared" si="75"/>
        <v>0.75003209654641156</v>
      </c>
      <c r="D238" s="33">
        <v>0.89531476802322452</v>
      </c>
      <c r="E238" s="40">
        <v>2.6167947959787108E-2</v>
      </c>
      <c r="F238" s="34">
        <v>7.8517284016988334E-2</v>
      </c>
      <c r="G238" s="6">
        <v>281.2</v>
      </c>
      <c r="H238" s="14">
        <v>17.628</v>
      </c>
      <c r="I238" s="29">
        <v>0.58399999999999996</v>
      </c>
      <c r="J238" s="29">
        <v>0.17599999999999999</v>
      </c>
      <c r="K238" s="68">
        <v>100.60139392678865</v>
      </c>
      <c r="L238" s="8">
        <f t="shared" si="76"/>
        <v>0.4293090882301529</v>
      </c>
      <c r="M238" s="89">
        <v>147.15244134149413</v>
      </c>
      <c r="N238" s="90">
        <f t="shared" si="71"/>
        <v>0.16523461912018308</v>
      </c>
      <c r="O238" s="91">
        <v>0.63229294219295329</v>
      </c>
      <c r="P238" s="86">
        <f t="shared" si="77"/>
        <v>8.2693394166015968E-2</v>
      </c>
      <c r="Q238" s="91"/>
      <c r="R238" s="91"/>
      <c r="S238" s="68">
        <v>178.75414970233464</v>
      </c>
      <c r="T238" s="75">
        <f t="shared" si="72"/>
        <v>1.403533981356162E-2</v>
      </c>
      <c r="U238" s="75"/>
      <c r="V238" s="8"/>
      <c r="W238">
        <v>98.578655899124954</v>
      </c>
      <c r="X238">
        <f t="shared" si="73"/>
        <v>0.44078366292758703</v>
      </c>
    </row>
    <row r="239" spans="1:26" ht="15" thickBot="1" x14ac:dyDescent="0.4">
      <c r="A239" s="26">
        <v>35</v>
      </c>
      <c r="B239" s="35">
        <f t="shared" si="74"/>
        <v>0.74807461920246454</v>
      </c>
      <c r="C239" s="36">
        <f t="shared" si="75"/>
        <v>0.25192538079753546</v>
      </c>
      <c r="D239" s="35">
        <v>0.77865747405106434</v>
      </c>
      <c r="E239" s="41">
        <v>0.16558072581256156</v>
      </c>
      <c r="F239" s="36">
        <v>5.5761800136373961E-2</v>
      </c>
      <c r="G239" s="9">
        <v>281.7</v>
      </c>
      <c r="H239" s="15">
        <v>6.3289999999999997</v>
      </c>
      <c r="I239" s="30">
        <v>0.80600000000000005</v>
      </c>
      <c r="J239" s="30">
        <v>0.746</v>
      </c>
      <c r="K239" s="68">
        <v>39.729880708277598</v>
      </c>
      <c r="L239" s="8">
        <f t="shared" si="76"/>
        <v>0.37225658542775164</v>
      </c>
      <c r="M239" s="89">
        <v>43.738571070101905</v>
      </c>
      <c r="N239" s="90">
        <f t="shared" si="71"/>
        <v>0.30891813761886705</v>
      </c>
      <c r="O239" s="91">
        <v>0.94975080576073934</v>
      </c>
      <c r="P239" s="86">
        <f t="shared" si="77"/>
        <v>0.17835087563367155</v>
      </c>
      <c r="Q239" s="91"/>
      <c r="R239" s="91"/>
      <c r="S239" s="68">
        <v>44.059948133492099</v>
      </c>
      <c r="T239" s="75">
        <f t="shared" si="72"/>
        <v>0.30384028861601992</v>
      </c>
      <c r="U239" s="75"/>
      <c r="V239" s="8"/>
      <c r="W239">
        <v>40.51267524692053</v>
      </c>
      <c r="X239">
        <f t="shared" si="73"/>
        <v>0.35988820908641916</v>
      </c>
    </row>
    <row r="240" spans="1:26" ht="15" thickBot="1" x14ac:dyDescent="0.4">
      <c r="A240" s="160" t="s">
        <v>25</v>
      </c>
      <c r="B240" s="161"/>
      <c r="C240" s="161"/>
      <c r="D240" s="161"/>
      <c r="E240" s="161"/>
      <c r="F240" s="161"/>
      <c r="G240" s="161"/>
      <c r="H240" s="161"/>
      <c r="I240" s="161"/>
      <c r="J240" s="162"/>
      <c r="K240" s="73"/>
      <c r="L240" s="74">
        <f>SUM(L205:L239)/35</f>
        <v>0.37017764646677637</v>
      </c>
      <c r="M240" s="92"/>
      <c r="N240" s="91">
        <f>SUM(N205:N239)/35</f>
        <v>0.2271554338818631</v>
      </c>
      <c r="O240" s="91"/>
      <c r="P240" s="86">
        <f>SUM(P205:P208,P210:P214,P216:P239)/33</f>
        <v>0.23910296935896511</v>
      </c>
      <c r="Q240" s="91"/>
      <c r="R240" s="91"/>
      <c r="S240" s="73"/>
      <c r="T240" s="76">
        <f>SUM(T205:T239)/35</f>
        <v>0.20781693774117374</v>
      </c>
      <c r="U240" s="76"/>
      <c r="V240" s="74"/>
      <c r="X240">
        <f>SUM(X205:X239)/35</f>
        <v>0.36509636611385626</v>
      </c>
      <c r="Y240" s="42"/>
      <c r="Z240" s="42"/>
    </row>
    <row r="241" spans="1:26" x14ac:dyDescent="0.35">
      <c r="A241" s="26">
        <v>1</v>
      </c>
      <c r="B241" s="57"/>
      <c r="C241" s="58"/>
      <c r="D241" s="44">
        <v>0.5</v>
      </c>
      <c r="E241" s="45">
        <v>0.5</v>
      </c>
      <c r="F241" s="46">
        <v>0</v>
      </c>
      <c r="G241" s="52">
        <v>275.02999999999997</v>
      </c>
      <c r="H241" s="53">
        <v>1.502</v>
      </c>
      <c r="I241" s="56"/>
      <c r="J241" s="56"/>
      <c r="K241" s="68">
        <v>13.820339463263162</v>
      </c>
      <c r="L241" s="8">
        <f>ABS(K241-H241*10)/H241/10</f>
        <v>7.9870874616300797E-2</v>
      </c>
      <c r="M241" s="92">
        <v>17.448697105425708</v>
      </c>
      <c r="N241" s="91">
        <f t="shared" ref="N241:N250" si="78">ABS(M241-H241*10)/H241/10</f>
        <v>0.16169754363686478</v>
      </c>
      <c r="O241" s="91"/>
      <c r="P241" s="86"/>
      <c r="Q241" s="91">
        <v>16.742780122891954</v>
      </c>
      <c r="R241" s="90">
        <f t="shared" ref="R241:R261" si="79">ABS(Q241-H241*10)/H241/10</f>
        <v>0.11469907609134185</v>
      </c>
      <c r="S241" s="68">
        <v>16.067389725446002</v>
      </c>
      <c r="T241" s="75">
        <v>15.807632054697066</v>
      </c>
      <c r="U241" s="75"/>
      <c r="V241" s="8"/>
    </row>
    <row r="242" spans="1:26" x14ac:dyDescent="0.35">
      <c r="A242" s="26">
        <v>2</v>
      </c>
      <c r="B242" s="59"/>
      <c r="C242" s="60"/>
      <c r="D242" s="47">
        <v>0.5</v>
      </c>
      <c r="E242" s="43">
        <v>0.5</v>
      </c>
      <c r="F242" s="48">
        <v>0</v>
      </c>
      <c r="G242" s="11">
        <v>275.14999999999998</v>
      </c>
      <c r="H242" s="12">
        <v>1.653</v>
      </c>
      <c r="I242" s="21"/>
      <c r="J242" s="21"/>
      <c r="K242" s="68">
        <v>13.967986936408828</v>
      </c>
      <c r="L242" s="8">
        <f t="shared" ref="L242:L250" si="80">ABS(K242-H242*10)/H242/10</f>
        <v>0.15499171588573341</v>
      </c>
      <c r="M242" s="92">
        <v>17.63558768265419</v>
      </c>
      <c r="N242" s="91">
        <f t="shared" si="78"/>
        <v>6.6883707359600059E-2</v>
      </c>
      <c r="O242" s="91"/>
      <c r="P242" s="86"/>
      <c r="Q242" s="91">
        <v>16.965421662308962</v>
      </c>
      <c r="R242" s="90">
        <f t="shared" si="79"/>
        <v>2.6341298385297113E-2</v>
      </c>
      <c r="S242" s="68">
        <v>16.322537125323329</v>
      </c>
      <c r="T242" s="75">
        <v>16.017434376214343</v>
      </c>
      <c r="U242" s="75"/>
      <c r="V242" s="8"/>
    </row>
    <row r="243" spans="1:26" x14ac:dyDescent="0.35">
      <c r="A243" s="26">
        <v>3</v>
      </c>
      <c r="B243" s="59"/>
      <c r="C243" s="60"/>
      <c r="D243" s="47">
        <v>0.5</v>
      </c>
      <c r="E243" s="43">
        <v>0.5</v>
      </c>
      <c r="F243" s="48">
        <v>0</v>
      </c>
      <c r="G243" s="11">
        <v>275.27</v>
      </c>
      <c r="H243" s="12">
        <v>1.5780000000000001</v>
      </c>
      <c r="I243" s="21"/>
      <c r="J243" s="21"/>
      <c r="K243" s="68">
        <v>14.11736102796255</v>
      </c>
      <c r="L243" s="8">
        <f t="shared" si="80"/>
        <v>0.10536368644090308</v>
      </c>
      <c r="M243" s="92">
        <v>17.82452112393436</v>
      </c>
      <c r="N243" s="91">
        <f t="shared" si="78"/>
        <v>0.12956407629495306</v>
      </c>
      <c r="O243" s="91"/>
      <c r="P243" s="86"/>
      <c r="Q243" s="91">
        <v>17.191146988300726</v>
      </c>
      <c r="R243" s="90">
        <f t="shared" si="79"/>
        <v>8.9426298371402105E-2</v>
      </c>
      <c r="S243" s="68">
        <v>16.536043058574382</v>
      </c>
      <c r="T243" s="75">
        <v>16.230180641881784</v>
      </c>
      <c r="U243" s="75"/>
      <c r="V243" s="8"/>
    </row>
    <row r="244" spans="1:26" x14ac:dyDescent="0.35">
      <c r="A244" s="26">
        <v>4</v>
      </c>
      <c r="B244" s="59"/>
      <c r="C244" s="60"/>
      <c r="D244" s="47">
        <v>0.5</v>
      </c>
      <c r="E244" s="43">
        <v>0.5</v>
      </c>
      <c r="F244" s="48">
        <v>0</v>
      </c>
      <c r="G244" s="11">
        <v>275.72000000000003</v>
      </c>
      <c r="H244" s="12">
        <v>1.7549999999999999</v>
      </c>
      <c r="I244" s="21"/>
      <c r="J244" s="21"/>
      <c r="K244" s="68">
        <v>14.690935831133496</v>
      </c>
      <c r="L244" s="8">
        <f t="shared" si="80"/>
        <v>0.1629096392516525</v>
      </c>
      <c r="M244" s="92">
        <v>18.549793040702905</v>
      </c>
      <c r="N244" s="91">
        <f t="shared" si="78"/>
        <v>5.6968264427516138E-2</v>
      </c>
      <c r="O244" s="91"/>
      <c r="P244" s="86"/>
      <c r="Q244" s="91">
        <v>18.063876895819458</v>
      </c>
      <c r="R244" s="90">
        <f t="shared" si="79"/>
        <v>2.9280734804527697E-2</v>
      </c>
      <c r="S244" s="68">
        <v>17.318999266873075</v>
      </c>
      <c r="T244" s="75">
        <v>17.052865011477618</v>
      </c>
      <c r="U244" s="75"/>
      <c r="V244" s="8"/>
    </row>
    <row r="245" spans="1:26" x14ac:dyDescent="0.35">
      <c r="A245" s="26">
        <v>5</v>
      </c>
      <c r="B245" s="59"/>
      <c r="C245" s="60"/>
      <c r="D245" s="47">
        <v>0.5</v>
      </c>
      <c r="E245" s="43">
        <v>0.5</v>
      </c>
      <c r="F245" s="48">
        <v>0</v>
      </c>
      <c r="G245" s="11">
        <v>276.39</v>
      </c>
      <c r="H245" s="12">
        <v>1.8160000000000001</v>
      </c>
      <c r="I245" s="21"/>
      <c r="J245" s="21"/>
      <c r="K245" s="68">
        <v>15.588254640222747</v>
      </c>
      <c r="L245" s="8">
        <f t="shared" si="80"/>
        <v>0.14161593390843905</v>
      </c>
      <c r="M245" s="92">
        <v>19.682217986106519</v>
      </c>
      <c r="N245" s="91">
        <f t="shared" si="78"/>
        <v>8.3822576327451465E-2</v>
      </c>
      <c r="O245" s="91"/>
      <c r="P245" s="86"/>
      <c r="Q245" s="91">
        <v>19.445298479036207</v>
      </c>
      <c r="R245" s="90">
        <f t="shared" si="79"/>
        <v>7.0776347964548847E-2</v>
      </c>
      <c r="S245" s="68">
        <v>18.642307879459093</v>
      </c>
      <c r="T245" s="75">
        <v>18.355881661637028</v>
      </c>
      <c r="U245" s="75"/>
      <c r="V245" s="8"/>
    </row>
    <row r="246" spans="1:26" x14ac:dyDescent="0.35">
      <c r="A246" s="26">
        <v>6</v>
      </c>
      <c r="B246" s="59"/>
      <c r="C246" s="60"/>
      <c r="D246" s="47">
        <v>0.5</v>
      </c>
      <c r="E246" s="43">
        <v>0.5</v>
      </c>
      <c r="F246" s="48">
        <v>0</v>
      </c>
      <c r="G246" s="11">
        <v>276.73</v>
      </c>
      <c r="H246" s="12">
        <v>1.835</v>
      </c>
      <c r="I246" s="21"/>
      <c r="J246" s="21"/>
      <c r="K246" s="68">
        <v>16.063765480806339</v>
      </c>
      <c r="L246" s="8">
        <f t="shared" si="80"/>
        <v>0.12459043701327861</v>
      </c>
      <c r="M246" s="92">
        <v>20.281387812913156</v>
      </c>
      <c r="N246" s="91">
        <f t="shared" si="78"/>
        <v>0.10525274184812831</v>
      </c>
      <c r="O246" s="91"/>
      <c r="P246" s="86"/>
      <c r="Q246" s="91">
        <v>20.185152319741238</v>
      </c>
      <c r="R246" s="90">
        <f t="shared" si="79"/>
        <v>0.10000830080333716</v>
      </c>
      <c r="S246" s="68">
        <v>19.414680499536605</v>
      </c>
      <c r="T246" s="75">
        <v>19.054150651159613</v>
      </c>
      <c r="U246" s="75"/>
      <c r="V246" s="8"/>
    </row>
    <row r="247" spans="1:26" x14ac:dyDescent="0.35">
      <c r="A247" s="26">
        <v>7</v>
      </c>
      <c r="B247" s="59"/>
      <c r="C247" s="60"/>
      <c r="D247" s="47">
        <v>0.5</v>
      </c>
      <c r="E247" s="43">
        <v>0.5</v>
      </c>
      <c r="F247" s="48">
        <v>0</v>
      </c>
      <c r="G247" s="11">
        <v>278.52999999999997</v>
      </c>
      <c r="H247" s="12">
        <v>2.262</v>
      </c>
      <c r="I247" s="21"/>
      <c r="J247" s="21"/>
      <c r="K247" s="68">
        <v>18.827884487759231</v>
      </c>
      <c r="L247" s="8">
        <f t="shared" si="80"/>
        <v>0.16764436393637355</v>
      </c>
      <c r="M247" s="92">
        <v>23.747322129985669</v>
      </c>
      <c r="N247" s="91">
        <f t="shared" si="78"/>
        <v>4.9837406276996815E-2</v>
      </c>
      <c r="O247" s="91"/>
      <c r="P247" s="86"/>
      <c r="Q247" s="91">
        <v>24.574359946440534</v>
      </c>
      <c r="R247" s="90">
        <f t="shared" si="79"/>
        <v>8.6399643962888295E-2</v>
      </c>
      <c r="S247" s="68">
        <v>23.741651245647283</v>
      </c>
      <c r="T247" s="75">
        <v>23.204606959216875</v>
      </c>
      <c r="U247" s="75"/>
      <c r="V247" s="8"/>
    </row>
    <row r="248" spans="1:26" x14ac:dyDescent="0.35">
      <c r="A248" s="26">
        <v>8</v>
      </c>
      <c r="B248" s="59"/>
      <c r="C248" s="60"/>
      <c r="D248" s="47">
        <v>0.5</v>
      </c>
      <c r="E248" s="43">
        <v>0.5</v>
      </c>
      <c r="F248" s="48">
        <v>0</v>
      </c>
      <c r="G248" s="11">
        <v>279.75</v>
      </c>
      <c r="H248" s="12">
        <v>2.5990000000000002</v>
      </c>
      <c r="I248" s="21"/>
      <c r="J248" s="21"/>
      <c r="K248" s="68">
        <v>20.956012972133689</v>
      </c>
      <c r="L248" s="8">
        <f t="shared" si="80"/>
        <v>0.19368938160316712</v>
      </c>
      <c r="M248" s="92">
        <v>26.393071444889319</v>
      </c>
      <c r="N248" s="91">
        <f t="shared" si="78"/>
        <v>1.5508712769885228E-2</v>
      </c>
      <c r="O248" s="91"/>
      <c r="P248" s="86"/>
      <c r="Q248" s="91">
        <v>28.032671117077015</v>
      </c>
      <c r="R248" s="90">
        <f t="shared" si="79"/>
        <v>7.8594502388496079E-2</v>
      </c>
      <c r="S248" s="68">
        <v>27.506978114928089</v>
      </c>
      <c r="T248" s="75">
        <v>26.487542987681163</v>
      </c>
      <c r="U248" s="75"/>
      <c r="V248" s="8"/>
    </row>
    <row r="249" spans="1:26" x14ac:dyDescent="0.35">
      <c r="A249" s="26">
        <v>9</v>
      </c>
      <c r="B249" s="59"/>
      <c r="C249" s="60"/>
      <c r="D249" s="47">
        <v>0.5</v>
      </c>
      <c r="E249" s="43">
        <v>0.5</v>
      </c>
      <c r="F249" s="48">
        <v>0</v>
      </c>
      <c r="G249" s="11">
        <v>281.36</v>
      </c>
      <c r="H249" s="12">
        <v>3.3029999999999999</v>
      </c>
      <c r="I249" s="21"/>
      <c r="J249" s="21"/>
      <c r="K249" s="68">
        <v>24.112817284284976</v>
      </c>
      <c r="L249" s="8">
        <f t="shared" si="80"/>
        <v>0.269972228753104</v>
      </c>
      <c r="M249" s="92">
        <v>30.27181308175863</v>
      </c>
      <c r="N249" s="91">
        <f t="shared" si="78"/>
        <v>8.3505507667010939E-2</v>
      </c>
      <c r="O249" s="91"/>
      <c r="P249" s="86"/>
      <c r="Q249" s="91">
        <v>33.219717963179498</v>
      </c>
      <c r="R249" s="90">
        <f t="shared" si="79"/>
        <v>5.7438075440356335E-3</v>
      </c>
      <c r="S249" s="68">
        <v>33.613011617978472</v>
      </c>
      <c r="T249" s="75">
        <v>31.443886545512516</v>
      </c>
      <c r="U249" s="75"/>
      <c r="V249" s="8"/>
    </row>
    <row r="250" spans="1:26" ht="15" thickBot="1" x14ac:dyDescent="0.4">
      <c r="A250" s="26">
        <v>10</v>
      </c>
      <c r="B250" s="61"/>
      <c r="C250" s="62"/>
      <c r="D250" s="49">
        <v>0.5</v>
      </c>
      <c r="E250" s="50">
        <v>0.5</v>
      </c>
      <c r="F250" s="51">
        <v>0</v>
      </c>
      <c r="G250" s="54">
        <v>282.76</v>
      </c>
      <c r="H250" s="55">
        <v>4.0789999999999997</v>
      </c>
      <c r="I250" s="23"/>
      <c r="J250" s="23"/>
      <c r="K250" s="68">
        <v>27.206109975234714</v>
      </c>
      <c r="L250" s="8">
        <f t="shared" si="80"/>
        <v>0.33302010357355444</v>
      </c>
      <c r="M250" s="92">
        <v>34.00382588691285</v>
      </c>
      <c r="N250" s="91">
        <f t="shared" si="78"/>
        <v>0.16636857350054302</v>
      </c>
      <c r="O250" s="91"/>
      <c r="P250" s="86"/>
      <c r="Q250" s="91"/>
      <c r="R250" s="90">
        <f t="shared" si="79"/>
        <v>1</v>
      </c>
      <c r="S250" s="68">
        <v>40.46670040802578</v>
      </c>
      <c r="T250" s="75">
        <v>36.318309962539622</v>
      </c>
      <c r="U250" s="75"/>
      <c r="V250" s="8"/>
    </row>
    <row r="251" spans="1:26" ht="15" thickBot="1" x14ac:dyDescent="0.4">
      <c r="A251" s="160" t="s">
        <v>26</v>
      </c>
      <c r="B251" s="161"/>
      <c r="C251" s="161"/>
      <c r="D251" s="161"/>
      <c r="E251" s="161"/>
      <c r="F251" s="161"/>
      <c r="G251" s="161"/>
      <c r="H251" s="161"/>
      <c r="I251" s="161"/>
      <c r="J251" s="162"/>
      <c r="K251" s="73"/>
      <c r="L251" s="74">
        <f>SUM(L241:L250)/10</f>
        <v>0.17336683649825066</v>
      </c>
      <c r="M251" s="92"/>
      <c r="N251" s="91">
        <f>SUM(N241:N250)/10</f>
        <v>9.194091101089498E-2</v>
      </c>
      <c r="O251" s="91"/>
      <c r="P251" s="86"/>
      <c r="Q251" s="91"/>
      <c r="R251" s="91">
        <f>SUM(R241:R250)/10</f>
        <v>0.16012700103158747</v>
      </c>
      <c r="S251" s="73"/>
      <c r="T251" s="76">
        <f>SUM(T241:T250)/10</f>
        <v>21.997249085201766</v>
      </c>
      <c r="U251" s="76"/>
      <c r="V251" s="74"/>
      <c r="W251" s="42"/>
      <c r="X251" s="42"/>
      <c r="Y251" s="42"/>
      <c r="Z251" s="42"/>
    </row>
    <row r="252" spans="1:26" x14ac:dyDescent="0.35">
      <c r="A252" s="26">
        <v>1</v>
      </c>
      <c r="B252" s="57"/>
      <c r="C252" s="58"/>
      <c r="D252" s="44">
        <v>0.5</v>
      </c>
      <c r="E252" s="45">
        <v>0.5</v>
      </c>
      <c r="F252" s="46">
        <v>0</v>
      </c>
      <c r="G252" s="52">
        <v>275.12</v>
      </c>
      <c r="H252" s="53">
        <v>1.51</v>
      </c>
      <c r="I252" s="56"/>
      <c r="J252" s="56"/>
      <c r="K252" s="68">
        <v>13.930928953679368</v>
      </c>
      <c r="L252" s="8">
        <f>ABS(K252-H252*10)/H252/10</f>
        <v>7.7421923597392819E-2</v>
      </c>
      <c r="M252" s="92">
        <v>17.588685763247565</v>
      </c>
      <c r="N252" s="91">
        <f t="shared" ref="N252:N261" si="81">ABS(M252-H252*10)/H252/10</f>
        <v>0.16481362670513675</v>
      </c>
      <c r="O252" s="91"/>
      <c r="P252" s="86"/>
      <c r="Q252" s="91">
        <v>16.909485661777687</v>
      </c>
      <c r="R252" s="90">
        <f t="shared" si="79"/>
        <v>0.11983348753494619</v>
      </c>
      <c r="S252" s="68">
        <v>16.269627290023895</v>
      </c>
      <c r="T252" s="75">
        <v>15.964722092011332</v>
      </c>
      <c r="U252" s="75"/>
      <c r="V252" s="8"/>
    </row>
    <row r="253" spans="1:26" x14ac:dyDescent="0.35">
      <c r="A253" s="26">
        <v>2</v>
      </c>
      <c r="B253" s="59"/>
      <c r="C253" s="60"/>
      <c r="D253" s="47">
        <v>0.5</v>
      </c>
      <c r="E253" s="43">
        <v>0.5</v>
      </c>
      <c r="F253" s="48">
        <v>0</v>
      </c>
      <c r="G253" s="11">
        <v>276.88</v>
      </c>
      <c r="H253" s="12">
        <v>1.81</v>
      </c>
      <c r="I253" s="21"/>
      <c r="J253" s="21"/>
      <c r="K253" s="68">
        <v>16.278119695717979</v>
      </c>
      <c r="L253" s="8">
        <f t="shared" ref="L253:L261" si="82">ABS(K253-H253*10)/H253/10</f>
        <v>0.10065637040232164</v>
      </c>
      <c r="M253" s="92">
        <v>20.551198463220089</v>
      </c>
      <c r="N253" s="91">
        <f t="shared" si="81"/>
        <v>0.13542532945967337</v>
      </c>
      <c r="O253" s="91"/>
      <c r="P253" s="86"/>
      <c r="Q253" s="91">
        <v>20.520243201448299</v>
      </c>
      <c r="R253" s="90">
        <f t="shared" si="79"/>
        <v>0.13371509400266834</v>
      </c>
      <c r="S253" s="68">
        <v>19.741352734943575</v>
      </c>
      <c r="T253" s="75">
        <v>19.370522553047543</v>
      </c>
      <c r="U253" s="75"/>
      <c r="V253" s="8"/>
    </row>
    <row r="254" spans="1:26" x14ac:dyDescent="0.35">
      <c r="A254" s="26">
        <v>3</v>
      </c>
      <c r="B254" s="59"/>
      <c r="C254" s="60"/>
      <c r="D254" s="47">
        <v>0.5</v>
      </c>
      <c r="E254" s="43">
        <v>0.5</v>
      </c>
      <c r="F254" s="48">
        <v>0</v>
      </c>
      <c r="G254" s="11">
        <v>277.83</v>
      </c>
      <c r="H254" s="12">
        <v>2.11</v>
      </c>
      <c r="I254" s="21"/>
      <c r="J254" s="21"/>
      <c r="K254" s="68">
        <v>17.701984349901259</v>
      </c>
      <c r="L254" s="8">
        <f t="shared" si="82"/>
        <v>0.1610433957392767</v>
      </c>
      <c r="M254" s="92">
        <v>22.339218665304227</v>
      </c>
      <c r="N254" s="91">
        <f t="shared" si="81"/>
        <v>5.8730742431480042E-2</v>
      </c>
      <c r="O254" s="91"/>
      <c r="P254" s="86"/>
      <c r="Q254" s="91">
        <v>22.769841769070734</v>
      </c>
      <c r="R254" s="90">
        <f t="shared" si="79"/>
        <v>7.9139420335105973E-2</v>
      </c>
      <c r="S254" s="68">
        <v>21.908187913366451</v>
      </c>
      <c r="T254" s="75">
        <v>21.496417180277227</v>
      </c>
      <c r="U254" s="75"/>
      <c r="V254" s="8"/>
    </row>
    <row r="255" spans="1:26" x14ac:dyDescent="0.35">
      <c r="A255" s="26">
        <v>4</v>
      </c>
      <c r="B255" s="59"/>
      <c r="C255" s="60"/>
      <c r="D255" s="47">
        <v>0.5</v>
      </c>
      <c r="E255" s="43">
        <v>0.5</v>
      </c>
      <c r="F255" s="48">
        <v>0</v>
      </c>
      <c r="G255" s="11">
        <v>278.99</v>
      </c>
      <c r="H255" s="12">
        <v>2.4</v>
      </c>
      <c r="I255" s="21"/>
      <c r="J255" s="21"/>
      <c r="K255" s="68">
        <v>19.604701770945855</v>
      </c>
      <c r="L255" s="8">
        <f t="shared" si="82"/>
        <v>0.18313742621058937</v>
      </c>
      <c r="M255" s="92">
        <v>24.715736240469443</v>
      </c>
      <c r="N255" s="91">
        <f t="shared" si="81"/>
        <v>2.9822343352893466E-2</v>
      </c>
      <c r="O255" s="91"/>
      <c r="P255" s="86"/>
      <c r="Q255" s="91">
        <v>25.830697728010087</v>
      </c>
      <c r="R255" s="90">
        <f t="shared" si="79"/>
        <v>7.6279072000420278E-2</v>
      </c>
      <c r="S255" s="68">
        <v>25.129214602321682</v>
      </c>
      <c r="T255" s="75">
        <v>24.395670146216467</v>
      </c>
      <c r="U255" s="75"/>
      <c r="V255" s="8"/>
    </row>
    <row r="256" spans="1:26" x14ac:dyDescent="0.35">
      <c r="A256" s="26">
        <v>5</v>
      </c>
      <c r="B256" s="59"/>
      <c r="C256" s="60"/>
      <c r="D256" s="47">
        <v>0.5</v>
      </c>
      <c r="E256" s="43">
        <v>0.5</v>
      </c>
      <c r="F256" s="48">
        <v>0</v>
      </c>
      <c r="G256" s="11">
        <v>279.94</v>
      </c>
      <c r="H256" s="12">
        <v>2.7</v>
      </c>
      <c r="I256" s="21"/>
      <c r="J256" s="21"/>
      <c r="K256" s="68">
        <v>21.307202882262981</v>
      </c>
      <c r="L256" s="8">
        <f t="shared" si="82"/>
        <v>0.21084433769396366</v>
      </c>
      <c r="M256" s="92">
        <v>26.827659039460148</v>
      </c>
      <c r="N256" s="91">
        <f t="shared" si="81"/>
        <v>6.3829985385130458E-3</v>
      </c>
      <c r="O256" s="91"/>
      <c r="P256" s="86"/>
      <c r="Q256" s="91">
        <v>28.607989374343024</v>
      </c>
      <c r="R256" s="90">
        <f t="shared" si="79"/>
        <v>5.9555162012704589E-2</v>
      </c>
      <c r="S256" s="68">
        <v>28.144642954228992</v>
      </c>
      <c r="T256" s="75">
        <v>27.03511803855417</v>
      </c>
      <c r="U256" s="75"/>
      <c r="V256" s="8"/>
    </row>
    <row r="257" spans="1:26" x14ac:dyDescent="0.35">
      <c r="A257" s="26">
        <v>6</v>
      </c>
      <c r="B257" s="59"/>
      <c r="C257" s="60"/>
      <c r="D257" s="47">
        <v>0.5</v>
      </c>
      <c r="E257" s="43">
        <v>0.5</v>
      </c>
      <c r="F257" s="48">
        <v>0</v>
      </c>
      <c r="G257" s="11">
        <v>280.70999999999998</v>
      </c>
      <c r="H257" s="12">
        <v>3</v>
      </c>
      <c r="I257" s="21"/>
      <c r="J257" s="21"/>
      <c r="K257" s="68">
        <v>22.788608096022017</v>
      </c>
      <c r="L257" s="8">
        <f t="shared" si="82"/>
        <v>0.24037973013259945</v>
      </c>
      <c r="M257" s="92">
        <v>28.652145287090896</v>
      </c>
      <c r="N257" s="91">
        <f t="shared" si="81"/>
        <v>4.4928490430303468E-2</v>
      </c>
      <c r="O257" s="91"/>
      <c r="P257" s="86"/>
      <c r="Q257" s="91">
        <v>31.041185754249121</v>
      </c>
      <c r="R257" s="90">
        <f t="shared" si="79"/>
        <v>3.4706191808304018E-2</v>
      </c>
      <c r="S257" s="68">
        <v>30.944710598529742</v>
      </c>
      <c r="T257" s="75">
        <v>29.356487290357776</v>
      </c>
      <c r="U257" s="75"/>
      <c r="V257" s="8"/>
    </row>
    <row r="258" spans="1:26" x14ac:dyDescent="0.35">
      <c r="A258" s="26">
        <v>7</v>
      </c>
      <c r="B258" s="59"/>
      <c r="C258" s="60"/>
      <c r="D258" s="47">
        <v>0.5</v>
      </c>
      <c r="E258" s="43">
        <v>0.5</v>
      </c>
      <c r="F258" s="48">
        <v>0</v>
      </c>
      <c r="G258" s="11">
        <v>281.42</v>
      </c>
      <c r="H258" s="12">
        <v>3.3</v>
      </c>
      <c r="I258" s="21"/>
      <c r="J258" s="21"/>
      <c r="K258" s="68">
        <v>24.23870389476895</v>
      </c>
      <c r="L258" s="8">
        <f t="shared" si="82"/>
        <v>0.26549382137063787</v>
      </c>
      <c r="M258" s="92">
        <v>30.424970067012694</v>
      </c>
      <c r="N258" s="91">
        <f t="shared" si="81"/>
        <v>7.8031210090524425E-2</v>
      </c>
      <c r="O258" s="91"/>
      <c r="P258" s="86"/>
      <c r="Q258" s="91">
        <v>33.426353650540072</v>
      </c>
      <c r="R258" s="90">
        <f t="shared" si="79"/>
        <v>1.2919807592123403E-2</v>
      </c>
      <c r="S258" s="68">
        <v>33.874630059433613</v>
      </c>
      <c r="T258" s="75">
        <v>31.642383043682759</v>
      </c>
      <c r="U258" s="75"/>
      <c r="V258" s="8"/>
    </row>
    <row r="259" spans="1:26" x14ac:dyDescent="0.35">
      <c r="A259" s="26">
        <v>8</v>
      </c>
      <c r="B259" s="59"/>
      <c r="C259" s="60"/>
      <c r="D259" s="47">
        <v>0.5</v>
      </c>
      <c r="E259" s="43">
        <v>0.5</v>
      </c>
      <c r="F259" s="48">
        <v>0</v>
      </c>
      <c r="G259" s="11">
        <v>282.06</v>
      </c>
      <c r="H259" s="12">
        <v>3.6</v>
      </c>
      <c r="I259" s="21"/>
      <c r="J259" s="21"/>
      <c r="K259" s="68">
        <v>25.61749978767709</v>
      </c>
      <c r="L259" s="8">
        <f t="shared" si="82"/>
        <v>0.28840278367563638</v>
      </c>
      <c r="M259" s="92">
        <v>32.0967191659973</v>
      </c>
      <c r="N259" s="91">
        <f t="shared" si="81"/>
        <v>0.10842446761118611</v>
      </c>
      <c r="O259" s="91"/>
      <c r="P259" s="86"/>
      <c r="Q259" s="91">
        <v>35.685513845088707</v>
      </c>
      <c r="R259" s="90">
        <f t="shared" si="79"/>
        <v>8.735726525313698E-3</v>
      </c>
      <c r="S259" s="68">
        <v>36.8682550855128</v>
      </c>
      <c r="T259" s="75">
        <v>33.819160032083808</v>
      </c>
      <c r="U259" s="75"/>
      <c r="V259" s="8"/>
    </row>
    <row r="260" spans="1:26" x14ac:dyDescent="0.35">
      <c r="A260" s="26">
        <v>9</v>
      </c>
      <c r="B260" s="59"/>
      <c r="C260" s="60"/>
      <c r="D260" s="47">
        <v>0.5</v>
      </c>
      <c r="E260" s="43">
        <v>0.5</v>
      </c>
      <c r="F260" s="48">
        <v>0</v>
      </c>
      <c r="G260" s="11">
        <v>282.41000000000003</v>
      </c>
      <c r="H260" s="12">
        <v>3.9</v>
      </c>
      <c r="I260" s="21"/>
      <c r="J260" s="21"/>
      <c r="K260" s="68">
        <v>26.401131243301805</v>
      </c>
      <c r="L260" s="8">
        <f t="shared" si="82"/>
        <v>0.32304791683841527</v>
      </c>
      <c r="M260" s="92">
        <v>33.040256543427496</v>
      </c>
      <c r="N260" s="91">
        <f t="shared" si="81"/>
        <v>0.15281393478391037</v>
      </c>
      <c r="O260" s="91"/>
      <c r="P260" s="86"/>
      <c r="Q260" s="91">
        <v>36.960980764529864</v>
      </c>
      <c r="R260" s="90">
        <f t="shared" si="79"/>
        <v>5.2282544499234238E-2</v>
      </c>
      <c r="S260" s="68">
        <v>38.669746279444304</v>
      </c>
      <c r="T260" s="75">
        <v>35.054140815362828</v>
      </c>
      <c r="U260" s="75"/>
      <c r="V260" s="8"/>
    </row>
    <row r="261" spans="1:26" ht="15" thickBot="1" x14ac:dyDescent="0.4">
      <c r="A261" s="26">
        <v>10</v>
      </c>
      <c r="B261" s="61"/>
      <c r="C261" s="62"/>
      <c r="D261" s="49">
        <v>0.5</v>
      </c>
      <c r="E261" s="50">
        <v>0.5</v>
      </c>
      <c r="F261" s="51">
        <v>0</v>
      </c>
      <c r="G261" s="54">
        <v>282.89999999999998</v>
      </c>
      <c r="H261" s="55">
        <v>4.3</v>
      </c>
      <c r="I261" s="23"/>
      <c r="J261" s="23"/>
      <c r="K261" s="68">
        <v>27.534042442346422</v>
      </c>
      <c r="L261" s="8">
        <f t="shared" si="82"/>
        <v>0.35967343157333903</v>
      </c>
      <c r="M261" s="92">
        <v>34.394686698675031</v>
      </c>
      <c r="N261" s="91">
        <f t="shared" si="81"/>
        <v>0.20012356514709234</v>
      </c>
      <c r="O261" s="91"/>
      <c r="P261" s="86"/>
      <c r="Q261" s="91">
        <v>38.787727448158968</v>
      </c>
      <c r="R261" s="90">
        <f t="shared" si="79"/>
        <v>9.7959826787000742E-2</v>
      </c>
      <c r="S261" s="68">
        <v>41.44701329620159</v>
      </c>
      <c r="T261" s="75">
        <v>36.831755786019919</v>
      </c>
      <c r="U261" s="75"/>
      <c r="V261" s="8"/>
    </row>
    <row r="262" spans="1:26" ht="15" thickBot="1" x14ac:dyDescent="0.4">
      <c r="A262" s="160" t="s">
        <v>27</v>
      </c>
      <c r="B262" s="161"/>
      <c r="C262" s="161"/>
      <c r="D262" s="161"/>
      <c r="E262" s="161"/>
      <c r="F262" s="161"/>
      <c r="G262" s="161"/>
      <c r="H262" s="161"/>
      <c r="I262" s="161"/>
      <c r="J262" s="162"/>
      <c r="K262" s="73"/>
      <c r="L262" s="74">
        <f>SUM(L252:L261)/10</f>
        <v>0.22101011372341722</v>
      </c>
      <c r="M262" s="92"/>
      <c r="N262" s="91">
        <f>SUM(N252:N261)/10</f>
        <v>9.7949670855071336E-2</v>
      </c>
      <c r="O262" s="91"/>
      <c r="P262" s="86"/>
      <c r="Q262" s="91"/>
      <c r="R262" s="91">
        <f>SUM(R252:R261)/10</f>
        <v>6.7512633309782147E-2</v>
      </c>
      <c r="S262" s="73"/>
      <c r="T262" s="76">
        <f>SUM(T252:T261)/10</f>
        <v>27.496637697761383</v>
      </c>
      <c r="U262" s="76"/>
      <c r="V262" s="74"/>
      <c r="W262" s="42"/>
      <c r="X262" s="42"/>
      <c r="Y262" s="42"/>
      <c r="Z262" s="42"/>
    </row>
    <row r="263" spans="1:26" ht="14.15" customHeight="1" x14ac:dyDescent="0.35">
      <c r="A263" s="26">
        <v>1</v>
      </c>
      <c r="B263" s="57"/>
      <c r="C263" s="58"/>
      <c r="D263" s="44">
        <v>0.5</v>
      </c>
      <c r="E263" s="45">
        <v>0</v>
      </c>
      <c r="F263" s="46">
        <v>0.5</v>
      </c>
      <c r="G263" s="5">
        <v>272.84999999999997</v>
      </c>
      <c r="H263" s="63">
        <v>18.947775</v>
      </c>
      <c r="I263" s="56"/>
      <c r="J263" s="56"/>
      <c r="K263" s="68"/>
      <c r="L263" s="8"/>
      <c r="M263" s="92">
        <v>157.14293943582194</v>
      </c>
      <c r="N263" s="91">
        <f t="shared" ref="N263:N285" si="83">ABS(M263-H263*10)/10/H263</f>
        <v>0.17065228273070623</v>
      </c>
      <c r="O263" s="91"/>
      <c r="P263" s="86"/>
      <c r="Q263" s="91"/>
      <c r="R263" s="91"/>
      <c r="S263" s="68">
        <v>146.96936418358453</v>
      </c>
      <c r="T263" s="75">
        <f t="shared" ref="T263:T289" si="84">ABS(S263-H263*10)/H263/10</f>
        <v>0.2243449999612909</v>
      </c>
      <c r="U263" s="75"/>
      <c r="V263" s="8"/>
    </row>
    <row r="264" spans="1:26" x14ac:dyDescent="0.35">
      <c r="A264" s="26">
        <v>2</v>
      </c>
      <c r="B264" s="59"/>
      <c r="C264" s="60"/>
      <c r="D264" s="47">
        <v>0.5</v>
      </c>
      <c r="E264" s="43">
        <v>0</v>
      </c>
      <c r="F264" s="48">
        <v>0.5</v>
      </c>
      <c r="G264" s="6">
        <v>272.95</v>
      </c>
      <c r="H264" s="64">
        <v>15.300075</v>
      </c>
      <c r="I264" s="21"/>
      <c r="J264" s="21"/>
      <c r="K264" s="68"/>
      <c r="L264" s="8"/>
      <c r="M264" s="92">
        <v>159.01628184156297</v>
      </c>
      <c r="N264" s="91">
        <f t="shared" si="83"/>
        <v>3.9317008848407532E-2</v>
      </c>
      <c r="O264" s="91"/>
      <c r="P264" s="86"/>
      <c r="Q264" s="91"/>
      <c r="R264" s="91"/>
      <c r="S264" s="68">
        <v>148.60588630684194</v>
      </c>
      <c r="T264" s="75">
        <f t="shared" si="84"/>
        <v>2.8724458495517462E-2</v>
      </c>
      <c r="U264" s="75"/>
      <c r="V264" s="8"/>
    </row>
    <row r="265" spans="1:26" x14ac:dyDescent="0.35">
      <c r="A265" s="26">
        <v>3</v>
      </c>
      <c r="B265" s="59"/>
      <c r="C265" s="60"/>
      <c r="D265" s="47">
        <v>0.5</v>
      </c>
      <c r="E265" s="43">
        <v>0</v>
      </c>
      <c r="F265" s="48">
        <v>0.5</v>
      </c>
      <c r="G265" s="6">
        <v>273.14999999999998</v>
      </c>
      <c r="H265" s="64">
        <v>16.009349999999998</v>
      </c>
      <c r="I265" s="21"/>
      <c r="J265" s="21"/>
      <c r="K265" s="68"/>
      <c r="L265" s="8"/>
      <c r="M265" s="92">
        <v>162.85933208078671</v>
      </c>
      <c r="N265" s="91">
        <f t="shared" si="83"/>
        <v>1.7276354635177179E-2</v>
      </c>
      <c r="O265" s="91"/>
      <c r="P265" s="86"/>
      <c r="Q265" s="91"/>
      <c r="R265" s="91"/>
      <c r="S265" s="68">
        <v>151.95493820194122</v>
      </c>
      <c r="T265" s="75">
        <f t="shared" si="84"/>
        <v>5.0836303772849999E-2</v>
      </c>
      <c r="U265" s="75"/>
      <c r="V265" s="8"/>
    </row>
    <row r="266" spans="1:26" x14ac:dyDescent="0.35">
      <c r="A266" s="26">
        <v>4</v>
      </c>
      <c r="B266" s="59"/>
      <c r="C266" s="60"/>
      <c r="D266" s="47">
        <v>0.5</v>
      </c>
      <c r="E266" s="43">
        <v>0</v>
      </c>
      <c r="F266" s="48">
        <v>0.5</v>
      </c>
      <c r="G266" s="6">
        <v>273.14999999999998</v>
      </c>
      <c r="H266" s="64">
        <v>16.313324999999999</v>
      </c>
      <c r="I266" s="21"/>
      <c r="J266" s="21"/>
      <c r="K266" s="68"/>
      <c r="L266" s="8"/>
      <c r="M266" s="92">
        <v>162.85933208225077</v>
      </c>
      <c r="N266" s="91">
        <f t="shared" si="83"/>
        <v>1.6791053801061522E-3</v>
      </c>
      <c r="O266" s="91"/>
      <c r="P266" s="86"/>
      <c r="Q266" s="91"/>
      <c r="R266" s="91"/>
      <c r="S266" s="68">
        <v>151.95493820194332</v>
      </c>
      <c r="T266" s="75">
        <f t="shared" si="84"/>
        <v>6.8522583826759145E-2</v>
      </c>
      <c r="U266" s="75"/>
      <c r="V266" s="8"/>
    </row>
    <row r="267" spans="1:26" x14ac:dyDescent="0.35">
      <c r="A267" s="26">
        <v>5</v>
      </c>
      <c r="B267" s="59"/>
      <c r="C267" s="60"/>
      <c r="D267" s="47">
        <v>0.5</v>
      </c>
      <c r="E267" s="43">
        <v>0</v>
      </c>
      <c r="F267" s="48">
        <v>0.5</v>
      </c>
      <c r="G267" s="6">
        <v>273.34999999999997</v>
      </c>
      <c r="H267" s="64">
        <v>16.6173</v>
      </c>
      <c r="I267" s="21"/>
      <c r="J267" s="21"/>
      <c r="K267" s="68"/>
      <c r="L267" s="8"/>
      <c r="M267" s="92">
        <v>166.83684182746455</v>
      </c>
      <c r="N267" s="91">
        <f t="shared" si="83"/>
        <v>3.9948838106344088E-3</v>
      </c>
      <c r="O267" s="91"/>
      <c r="P267" s="86"/>
      <c r="Q267" s="91"/>
      <c r="R267" s="91"/>
      <c r="S267" s="68">
        <v>155.40939786079545</v>
      </c>
      <c r="T267" s="75">
        <f t="shared" si="84"/>
        <v>6.4773471858873291E-2</v>
      </c>
      <c r="U267" s="75"/>
      <c r="V267" s="8"/>
    </row>
    <row r="268" spans="1:26" x14ac:dyDescent="0.35">
      <c r="A268" s="26">
        <v>6</v>
      </c>
      <c r="B268" s="59"/>
      <c r="C268" s="60"/>
      <c r="D268" s="47">
        <v>0.5</v>
      </c>
      <c r="E268" s="43">
        <v>0</v>
      </c>
      <c r="F268" s="48">
        <v>0.5</v>
      </c>
      <c r="G268" s="6">
        <v>273.95</v>
      </c>
      <c r="H268" s="64">
        <v>17.529225</v>
      </c>
      <c r="I268" s="21"/>
      <c r="J268" s="21"/>
      <c r="K268" s="68"/>
      <c r="L268" s="8"/>
      <c r="M268" s="92">
        <v>179.65615453320095</v>
      </c>
      <c r="N268" s="91">
        <f t="shared" si="83"/>
        <v>2.489502264476012E-2</v>
      </c>
      <c r="O268" s="91"/>
      <c r="P268" s="86"/>
      <c r="Q268" s="91"/>
      <c r="R268" s="91"/>
      <c r="S268" s="68">
        <v>166.46144053120446</v>
      </c>
      <c r="T268" s="75">
        <f t="shared" si="84"/>
        <v>5.0377637738094727E-2</v>
      </c>
      <c r="U268" s="75"/>
      <c r="V268" s="8"/>
    </row>
    <row r="269" spans="1:26" x14ac:dyDescent="0.35">
      <c r="A269" s="26">
        <v>7</v>
      </c>
      <c r="B269" s="59"/>
      <c r="C269" s="60"/>
      <c r="D269" s="47">
        <v>0.5</v>
      </c>
      <c r="E269" s="43">
        <v>0</v>
      </c>
      <c r="F269" s="48">
        <v>0.5</v>
      </c>
      <c r="G269" s="6">
        <v>274.14999999999998</v>
      </c>
      <c r="H269" s="64">
        <v>17.731874999999999</v>
      </c>
      <c r="I269" s="21"/>
      <c r="J269" s="21"/>
      <c r="K269" s="68"/>
      <c r="L269" s="8"/>
      <c r="M269" s="92">
        <v>184.25511032344957</v>
      </c>
      <c r="N269" s="91">
        <f t="shared" si="83"/>
        <v>3.9118030797361127E-2</v>
      </c>
      <c r="O269" s="91"/>
      <c r="P269" s="86"/>
      <c r="Q269" s="91"/>
      <c r="R269" s="91"/>
      <c r="S269" s="68">
        <v>170.39540922980984</v>
      </c>
      <c r="T269" s="75">
        <f t="shared" si="84"/>
        <v>3.9044606225738403E-2</v>
      </c>
      <c r="U269" s="75"/>
      <c r="V269" s="8"/>
    </row>
    <row r="270" spans="1:26" x14ac:dyDescent="0.35">
      <c r="A270" s="26">
        <v>8</v>
      </c>
      <c r="B270" s="59"/>
      <c r="C270" s="60"/>
      <c r="D270" s="47">
        <v>0.5</v>
      </c>
      <c r="E270" s="43">
        <v>0</v>
      </c>
      <c r="F270" s="48">
        <v>0.5</v>
      </c>
      <c r="G270" s="6">
        <v>274.84999999999997</v>
      </c>
      <c r="H270" s="64">
        <v>19.150424999999998</v>
      </c>
      <c r="I270" s="21"/>
      <c r="J270" s="21"/>
      <c r="K270" s="68"/>
      <c r="L270" s="8"/>
      <c r="M270" s="92">
        <v>201.84977242511553</v>
      </c>
      <c r="N270" s="91">
        <f t="shared" si="83"/>
        <v>5.4022416866025422E-2</v>
      </c>
      <c r="O270" s="91"/>
      <c r="P270" s="86"/>
      <c r="Q270" s="91"/>
      <c r="R270" s="91"/>
      <c r="S270" s="68">
        <v>185.29135060764619</v>
      </c>
      <c r="T270" s="75">
        <f t="shared" si="84"/>
        <v>3.2442618857564734E-2</v>
      </c>
      <c r="U270" s="75"/>
      <c r="V270" s="8"/>
    </row>
    <row r="271" spans="1:26" x14ac:dyDescent="0.35">
      <c r="A271" s="26">
        <v>9</v>
      </c>
      <c r="B271" s="59"/>
      <c r="C271" s="60"/>
      <c r="D271" s="47">
        <v>0.5</v>
      </c>
      <c r="E271" s="43">
        <v>0</v>
      </c>
      <c r="F271" s="48">
        <v>0.5</v>
      </c>
      <c r="G271" s="6">
        <v>274.84999999999997</v>
      </c>
      <c r="H271" s="64">
        <v>19.251749999999998</v>
      </c>
      <c r="I271" s="21"/>
      <c r="J271" s="21"/>
      <c r="K271" s="68"/>
      <c r="L271" s="8"/>
      <c r="M271" s="92">
        <v>201.84977242511818</v>
      </c>
      <c r="N271" s="91">
        <f t="shared" si="83"/>
        <v>4.8474930461481124E-2</v>
      </c>
      <c r="O271" s="91"/>
      <c r="P271" s="86"/>
      <c r="Q271" s="91"/>
      <c r="R271" s="91"/>
      <c r="S271" s="68">
        <v>185.29135060785839</v>
      </c>
      <c r="T271" s="75">
        <f t="shared" si="84"/>
        <v>3.7535026125633225E-2</v>
      </c>
      <c r="U271" s="75"/>
      <c r="V271" s="8"/>
    </row>
    <row r="272" spans="1:26" x14ac:dyDescent="0.35">
      <c r="A272" s="26">
        <v>10</v>
      </c>
      <c r="B272" s="59"/>
      <c r="C272" s="60"/>
      <c r="D272" s="47">
        <v>0.5</v>
      </c>
      <c r="E272" s="43">
        <v>0</v>
      </c>
      <c r="F272" s="48">
        <v>0.5</v>
      </c>
      <c r="G272" s="6">
        <v>275.25</v>
      </c>
      <c r="H272" s="64">
        <v>19.657049999999998</v>
      </c>
      <c r="I272" s="21"/>
      <c r="J272" s="21"/>
      <c r="K272" s="68"/>
      <c r="L272" s="8"/>
      <c r="M272" s="92">
        <v>213.11244557536384</v>
      </c>
      <c r="N272" s="91">
        <f t="shared" si="83"/>
        <v>8.4152736933384487E-2</v>
      </c>
      <c r="O272" s="91"/>
      <c r="P272" s="86"/>
      <c r="Q272" s="91"/>
      <c r="R272" s="91"/>
      <c r="S272" s="68">
        <v>194.69503568555251</v>
      </c>
      <c r="T272" s="75">
        <f t="shared" si="84"/>
        <v>9.5409245764113641E-3</v>
      </c>
      <c r="U272" s="75"/>
      <c r="V272" s="8"/>
    </row>
    <row r="273" spans="1:22" x14ac:dyDescent="0.35">
      <c r="A273" s="26">
        <v>11</v>
      </c>
      <c r="B273" s="59"/>
      <c r="C273" s="60"/>
      <c r="D273" s="47">
        <v>0.5</v>
      </c>
      <c r="E273" s="43">
        <v>0</v>
      </c>
      <c r="F273" s="48">
        <v>0.5</v>
      </c>
      <c r="G273" s="6">
        <v>275.54999999999995</v>
      </c>
      <c r="H273" s="64">
        <v>20.670299999999997</v>
      </c>
      <c r="I273" s="21"/>
      <c r="J273" s="21"/>
      <c r="K273" s="68"/>
      <c r="L273" s="8"/>
      <c r="M273" s="92">
        <v>222.23760334078392</v>
      </c>
      <c r="N273" s="91">
        <f t="shared" si="83"/>
        <v>7.5154222922666575E-2</v>
      </c>
      <c r="O273" s="91"/>
      <c r="P273" s="86"/>
      <c r="Q273" s="91"/>
      <c r="R273" s="91"/>
      <c r="S273" s="68">
        <v>202.2369856745444</v>
      </c>
      <c r="T273" s="75">
        <f t="shared" si="84"/>
        <v>2.1605948270976113E-2</v>
      </c>
      <c r="U273" s="75"/>
      <c r="V273" s="8"/>
    </row>
    <row r="274" spans="1:22" x14ac:dyDescent="0.35">
      <c r="A274" s="26">
        <v>12</v>
      </c>
      <c r="B274" s="59"/>
      <c r="C274" s="60"/>
      <c r="D274" s="47">
        <v>0.5</v>
      </c>
      <c r="E274" s="43">
        <v>0</v>
      </c>
      <c r="F274" s="48">
        <v>0.5</v>
      </c>
      <c r="G274" s="6">
        <v>275.84999999999997</v>
      </c>
      <c r="H274" s="64">
        <v>21.582224999999998</v>
      </c>
      <c r="I274" s="21"/>
      <c r="J274" s="21"/>
      <c r="K274" s="68"/>
      <c r="L274" s="8"/>
      <c r="M274" s="92">
        <v>232.02123821304292</v>
      </c>
      <c r="N274" s="91">
        <f t="shared" si="83"/>
        <v>7.5057081524462624E-2</v>
      </c>
      <c r="O274" s="91"/>
      <c r="P274" s="86"/>
      <c r="Q274" s="91"/>
      <c r="R274" s="91"/>
      <c r="S274" s="68">
        <v>210.24515719978018</v>
      </c>
      <c r="T274" s="75">
        <f t="shared" si="84"/>
        <v>2.5841139179207835E-2</v>
      </c>
      <c r="U274" s="75"/>
      <c r="V274" s="8"/>
    </row>
    <row r="275" spans="1:22" x14ac:dyDescent="0.35">
      <c r="A275" s="26">
        <v>13</v>
      </c>
      <c r="B275" s="59"/>
      <c r="C275" s="60"/>
      <c r="D275" s="47">
        <v>0.5</v>
      </c>
      <c r="E275" s="43">
        <v>0</v>
      </c>
      <c r="F275" s="48">
        <v>0.5</v>
      </c>
      <c r="G275" s="6">
        <v>276.25</v>
      </c>
      <c r="H275" s="64">
        <v>22.392824999999998</v>
      </c>
      <c r="I275" s="21"/>
      <c r="J275" s="21"/>
      <c r="K275" s="68"/>
      <c r="L275" s="8"/>
      <c r="M275" s="92">
        <v>246.23571122253162</v>
      </c>
      <c r="N275" s="91">
        <f t="shared" si="83"/>
        <v>9.9618789601274654E-2</v>
      </c>
      <c r="O275" s="91"/>
      <c r="P275" s="86"/>
      <c r="Q275" s="91"/>
      <c r="R275" s="91"/>
      <c r="S275" s="68">
        <v>221.73374517004089</v>
      </c>
      <c r="T275" s="75">
        <f t="shared" si="84"/>
        <v>9.8000356362321454E-3</v>
      </c>
      <c r="U275" s="75"/>
      <c r="V275" s="8"/>
    </row>
    <row r="276" spans="1:22" x14ac:dyDescent="0.35">
      <c r="A276" s="26">
        <v>14</v>
      </c>
      <c r="B276" s="59"/>
      <c r="C276" s="60"/>
      <c r="D276" s="47">
        <v>0.5</v>
      </c>
      <c r="E276" s="43">
        <v>0</v>
      </c>
      <c r="F276" s="48">
        <v>0.5</v>
      </c>
      <c r="G276" s="6">
        <v>276.54999999999995</v>
      </c>
      <c r="H276" s="64">
        <v>23.1021</v>
      </c>
      <c r="I276" s="21"/>
      <c r="J276" s="21"/>
      <c r="K276" s="68"/>
      <c r="L276" s="8"/>
      <c r="M276" s="92">
        <v>257.90599471327766</v>
      </c>
      <c r="N276" s="91">
        <f t="shared" si="83"/>
        <v>0.11637467898276628</v>
      </c>
      <c r="O276" s="91"/>
      <c r="P276" s="86"/>
      <c r="Q276" s="91"/>
      <c r="R276" s="91"/>
      <c r="S276" s="68">
        <v>231.03429256522509</v>
      </c>
      <c r="T276" s="75">
        <f t="shared" si="84"/>
        <v>5.7538341644577507E-5</v>
      </c>
      <c r="U276" s="75"/>
      <c r="V276" s="8"/>
    </row>
    <row r="277" spans="1:22" x14ac:dyDescent="0.35">
      <c r="A277" s="26">
        <v>15</v>
      </c>
      <c r="B277" s="59"/>
      <c r="C277" s="60"/>
      <c r="D277" s="47">
        <v>0.5</v>
      </c>
      <c r="E277" s="43">
        <v>0</v>
      </c>
      <c r="F277" s="48">
        <v>0.5</v>
      </c>
      <c r="G277" s="6">
        <v>277.25</v>
      </c>
      <c r="H277" s="64">
        <v>24.824624999999997</v>
      </c>
      <c r="I277" s="21"/>
      <c r="J277" s="21"/>
      <c r="K277" s="68"/>
      <c r="L277" s="8"/>
      <c r="M277" s="92">
        <v>289.31414388734311</v>
      </c>
      <c r="N277" s="91">
        <f t="shared" si="83"/>
        <v>0.16543208160180925</v>
      </c>
      <c r="O277" s="91"/>
      <c r="P277" s="86"/>
      <c r="Q277" s="91"/>
      <c r="R277" s="91"/>
      <c r="S277" s="68">
        <v>255.45742009668646</v>
      </c>
      <c r="T277" s="75">
        <f t="shared" si="84"/>
        <v>2.9048455300680225E-2</v>
      </c>
      <c r="U277" s="75"/>
      <c r="V277" s="8"/>
    </row>
    <row r="278" spans="1:22" x14ac:dyDescent="0.35">
      <c r="A278" s="26">
        <v>16</v>
      </c>
      <c r="B278" s="59"/>
      <c r="C278" s="60"/>
      <c r="D278" s="47">
        <v>0.5</v>
      </c>
      <c r="E278" s="43">
        <v>0</v>
      </c>
      <c r="F278" s="48">
        <v>0.5</v>
      </c>
      <c r="G278" s="6">
        <v>278.25</v>
      </c>
      <c r="H278" s="64">
        <v>27.357749999999999</v>
      </c>
      <c r="I278" s="21"/>
      <c r="J278" s="21"/>
      <c r="K278" s="68"/>
      <c r="L278" s="8"/>
      <c r="M278" s="92">
        <v>348.75718281910883</v>
      </c>
      <c r="N278" s="91">
        <f t="shared" si="83"/>
        <v>0.27480214132780967</v>
      </c>
      <c r="O278" s="91"/>
      <c r="P278" s="86"/>
      <c r="Q278" s="91"/>
      <c r="R278" s="91"/>
      <c r="S278" s="68">
        <v>299.15242319981877</v>
      </c>
      <c r="T278" s="75">
        <f t="shared" si="84"/>
        <v>9.3483284260652957E-2</v>
      </c>
      <c r="U278" s="75"/>
      <c r="V278" s="8"/>
    </row>
    <row r="279" spans="1:22" x14ac:dyDescent="0.35">
      <c r="A279" s="26">
        <v>17</v>
      </c>
      <c r="B279" s="59"/>
      <c r="C279" s="60"/>
      <c r="D279" s="47">
        <v>0.5</v>
      </c>
      <c r="E279" s="43">
        <v>0</v>
      </c>
      <c r="F279" s="48">
        <v>0.5</v>
      </c>
      <c r="G279" s="6">
        <v>278.25</v>
      </c>
      <c r="H279" s="64">
        <v>27.965699999999998</v>
      </c>
      <c r="I279" s="21"/>
      <c r="J279" s="21"/>
      <c r="K279" s="68"/>
      <c r="L279" s="8"/>
      <c r="M279" s="92">
        <v>348.75718281910758</v>
      </c>
      <c r="N279" s="91">
        <f t="shared" si="83"/>
        <v>0.24708905129893979</v>
      </c>
      <c r="O279" s="91"/>
      <c r="P279" s="86"/>
      <c r="Q279" s="91"/>
      <c r="R279" s="91"/>
      <c r="S279" s="68">
        <v>299.15242319979274</v>
      </c>
      <c r="T279" s="75">
        <f t="shared" si="84"/>
        <v>6.9711908515763074E-2</v>
      </c>
      <c r="U279" s="75"/>
      <c r="V279" s="8"/>
    </row>
    <row r="280" spans="1:22" x14ac:dyDescent="0.35">
      <c r="A280" s="26">
        <v>18</v>
      </c>
      <c r="B280" s="59"/>
      <c r="C280" s="60"/>
      <c r="D280" s="47">
        <v>0.5</v>
      </c>
      <c r="E280" s="43">
        <v>0</v>
      </c>
      <c r="F280" s="48">
        <v>0.5</v>
      </c>
      <c r="G280" s="6">
        <v>278.64999999999998</v>
      </c>
      <c r="H280" s="64">
        <v>28.269674999999999</v>
      </c>
      <c r="I280" s="21"/>
      <c r="J280" s="21"/>
      <c r="K280" s="68"/>
      <c r="L280" s="8"/>
      <c r="M280" s="92">
        <v>379.87918036281462</v>
      </c>
      <c r="N280" s="91">
        <f t="shared" si="83"/>
        <v>0.34376918150921298</v>
      </c>
      <c r="O280" s="91"/>
      <c r="P280" s="86"/>
      <c r="Q280" s="91"/>
      <c r="R280" s="91"/>
      <c r="S280" s="68">
        <v>320.6511320269625</v>
      </c>
      <c r="T280" s="75">
        <f t="shared" si="84"/>
        <v>0.1342582892338256</v>
      </c>
      <c r="U280" s="75"/>
      <c r="V280" s="8"/>
    </row>
    <row r="281" spans="1:22" x14ac:dyDescent="0.35">
      <c r="A281" s="26">
        <v>19</v>
      </c>
      <c r="B281" s="59"/>
      <c r="C281" s="60"/>
      <c r="D281" s="47">
        <v>0.5</v>
      </c>
      <c r="E281" s="43">
        <v>0</v>
      </c>
      <c r="F281" s="48">
        <v>0.5</v>
      </c>
      <c r="G281" s="6">
        <v>279.14999999999998</v>
      </c>
      <c r="H281" s="64">
        <v>29.890874999999998</v>
      </c>
      <c r="I281" s="21"/>
      <c r="J281" s="21"/>
      <c r="K281" s="68"/>
      <c r="L281" s="8"/>
      <c r="M281" s="92">
        <v>428.16637938155804</v>
      </c>
      <c r="N281" s="91">
        <f t="shared" si="83"/>
        <v>0.43243173504140664</v>
      </c>
      <c r="O281" s="91"/>
      <c r="P281" s="86"/>
      <c r="Q281" s="91"/>
      <c r="R281" s="91"/>
      <c r="S281" s="68">
        <v>352.05286658056099</v>
      </c>
      <c r="T281" s="75">
        <f t="shared" si="84"/>
        <v>0.17779378014380975</v>
      </c>
      <c r="U281" s="75"/>
      <c r="V281" s="8"/>
    </row>
    <row r="282" spans="1:22" x14ac:dyDescent="0.35">
      <c r="A282" s="26">
        <v>20</v>
      </c>
      <c r="B282" s="59"/>
      <c r="C282" s="60"/>
      <c r="D282" s="47">
        <v>0.5</v>
      </c>
      <c r="E282" s="43">
        <v>0</v>
      </c>
      <c r="F282" s="48">
        <v>0.5</v>
      </c>
      <c r="G282" s="6">
        <v>279.25</v>
      </c>
      <c r="H282" s="64">
        <v>30.296174999999998</v>
      </c>
      <c r="I282" s="21"/>
      <c r="J282" s="21"/>
      <c r="K282" s="68"/>
      <c r="L282" s="8"/>
      <c r="M282" s="92">
        <v>439.50172713483255</v>
      </c>
      <c r="N282" s="91">
        <f t="shared" si="83"/>
        <v>0.45068388050581487</v>
      </c>
      <c r="O282" s="91"/>
      <c r="P282" s="86"/>
      <c r="Q282" s="91"/>
      <c r="R282" s="91"/>
      <c r="S282" s="68">
        <v>359.07191124142344</v>
      </c>
      <c r="T282" s="75">
        <f t="shared" si="84"/>
        <v>0.18520543019514327</v>
      </c>
      <c r="U282" s="75"/>
      <c r="V282" s="8"/>
    </row>
    <row r="283" spans="1:22" x14ac:dyDescent="0.35">
      <c r="A283" s="26">
        <v>21</v>
      </c>
      <c r="B283" s="59"/>
      <c r="C283" s="60"/>
      <c r="D283" s="47">
        <v>0.5</v>
      </c>
      <c r="E283" s="43">
        <v>0</v>
      </c>
      <c r="F283" s="48">
        <v>0.5</v>
      </c>
      <c r="G283" s="6">
        <v>280.25</v>
      </c>
      <c r="H283" s="64">
        <v>33.943874999999998</v>
      </c>
      <c r="I283" s="21"/>
      <c r="J283" s="21"/>
      <c r="K283" s="68"/>
      <c r="L283" s="8"/>
      <c r="M283" s="92">
        <v>613.77453762454854</v>
      </c>
      <c r="N283" s="91">
        <f t="shared" si="83"/>
        <v>0.80820409462546217</v>
      </c>
      <c r="O283" s="91"/>
      <c r="P283" s="86"/>
      <c r="Q283" s="91"/>
      <c r="R283" s="91"/>
      <c r="S283" s="68">
        <v>449.44531433209124</v>
      </c>
      <c r="T283" s="75">
        <f t="shared" si="84"/>
        <v>0.32408369501741119</v>
      </c>
      <c r="U283" s="75"/>
      <c r="V283" s="8"/>
    </row>
    <row r="284" spans="1:22" x14ac:dyDescent="0.35">
      <c r="A284" s="26">
        <v>22</v>
      </c>
      <c r="B284" s="59"/>
      <c r="C284" s="60"/>
      <c r="D284" s="47">
        <v>0.5</v>
      </c>
      <c r="E284" s="43">
        <v>0</v>
      </c>
      <c r="F284" s="48">
        <v>0.5</v>
      </c>
      <c r="G284" s="6">
        <v>281.25</v>
      </c>
      <c r="H284" s="64">
        <v>37.490249999999996</v>
      </c>
      <c r="I284" s="21"/>
      <c r="J284" s="21"/>
      <c r="K284" s="68"/>
      <c r="L284" s="8"/>
      <c r="M284" s="92"/>
      <c r="N284" s="91">
        <f t="shared" si="83"/>
        <v>1</v>
      </c>
      <c r="O284" s="91"/>
      <c r="P284" s="86"/>
      <c r="Q284" s="91"/>
      <c r="R284" s="91"/>
      <c r="S284" s="68"/>
      <c r="T284" s="75">
        <f t="shared" si="84"/>
        <v>1</v>
      </c>
      <c r="U284" s="75"/>
      <c r="V284" s="8"/>
    </row>
    <row r="285" spans="1:22" x14ac:dyDescent="0.35">
      <c r="A285" s="26">
        <v>23</v>
      </c>
      <c r="B285" s="59"/>
      <c r="C285" s="60"/>
      <c r="D285" s="47">
        <v>0.5</v>
      </c>
      <c r="E285" s="43">
        <v>0</v>
      </c>
      <c r="F285" s="48">
        <v>0.5</v>
      </c>
      <c r="G285" s="6">
        <v>281.64999999999998</v>
      </c>
      <c r="H285" s="64">
        <v>38.604824999999998</v>
      </c>
      <c r="I285" s="21"/>
      <c r="J285" s="21"/>
      <c r="K285" s="68"/>
      <c r="L285" s="8"/>
      <c r="M285" s="92"/>
      <c r="N285" s="91">
        <f t="shared" si="83"/>
        <v>1</v>
      </c>
      <c r="O285" s="91"/>
      <c r="P285" s="86"/>
      <c r="Q285" s="91"/>
      <c r="R285" s="91"/>
      <c r="S285" s="68"/>
      <c r="T285" s="75">
        <f t="shared" si="84"/>
        <v>1</v>
      </c>
      <c r="U285" s="75"/>
      <c r="V285" s="8"/>
    </row>
    <row r="286" spans="1:22" x14ac:dyDescent="0.35">
      <c r="A286" s="26">
        <v>24</v>
      </c>
      <c r="B286" s="59"/>
      <c r="C286" s="60"/>
      <c r="D286" s="47">
        <v>0.5</v>
      </c>
      <c r="E286" s="43">
        <v>0</v>
      </c>
      <c r="F286" s="48">
        <v>0.5</v>
      </c>
      <c r="G286" s="6">
        <v>282.25</v>
      </c>
      <c r="H286" s="64">
        <v>41.441924999999998</v>
      </c>
      <c r="I286" s="21"/>
      <c r="J286" s="21"/>
      <c r="K286" s="68"/>
      <c r="L286" s="8"/>
      <c r="M286" s="92"/>
      <c r="N286" s="91"/>
      <c r="O286" s="91"/>
      <c r="P286" s="86"/>
      <c r="Q286" s="91"/>
      <c r="R286" s="91"/>
      <c r="S286" s="68"/>
      <c r="T286" s="75">
        <f t="shared" si="84"/>
        <v>1</v>
      </c>
      <c r="U286" s="75"/>
      <c r="V286" s="8"/>
    </row>
    <row r="287" spans="1:22" x14ac:dyDescent="0.35">
      <c r="A287" s="26">
        <v>25</v>
      </c>
      <c r="B287" s="59"/>
      <c r="C287" s="60"/>
      <c r="D287" s="47">
        <v>0.5</v>
      </c>
      <c r="E287" s="43">
        <v>0</v>
      </c>
      <c r="F287" s="48">
        <v>0.5</v>
      </c>
      <c r="G287" s="6">
        <v>283.25</v>
      </c>
      <c r="H287" s="64">
        <v>45.900224999999999</v>
      </c>
      <c r="I287" s="21"/>
      <c r="J287" s="21"/>
      <c r="K287" s="68"/>
      <c r="L287" s="8"/>
      <c r="M287" s="92"/>
      <c r="N287" s="91"/>
      <c r="O287" s="91"/>
      <c r="P287" s="86"/>
      <c r="Q287" s="91"/>
      <c r="R287" s="91"/>
      <c r="S287" s="68"/>
      <c r="T287" s="75">
        <f t="shared" si="84"/>
        <v>1</v>
      </c>
      <c r="U287" s="75"/>
      <c r="V287" s="8"/>
    </row>
    <row r="288" spans="1:22" x14ac:dyDescent="0.35">
      <c r="A288" s="26">
        <v>26</v>
      </c>
      <c r="B288" s="59"/>
      <c r="C288" s="60"/>
      <c r="D288" s="47">
        <v>0.5</v>
      </c>
      <c r="E288" s="43">
        <v>0</v>
      </c>
      <c r="F288" s="48">
        <v>0.5</v>
      </c>
      <c r="G288" s="6">
        <v>284.25</v>
      </c>
      <c r="H288" s="64">
        <v>50.662499999999994</v>
      </c>
      <c r="I288" s="21"/>
      <c r="J288" s="21"/>
      <c r="K288" s="68"/>
      <c r="L288" s="8"/>
      <c r="M288" s="92"/>
      <c r="N288" s="91"/>
      <c r="O288" s="91"/>
      <c r="P288" s="86"/>
      <c r="Q288" s="91"/>
      <c r="R288" s="91"/>
      <c r="S288" s="68"/>
      <c r="T288" s="75">
        <f t="shared" si="84"/>
        <v>1</v>
      </c>
      <c r="U288" s="75"/>
      <c r="V288" s="8"/>
    </row>
    <row r="289" spans="1:26" ht="15" thickBot="1" x14ac:dyDescent="0.4">
      <c r="A289" s="26">
        <v>27</v>
      </c>
      <c r="B289" s="61"/>
      <c r="C289" s="62"/>
      <c r="D289" s="49">
        <v>0.5</v>
      </c>
      <c r="E289" s="50">
        <v>0</v>
      </c>
      <c r="F289" s="51">
        <v>0.5</v>
      </c>
      <c r="G289" s="9">
        <v>284.64999999999998</v>
      </c>
      <c r="H289" s="65">
        <v>52.283699999999996</v>
      </c>
      <c r="I289" s="23"/>
      <c r="J289" s="23"/>
      <c r="K289" s="68"/>
      <c r="L289" s="8"/>
      <c r="M289" s="92"/>
      <c r="N289" s="91"/>
      <c r="O289" s="91"/>
      <c r="P289" s="86"/>
      <c r="Q289" s="91"/>
      <c r="R289" s="91"/>
      <c r="S289" s="68"/>
      <c r="T289" s="75">
        <f t="shared" si="84"/>
        <v>1</v>
      </c>
      <c r="U289" s="75"/>
      <c r="V289" s="8"/>
    </row>
    <row r="290" spans="1:26" ht="15" thickBot="1" x14ac:dyDescent="0.4">
      <c r="A290" s="160" t="s">
        <v>28</v>
      </c>
      <c r="B290" s="161"/>
      <c r="C290" s="161"/>
      <c r="D290" s="161"/>
      <c r="E290" s="161"/>
      <c r="F290" s="161"/>
      <c r="G290" s="161"/>
      <c r="H290" s="161"/>
      <c r="I290" s="161"/>
      <c r="J290" s="162"/>
      <c r="K290" s="73"/>
      <c r="L290" s="74"/>
      <c r="M290" s="92"/>
      <c r="N290" s="91">
        <f>SUM(N263:N283)/21</f>
        <v>0.17010474819284141</v>
      </c>
      <c r="O290" s="91"/>
      <c r="P290" s="86"/>
      <c r="Q290" s="91"/>
      <c r="R290" s="91"/>
      <c r="S290" s="73"/>
      <c r="T290" s="76">
        <f>SUM(T263:T283)/21</f>
        <v>7.9858673120670451E-2</v>
      </c>
      <c r="U290" s="76"/>
      <c r="V290" s="74"/>
      <c r="W290" s="42"/>
      <c r="X290" s="42"/>
      <c r="Y290" s="42"/>
      <c r="Z290" s="42"/>
    </row>
    <row r="291" spans="1:26" x14ac:dyDescent="0.35">
      <c r="A291" s="26">
        <v>1</v>
      </c>
      <c r="B291" s="57"/>
      <c r="C291" s="58"/>
      <c r="D291" s="44">
        <v>0.5</v>
      </c>
      <c r="E291" s="45">
        <v>0</v>
      </c>
      <c r="F291" s="46">
        <v>0.5</v>
      </c>
      <c r="G291" s="66">
        <v>273.178</v>
      </c>
      <c r="H291" s="67">
        <v>16.306100000000001</v>
      </c>
      <c r="I291" s="56"/>
      <c r="J291" s="56"/>
      <c r="K291" s="68">
        <v>167.00959253392594</v>
      </c>
      <c r="L291" s="8">
        <f>ABS(K291-H291*10)/H291/10</f>
        <v>2.4215431856335557E-2</v>
      </c>
      <c r="M291" s="92">
        <v>163.40791941781981</v>
      </c>
      <c r="N291" s="91">
        <f t="shared" ref="N291:N298" si="85">ABS(M291-H291*10)/10/H291</f>
        <v>2.1275437892555862E-3</v>
      </c>
      <c r="O291" s="91"/>
      <c r="P291" s="86"/>
      <c r="Q291" s="91"/>
      <c r="R291" s="91"/>
      <c r="S291" s="68">
        <v>152.43210804027026</v>
      </c>
      <c r="T291" s="75">
        <f t="shared" ref="T291:T298" si="86">ABS(S291-H291*10)/H291/10</f>
        <v>6.518353229607167E-2</v>
      </c>
      <c r="U291" s="75"/>
      <c r="V291" s="8"/>
    </row>
    <row r="292" spans="1:26" x14ac:dyDescent="0.35">
      <c r="A292" s="26">
        <v>2</v>
      </c>
      <c r="B292" s="59"/>
      <c r="C292" s="60"/>
      <c r="D292" s="47">
        <v>0.5</v>
      </c>
      <c r="E292" s="43">
        <v>0</v>
      </c>
      <c r="F292" s="48">
        <v>0.5</v>
      </c>
      <c r="G292" s="68">
        <v>273.70299999999997</v>
      </c>
      <c r="H292" s="8">
        <v>17.150400000000001</v>
      </c>
      <c r="I292" s="21"/>
      <c r="J292" s="21"/>
      <c r="K292" s="68">
        <v>178.18455632074182</v>
      </c>
      <c r="L292" s="8">
        <f t="shared" ref="L292:L297" si="87">ABS(K292-H292*10)/H292/10</f>
        <v>3.8952772651027381E-2</v>
      </c>
      <c r="M292" s="92">
        <v>174.20909975787001</v>
      </c>
      <c r="N292" s="91">
        <f t="shared" si="85"/>
        <v>1.577280855181213E-2</v>
      </c>
      <c r="O292" s="91"/>
      <c r="P292" s="86"/>
      <c r="Q292" s="91"/>
      <c r="R292" s="91"/>
      <c r="S292" s="68">
        <v>161.7807356639633</v>
      </c>
      <c r="T292" s="75">
        <f t="shared" si="86"/>
        <v>5.66940965577288E-2</v>
      </c>
      <c r="U292" s="75"/>
      <c r="V292" s="8"/>
    </row>
    <row r="293" spans="1:26" x14ac:dyDescent="0.35">
      <c r="A293" s="26">
        <v>3</v>
      </c>
      <c r="B293" s="59"/>
      <c r="C293" s="60"/>
      <c r="D293" s="47">
        <v>0.5</v>
      </c>
      <c r="E293" s="43">
        <v>0</v>
      </c>
      <c r="F293" s="48">
        <v>0.5</v>
      </c>
      <c r="G293" s="68">
        <v>274.89699999999999</v>
      </c>
      <c r="H293" s="8">
        <v>19.208400000000001</v>
      </c>
      <c r="I293" s="21"/>
      <c r="J293" s="21"/>
      <c r="K293" s="68">
        <v>208.21790685853688</v>
      </c>
      <c r="L293" s="8">
        <f t="shared" si="87"/>
        <v>8.3994017505554214E-2</v>
      </c>
      <c r="M293" s="92">
        <v>203.1236420435792</v>
      </c>
      <c r="N293" s="91">
        <f t="shared" si="85"/>
        <v>5.7472991209987251E-2</v>
      </c>
      <c r="O293" s="91"/>
      <c r="P293" s="86"/>
      <c r="Q293" s="91"/>
      <c r="R293" s="91"/>
      <c r="S293" s="68">
        <v>186.36016485998852</v>
      </c>
      <c r="T293" s="75">
        <f t="shared" si="86"/>
        <v>2.979860446477316E-2</v>
      </c>
      <c r="U293" s="75"/>
      <c r="V293" s="8"/>
    </row>
    <row r="294" spans="1:26" x14ac:dyDescent="0.35">
      <c r="A294" s="26">
        <v>4</v>
      </c>
      <c r="B294" s="59"/>
      <c r="C294" s="60"/>
      <c r="D294" s="47">
        <v>0.5</v>
      </c>
      <c r="E294" s="43">
        <v>0</v>
      </c>
      <c r="F294" s="48">
        <v>0.5</v>
      </c>
      <c r="G294" s="68">
        <v>276.51900000000001</v>
      </c>
      <c r="H294" s="8">
        <v>23.641200000000001</v>
      </c>
      <c r="I294" s="21"/>
      <c r="J294" s="21"/>
      <c r="K294" s="68">
        <v>264.33882706539032</v>
      </c>
      <c r="L294" s="8">
        <f t="shared" si="87"/>
        <v>0.11812778989810294</v>
      </c>
      <c r="M294" s="92">
        <v>256.65593271550563</v>
      </c>
      <c r="N294" s="91">
        <f t="shared" si="85"/>
        <v>8.5629886450373172E-2</v>
      </c>
      <c r="O294" s="91"/>
      <c r="P294" s="86"/>
      <c r="Q294" s="91"/>
      <c r="R294" s="91"/>
      <c r="S294" s="68">
        <v>230.04381720167419</v>
      </c>
      <c r="T294" s="75">
        <f t="shared" si="86"/>
        <v>2.6936800155346673E-2</v>
      </c>
      <c r="U294" s="75"/>
      <c r="V294" s="8"/>
    </row>
    <row r="295" spans="1:26" x14ac:dyDescent="0.35">
      <c r="A295" s="26">
        <v>5</v>
      </c>
      <c r="B295" s="59"/>
      <c r="C295" s="60"/>
      <c r="D295" s="47">
        <v>0.5</v>
      </c>
      <c r="E295" s="43">
        <v>0</v>
      </c>
      <c r="F295" s="48">
        <v>0.5</v>
      </c>
      <c r="G295" s="68">
        <v>277.41399999999999</v>
      </c>
      <c r="H295" s="8">
        <v>25.224299999999999</v>
      </c>
      <c r="I295" s="21"/>
      <c r="J295" s="21"/>
      <c r="K295" s="68">
        <v>307.90060496895575</v>
      </c>
      <c r="L295" s="8">
        <f t="shared" si="87"/>
        <v>0.22065074142376898</v>
      </c>
      <c r="M295" s="92">
        <v>297.69689868727585</v>
      </c>
      <c r="N295" s="91">
        <f t="shared" si="85"/>
        <v>0.18019885066097316</v>
      </c>
      <c r="O295" s="91"/>
      <c r="P295" s="86"/>
      <c r="Q295" s="91"/>
      <c r="R295" s="91"/>
      <c r="S295" s="68">
        <v>261.82284433345751</v>
      </c>
      <c r="T295" s="75">
        <f t="shared" si="86"/>
        <v>3.7978633038211231E-2</v>
      </c>
      <c r="U295" s="75"/>
      <c r="V295" s="8"/>
    </row>
    <row r="296" spans="1:26" x14ac:dyDescent="0.35">
      <c r="A296" s="26">
        <v>6</v>
      </c>
      <c r="B296" s="59"/>
      <c r="C296" s="60"/>
      <c r="D296" s="47">
        <v>0.5</v>
      </c>
      <c r="E296" s="43">
        <v>0</v>
      </c>
      <c r="F296" s="48">
        <v>0.5</v>
      </c>
      <c r="G296" s="68">
        <v>278.601</v>
      </c>
      <c r="H296" s="8">
        <v>28.654399999999999</v>
      </c>
      <c r="I296" s="21"/>
      <c r="J296" s="21"/>
      <c r="K296" s="68">
        <v>392.39070888170414</v>
      </c>
      <c r="L296" s="8">
        <f t="shared" si="87"/>
        <v>0.36939077028904521</v>
      </c>
      <c r="M296" s="92">
        <v>375.7618410070138</v>
      </c>
      <c r="N296" s="91">
        <f t="shared" si="85"/>
        <v>0.31135825914000581</v>
      </c>
      <c r="O296" s="91"/>
      <c r="P296" s="86"/>
      <c r="Q296" s="91"/>
      <c r="R296" s="91"/>
      <c r="S296" s="68">
        <v>317.8628040344957</v>
      </c>
      <c r="T296" s="75">
        <f t="shared" si="86"/>
        <v>0.10929841153364131</v>
      </c>
      <c r="U296" s="75"/>
      <c r="V296" s="8"/>
    </row>
    <row r="297" spans="1:26" x14ac:dyDescent="0.35">
      <c r="A297" s="26">
        <v>7</v>
      </c>
      <c r="B297" s="59"/>
      <c r="C297" s="60"/>
      <c r="D297" s="47">
        <v>0.5</v>
      </c>
      <c r="E297" s="43">
        <v>0</v>
      </c>
      <c r="F297" s="48">
        <v>0.5</v>
      </c>
      <c r="G297" s="68">
        <v>279.303</v>
      </c>
      <c r="H297" s="8">
        <v>30.290199999999999</v>
      </c>
      <c r="I297" s="21"/>
      <c r="J297" s="21"/>
      <c r="K297" s="68">
        <v>470.61073297647783</v>
      </c>
      <c r="L297" s="8">
        <f t="shared" si="87"/>
        <v>0.55367324407391783</v>
      </c>
      <c r="M297" s="92">
        <v>445.78970370433848</v>
      </c>
      <c r="N297" s="91">
        <f t="shared" si="85"/>
        <v>0.47172915234742091</v>
      </c>
      <c r="O297" s="91"/>
      <c r="P297" s="86"/>
      <c r="Q297" s="91"/>
      <c r="R297" s="91"/>
      <c r="S297" s="68">
        <v>362.90689520218626</v>
      </c>
      <c r="T297" s="75">
        <f t="shared" si="86"/>
        <v>0.19810002971979807</v>
      </c>
      <c r="U297" s="75"/>
      <c r="V297" s="8"/>
    </row>
    <row r="298" spans="1:26" ht="15" thickBot="1" x14ac:dyDescent="0.4">
      <c r="A298" s="26">
        <v>8</v>
      </c>
      <c r="B298" s="61"/>
      <c r="C298" s="62"/>
      <c r="D298" s="49">
        <v>0.5</v>
      </c>
      <c r="E298" s="50">
        <v>0</v>
      </c>
      <c r="F298" s="51">
        <v>0.5</v>
      </c>
      <c r="G298" s="69">
        <v>281.11</v>
      </c>
      <c r="H298" s="70">
        <v>35.145099999999999</v>
      </c>
      <c r="I298" s="23"/>
      <c r="J298" s="23"/>
      <c r="K298" s="68"/>
      <c r="L298" s="8"/>
      <c r="M298" s="92"/>
      <c r="N298" s="91">
        <f t="shared" si="85"/>
        <v>1</v>
      </c>
      <c r="O298" s="91"/>
      <c r="P298" s="86"/>
      <c r="Q298" s="91"/>
      <c r="R298" s="91"/>
      <c r="S298" s="68">
        <v>584.23467007414342</v>
      </c>
      <c r="T298" s="75">
        <f t="shared" si="86"/>
        <v>0.66235028517245198</v>
      </c>
      <c r="U298" s="75"/>
      <c r="V298" s="8"/>
    </row>
    <row r="299" spans="1:26" ht="15" thickBot="1" x14ac:dyDescent="0.4">
      <c r="A299" s="160" t="s">
        <v>60</v>
      </c>
      <c r="B299" s="161"/>
      <c r="C299" s="161"/>
      <c r="D299" s="161"/>
      <c r="E299" s="161"/>
      <c r="F299" s="161"/>
      <c r="G299" s="161"/>
      <c r="H299" s="161"/>
      <c r="I299" s="161"/>
      <c r="J299" s="162"/>
      <c r="K299" s="73"/>
      <c r="L299" s="74">
        <f>SUM(L291:L297)/7</f>
        <v>0.20128639538539314</v>
      </c>
      <c r="M299" s="92"/>
      <c r="N299" s="91">
        <f>SUM(N291:N297)/7</f>
        <v>0.1606127845928326</v>
      </c>
      <c r="O299" s="91"/>
      <c r="P299" s="86"/>
      <c r="Q299" s="91"/>
      <c r="R299" s="91"/>
      <c r="S299" s="73"/>
      <c r="T299" s="76">
        <f>SUM(T291:T297)/7</f>
        <v>7.4855729680795832E-2</v>
      </c>
      <c r="U299" s="76"/>
      <c r="V299" s="74"/>
      <c r="W299" s="42"/>
      <c r="X299" s="42"/>
      <c r="Y299" s="42"/>
      <c r="Z299" s="42"/>
    </row>
    <row r="300" spans="1:26" x14ac:dyDescent="0.35">
      <c r="A300" s="26">
        <v>1</v>
      </c>
      <c r="B300" s="52">
        <v>0.75</v>
      </c>
      <c r="C300" s="53">
        <f t="shared" ref="C300:C314" si="88">1-B300</f>
        <v>0.25</v>
      </c>
      <c r="D300" s="44">
        <v>0.5</v>
      </c>
      <c r="E300" s="72">
        <f>0.5*B300</f>
        <v>0.375</v>
      </c>
      <c r="F300" s="13">
        <f>0.5*C300</f>
        <v>0.125</v>
      </c>
      <c r="G300" s="52">
        <v>274.10000000000002</v>
      </c>
      <c r="H300" s="53">
        <v>1.986</v>
      </c>
      <c r="I300" s="56"/>
      <c r="J300" s="24">
        <v>0.65500000000000003</v>
      </c>
      <c r="K300" s="68">
        <v>17.600893892846653</v>
      </c>
      <c r="L300" s="8">
        <f t="shared" ref="L300:L314" si="89">ABS(K300-H300*10)/H300/10</f>
        <v>0.11375156632192078</v>
      </c>
      <c r="M300" s="92">
        <v>21.346216040309507</v>
      </c>
      <c r="N300" s="91">
        <f>ABS(M300-H300*10)/H300/10</f>
        <v>7.4834644527165539E-2</v>
      </c>
      <c r="O300" s="91"/>
      <c r="P300" s="86"/>
      <c r="Q300" s="91"/>
      <c r="R300" s="91"/>
      <c r="S300" s="68">
        <v>21.474878837144814</v>
      </c>
      <c r="T300" s="75">
        <f t="shared" ref="T300:T314" si="90">ABS(S300-H300*10)/H300/10</f>
        <v>8.1313133793797315E-2</v>
      </c>
      <c r="U300" s="75"/>
      <c r="V300" s="8"/>
    </row>
    <row r="301" spans="1:26" x14ac:dyDescent="0.35">
      <c r="A301" s="26">
        <v>2</v>
      </c>
      <c r="B301" s="11">
        <v>0.75</v>
      </c>
      <c r="C301" s="12">
        <f t="shared" si="88"/>
        <v>0.25</v>
      </c>
      <c r="D301" s="47">
        <v>0.5</v>
      </c>
      <c r="E301" s="7">
        <f t="shared" ref="E301:E314" si="91">0.5*B301</f>
        <v>0.375</v>
      </c>
      <c r="F301" s="14">
        <f t="shared" ref="F301:F314" si="92">0.5*C301</f>
        <v>0.125</v>
      </c>
      <c r="G301" s="11">
        <v>277.5</v>
      </c>
      <c r="H301" s="12">
        <v>2.8029999999999999</v>
      </c>
      <c r="I301" s="21"/>
      <c r="J301" s="29">
        <v>0.68589999999999995</v>
      </c>
      <c r="K301" s="68">
        <v>25.364635490101332</v>
      </c>
      <c r="L301" s="8">
        <f t="shared" si="89"/>
        <v>9.5089707809442356E-2</v>
      </c>
      <c r="M301" s="92">
        <v>29.351536649933664</v>
      </c>
      <c r="N301" s="91">
        <f t="shared" ref="N301:N314" si="93">ABS(M301-H301*10)/H301/10</f>
        <v>4.7147222616256243E-2</v>
      </c>
      <c r="O301" s="91"/>
      <c r="P301" s="86"/>
      <c r="Q301" s="91"/>
      <c r="R301" s="91"/>
      <c r="S301" s="68">
        <v>29.540327895279813</v>
      </c>
      <c r="T301" s="75">
        <f t="shared" si="90"/>
        <v>5.3882550669989704E-2</v>
      </c>
      <c r="U301" s="75"/>
      <c r="V301" s="8"/>
    </row>
    <row r="302" spans="1:26" x14ac:dyDescent="0.35">
      <c r="A302" s="26">
        <v>3</v>
      </c>
      <c r="B302" s="11">
        <v>0.75</v>
      </c>
      <c r="C302" s="12">
        <f t="shared" si="88"/>
        <v>0.25</v>
      </c>
      <c r="D302" s="47">
        <v>0.5</v>
      </c>
      <c r="E302" s="7">
        <f t="shared" si="91"/>
        <v>0.375</v>
      </c>
      <c r="F302" s="14">
        <f t="shared" si="92"/>
        <v>0.125</v>
      </c>
      <c r="G302" s="11">
        <v>279.7</v>
      </c>
      <c r="H302" s="12">
        <v>3.7770000000000001</v>
      </c>
      <c r="I302" s="21"/>
      <c r="J302" s="29">
        <v>0.71319999999999995</v>
      </c>
      <c r="K302" s="68">
        <v>32.080609054707146</v>
      </c>
      <c r="L302" s="8">
        <f t="shared" si="89"/>
        <v>0.15063253760372933</v>
      </c>
      <c r="M302" s="92">
        <v>36.093768581531528</v>
      </c>
      <c r="N302" s="91">
        <f t="shared" si="93"/>
        <v>4.4379968717725052E-2</v>
      </c>
      <c r="O302" s="91"/>
      <c r="P302" s="86"/>
      <c r="Q302" s="91"/>
      <c r="R302" s="91"/>
      <c r="S302" s="68">
        <v>36.338991183974436</v>
      </c>
      <c r="T302" s="75">
        <f t="shared" si="90"/>
        <v>3.7887445486512239E-2</v>
      </c>
      <c r="U302" s="75"/>
      <c r="V302" s="8"/>
    </row>
    <row r="303" spans="1:26" x14ac:dyDescent="0.35">
      <c r="A303" s="26">
        <v>4</v>
      </c>
      <c r="B303" s="11">
        <v>0.75</v>
      </c>
      <c r="C303" s="12">
        <f t="shared" si="88"/>
        <v>0.25</v>
      </c>
      <c r="D303" s="47">
        <v>0.5</v>
      </c>
      <c r="E303" s="7">
        <f t="shared" si="91"/>
        <v>0.375</v>
      </c>
      <c r="F303" s="14">
        <f t="shared" si="92"/>
        <v>0.125</v>
      </c>
      <c r="G303" s="11">
        <v>281.3</v>
      </c>
      <c r="H303" s="12">
        <v>4.8520000000000003</v>
      </c>
      <c r="I303" s="21"/>
      <c r="J303" s="29">
        <v>0.71889999999999998</v>
      </c>
      <c r="K303" s="68">
        <v>38.000590709762406</v>
      </c>
      <c r="L303" s="8">
        <f t="shared" si="89"/>
        <v>0.21680563252756793</v>
      </c>
      <c r="M303" s="92">
        <v>41.961647795119482</v>
      </c>
      <c r="N303" s="91">
        <f t="shared" si="93"/>
        <v>0.13516801741303627</v>
      </c>
      <c r="O303" s="91"/>
      <c r="P303" s="86"/>
      <c r="Q303" s="91"/>
      <c r="R303" s="91"/>
      <c r="S303" s="68">
        <v>42.260738511227594</v>
      </c>
      <c r="T303" s="75">
        <f t="shared" si="90"/>
        <v>0.12900374049407273</v>
      </c>
      <c r="U303" s="75"/>
      <c r="V303" s="8"/>
    </row>
    <row r="304" spans="1:26" x14ac:dyDescent="0.35">
      <c r="A304" s="26">
        <v>5</v>
      </c>
      <c r="B304" s="11">
        <v>0.75</v>
      </c>
      <c r="C304" s="12">
        <f t="shared" si="88"/>
        <v>0.25</v>
      </c>
      <c r="D304" s="47">
        <v>0.5</v>
      </c>
      <c r="E304" s="7">
        <f t="shared" si="91"/>
        <v>0.375</v>
      </c>
      <c r="F304" s="14">
        <f t="shared" si="92"/>
        <v>0.125</v>
      </c>
      <c r="G304" s="11">
        <v>281.89999999999998</v>
      </c>
      <c r="H304" s="12">
        <v>5.4530000000000003</v>
      </c>
      <c r="I304" s="21"/>
      <c r="J304" s="29">
        <v>0.71220000000000006</v>
      </c>
      <c r="K304" s="68">
        <v>40.473102795109014</v>
      </c>
      <c r="L304" s="8">
        <f t="shared" si="89"/>
        <v>0.25778282055549212</v>
      </c>
      <c r="M304" s="92">
        <v>44.400795641330397</v>
      </c>
      <c r="N304" s="91">
        <f t="shared" si="93"/>
        <v>0.18575471041022562</v>
      </c>
      <c r="O304" s="91"/>
      <c r="P304" s="86"/>
      <c r="Q304" s="91"/>
      <c r="R304" s="91"/>
      <c r="S304" s="68">
        <v>44.723672654780657</v>
      </c>
      <c r="T304" s="75">
        <f t="shared" si="90"/>
        <v>0.17983362085493021</v>
      </c>
      <c r="U304" s="75"/>
      <c r="V304" s="8"/>
    </row>
    <row r="305" spans="1:22" x14ac:dyDescent="0.35">
      <c r="A305" s="26">
        <v>6</v>
      </c>
      <c r="B305" s="11">
        <v>0.2</v>
      </c>
      <c r="C305" s="12">
        <f t="shared" si="88"/>
        <v>0.8</v>
      </c>
      <c r="D305" s="47">
        <v>0.5</v>
      </c>
      <c r="E305" s="7">
        <f t="shared" si="91"/>
        <v>0.1</v>
      </c>
      <c r="F305" s="14">
        <f t="shared" si="92"/>
        <v>0.4</v>
      </c>
      <c r="G305" s="11">
        <v>273.39999999999998</v>
      </c>
      <c r="H305" s="12">
        <v>6.2430000000000003</v>
      </c>
      <c r="I305" s="21"/>
      <c r="J305" s="29">
        <v>0.16200000000000001</v>
      </c>
      <c r="K305" s="68">
        <v>46.401101193821731</v>
      </c>
      <c r="L305" s="8">
        <f t="shared" si="89"/>
        <v>0.2567499408325849</v>
      </c>
      <c r="M305" s="92">
        <v>65.253834742311071</v>
      </c>
      <c r="N305" s="91">
        <f t="shared" si="93"/>
        <v>4.523201573459977E-2</v>
      </c>
      <c r="O305" s="91"/>
      <c r="P305" s="86"/>
      <c r="Q305" s="91"/>
      <c r="R305" s="91"/>
      <c r="S305" s="68">
        <v>72.587039482563085</v>
      </c>
      <c r="T305" s="75">
        <f t="shared" si="90"/>
        <v>0.16269484995295655</v>
      </c>
      <c r="U305" s="75"/>
      <c r="V305" s="8"/>
    </row>
    <row r="306" spans="1:22" x14ac:dyDescent="0.35">
      <c r="A306" s="26">
        <v>7</v>
      </c>
      <c r="B306" s="11">
        <v>0.2</v>
      </c>
      <c r="C306" s="12">
        <f t="shared" si="88"/>
        <v>0.8</v>
      </c>
      <c r="D306" s="47">
        <v>0.5</v>
      </c>
      <c r="E306" s="7">
        <f t="shared" si="91"/>
        <v>0.1</v>
      </c>
      <c r="F306" s="14">
        <f t="shared" si="92"/>
        <v>0.4</v>
      </c>
      <c r="G306" s="11">
        <v>274</v>
      </c>
      <c r="H306" s="12">
        <v>6.51</v>
      </c>
      <c r="I306" s="21"/>
      <c r="J306" s="29">
        <v>0.16500000000000001</v>
      </c>
      <c r="K306" s="68">
        <v>49.665274007108529</v>
      </c>
      <c r="L306" s="8">
        <f t="shared" si="89"/>
        <v>0.23709256517498409</v>
      </c>
      <c r="M306" s="92">
        <v>69.743306313706796</v>
      </c>
      <c r="N306" s="91">
        <f t="shared" si="93"/>
        <v>7.132574982652537E-2</v>
      </c>
      <c r="O306" s="91"/>
      <c r="P306" s="86"/>
      <c r="Q306" s="91"/>
      <c r="R306" s="91"/>
      <c r="S306" s="68">
        <v>77.911689077153582</v>
      </c>
      <c r="T306" s="75">
        <f t="shared" si="90"/>
        <v>0.1968001394340029</v>
      </c>
      <c r="U306" s="75"/>
      <c r="V306" s="8"/>
    </row>
    <row r="307" spans="1:22" x14ac:dyDescent="0.35">
      <c r="A307" s="26">
        <v>8</v>
      </c>
      <c r="B307" s="11">
        <v>0.2</v>
      </c>
      <c r="C307" s="12">
        <f t="shared" si="88"/>
        <v>0.8</v>
      </c>
      <c r="D307" s="47">
        <v>0.5</v>
      </c>
      <c r="E307" s="7">
        <f t="shared" si="91"/>
        <v>0.1</v>
      </c>
      <c r="F307" s="14">
        <f t="shared" si="92"/>
        <v>0.4</v>
      </c>
      <c r="G307" s="11">
        <v>275.10000000000002</v>
      </c>
      <c r="H307" s="12">
        <v>7.3239999999999998</v>
      </c>
      <c r="I307" s="21"/>
      <c r="J307" s="29">
        <v>0.17199999999999999</v>
      </c>
      <c r="K307" s="68">
        <v>56.359401579444665</v>
      </c>
      <c r="L307" s="8">
        <f t="shared" si="89"/>
        <v>0.23048332087049878</v>
      </c>
      <c r="M307" s="92">
        <v>79.02458907165412</v>
      </c>
      <c r="N307" s="91">
        <f t="shared" si="93"/>
        <v>7.8981281699264411E-2</v>
      </c>
      <c r="O307" s="91"/>
      <c r="P307" s="86"/>
      <c r="Q307" s="91"/>
      <c r="R307" s="91"/>
      <c r="S307" s="68">
        <v>89.124184241326105</v>
      </c>
      <c r="T307" s="75">
        <f t="shared" si="90"/>
        <v>0.21687853961395565</v>
      </c>
      <c r="U307" s="75"/>
      <c r="V307" s="8"/>
    </row>
    <row r="308" spans="1:22" x14ac:dyDescent="0.35">
      <c r="A308" s="26">
        <v>9</v>
      </c>
      <c r="B308" s="11">
        <v>0.2</v>
      </c>
      <c r="C308" s="12">
        <f t="shared" si="88"/>
        <v>0.8</v>
      </c>
      <c r="D308" s="47">
        <v>0.5</v>
      </c>
      <c r="E308" s="7">
        <f t="shared" si="91"/>
        <v>0.1</v>
      </c>
      <c r="F308" s="14">
        <f t="shared" si="92"/>
        <v>0.4</v>
      </c>
      <c r="G308" s="11">
        <v>276.3</v>
      </c>
      <c r="H308" s="12">
        <v>8.4580000000000002</v>
      </c>
      <c r="I308" s="21"/>
      <c r="J308" s="29">
        <v>0.17899999999999999</v>
      </c>
      <c r="K308" s="68">
        <v>64.913497379863813</v>
      </c>
      <c r="L308" s="8">
        <f t="shared" si="89"/>
        <v>0.23251953913615733</v>
      </c>
      <c r="M308" s="92">
        <v>91.062944874976111</v>
      </c>
      <c r="N308" s="91">
        <f t="shared" si="93"/>
        <v>7.664867433171095E-2</v>
      </c>
      <c r="O308" s="91"/>
      <c r="P308" s="86"/>
      <c r="Q308" s="91"/>
      <c r="R308" s="91"/>
      <c r="S308" s="68">
        <v>104.14841164204336</v>
      </c>
      <c r="T308" s="75">
        <f t="shared" si="90"/>
        <v>0.23135979713931612</v>
      </c>
      <c r="U308" s="75"/>
      <c r="V308" s="8"/>
    </row>
    <row r="309" spans="1:22" x14ac:dyDescent="0.35">
      <c r="A309" s="26">
        <v>10</v>
      </c>
      <c r="B309" s="11">
        <v>0.2</v>
      </c>
      <c r="C309" s="12">
        <f t="shared" si="88"/>
        <v>0.8</v>
      </c>
      <c r="D309" s="47">
        <v>0.5</v>
      </c>
      <c r="E309" s="7">
        <f t="shared" si="91"/>
        <v>0.1</v>
      </c>
      <c r="F309" s="14">
        <f t="shared" si="92"/>
        <v>0.4</v>
      </c>
      <c r="G309" s="11">
        <v>277.2</v>
      </c>
      <c r="H309" s="12">
        <v>9.5500000000000007</v>
      </c>
      <c r="I309" s="21"/>
      <c r="J309" s="29">
        <v>0.18260000000000001</v>
      </c>
      <c r="K309" s="68">
        <v>72.387711816798785</v>
      </c>
      <c r="L309" s="8">
        <f t="shared" si="89"/>
        <v>0.24201348882933207</v>
      </c>
      <c r="M309" s="92">
        <v>101.78183420169965</v>
      </c>
      <c r="N309" s="91">
        <f t="shared" si="93"/>
        <v>6.5778368604184831E-2</v>
      </c>
      <c r="O309" s="91"/>
      <c r="P309" s="86"/>
      <c r="Q309" s="91"/>
      <c r="R309" s="91"/>
      <c r="S309" s="68">
        <v>118.08427381100711</v>
      </c>
      <c r="T309" s="75">
        <f t="shared" si="90"/>
        <v>0.23648454252363466</v>
      </c>
      <c r="U309" s="75"/>
      <c r="V309" s="8"/>
    </row>
    <row r="310" spans="1:22" x14ac:dyDescent="0.35">
      <c r="A310" s="26">
        <v>11</v>
      </c>
      <c r="B310" s="11">
        <v>0.5</v>
      </c>
      <c r="C310" s="12">
        <f t="shared" si="88"/>
        <v>0.5</v>
      </c>
      <c r="D310" s="47">
        <v>0.5</v>
      </c>
      <c r="E310" s="7">
        <f t="shared" si="91"/>
        <v>0.25</v>
      </c>
      <c r="F310" s="14">
        <f t="shared" si="92"/>
        <v>0.25</v>
      </c>
      <c r="G310" s="11">
        <v>274.39999999999998</v>
      </c>
      <c r="H310" s="12">
        <v>3.0739999999999998</v>
      </c>
      <c r="I310" s="21"/>
      <c r="J310" s="29">
        <v>0.43580000000000002</v>
      </c>
      <c r="K310" s="68">
        <v>24.816519953543075</v>
      </c>
      <c r="L310" s="8">
        <f t="shared" si="89"/>
        <v>0.19269616286457136</v>
      </c>
      <c r="M310" s="92">
        <v>32.490320827105087</v>
      </c>
      <c r="N310" s="91">
        <f t="shared" si="93"/>
        <v>5.6939519424368534E-2</v>
      </c>
      <c r="O310" s="91"/>
      <c r="P310" s="86"/>
      <c r="Q310" s="91"/>
      <c r="R310" s="91"/>
      <c r="S310" s="68">
        <v>33.187803015846733</v>
      </c>
      <c r="T310" s="75">
        <f t="shared" si="90"/>
        <v>7.9629245798527454E-2</v>
      </c>
      <c r="U310" s="75"/>
      <c r="V310" s="8"/>
    </row>
    <row r="311" spans="1:22" x14ac:dyDescent="0.35">
      <c r="A311" s="26">
        <v>12</v>
      </c>
      <c r="B311" s="11">
        <v>0.5</v>
      </c>
      <c r="C311" s="12">
        <f t="shared" si="88"/>
        <v>0.5</v>
      </c>
      <c r="D311" s="47">
        <v>0.5</v>
      </c>
      <c r="E311" s="7">
        <f t="shared" si="91"/>
        <v>0.25</v>
      </c>
      <c r="F311" s="14">
        <f t="shared" si="92"/>
        <v>0.25</v>
      </c>
      <c r="G311" s="11">
        <v>276</v>
      </c>
      <c r="H311" s="12">
        <v>3.7530000000000001</v>
      </c>
      <c r="I311" s="21"/>
      <c r="J311" s="29">
        <v>0.44729999999999998</v>
      </c>
      <c r="K311" s="68">
        <v>29.490858371471173</v>
      </c>
      <c r="L311" s="8">
        <f t="shared" si="89"/>
        <v>0.21420574549770391</v>
      </c>
      <c r="M311" s="92">
        <v>38.127128635731225</v>
      </c>
      <c r="N311" s="91">
        <f t="shared" si="93"/>
        <v>1.591070172478614E-2</v>
      </c>
      <c r="O311" s="91"/>
      <c r="P311" s="86"/>
      <c r="Q311" s="91"/>
      <c r="R311" s="91"/>
      <c r="S311" s="68">
        <v>38.991005054483978</v>
      </c>
      <c r="T311" s="75">
        <f t="shared" si="90"/>
        <v>3.8928991592965E-2</v>
      </c>
      <c r="U311" s="75"/>
      <c r="V311" s="8"/>
    </row>
    <row r="312" spans="1:22" x14ac:dyDescent="0.35">
      <c r="A312" s="26">
        <v>13</v>
      </c>
      <c r="B312" s="11">
        <v>0.5</v>
      </c>
      <c r="C312" s="12">
        <f t="shared" si="88"/>
        <v>0.5</v>
      </c>
      <c r="D312" s="47">
        <v>0.5</v>
      </c>
      <c r="E312" s="7">
        <f t="shared" si="91"/>
        <v>0.25</v>
      </c>
      <c r="F312" s="14">
        <f t="shared" si="92"/>
        <v>0.25</v>
      </c>
      <c r="G312" s="11">
        <v>278.10000000000002</v>
      </c>
      <c r="H312" s="12">
        <v>4.8220000000000001</v>
      </c>
      <c r="I312" s="21"/>
      <c r="J312" s="29">
        <v>0.46</v>
      </c>
      <c r="K312" s="68">
        <v>37.042991474819566</v>
      </c>
      <c r="L312" s="8">
        <f t="shared" si="89"/>
        <v>0.23179196443758676</v>
      </c>
      <c r="M312" s="92">
        <v>47.241394667270932</v>
      </c>
      <c r="N312" s="91">
        <f t="shared" si="93"/>
        <v>2.02945942084004E-2</v>
      </c>
      <c r="O312" s="91"/>
      <c r="P312" s="86"/>
      <c r="Q312" s="91"/>
      <c r="R312" s="91"/>
      <c r="S312" s="68">
        <v>48.413981142536777</v>
      </c>
      <c r="T312" s="75">
        <f t="shared" si="90"/>
        <v>4.0228358054080855E-3</v>
      </c>
      <c r="U312" s="75"/>
      <c r="V312" s="8"/>
    </row>
    <row r="313" spans="1:22" x14ac:dyDescent="0.35">
      <c r="A313" s="26">
        <v>14</v>
      </c>
      <c r="B313" s="11">
        <v>0.5</v>
      </c>
      <c r="C313" s="12">
        <f t="shared" si="88"/>
        <v>0.5</v>
      </c>
      <c r="D313" s="47">
        <v>0.5</v>
      </c>
      <c r="E313" s="7">
        <f t="shared" si="91"/>
        <v>0.25</v>
      </c>
      <c r="F313" s="14">
        <f t="shared" si="92"/>
        <v>0.25</v>
      </c>
      <c r="G313" s="11">
        <v>280.2</v>
      </c>
      <c r="H313" s="12">
        <v>6.5609999999999999</v>
      </c>
      <c r="I313" s="21"/>
      <c r="J313" s="29">
        <v>0.46899999999999997</v>
      </c>
      <c r="K313" s="68">
        <v>46.66288097990693</v>
      </c>
      <c r="L313" s="8">
        <f t="shared" si="89"/>
        <v>0.28878401188985015</v>
      </c>
      <c r="M313" s="92">
        <v>58.966410747474455</v>
      </c>
      <c r="N313" s="91">
        <f t="shared" si="93"/>
        <v>0.10125879061919744</v>
      </c>
      <c r="O313" s="91"/>
      <c r="P313" s="86"/>
      <c r="Q313" s="91"/>
      <c r="R313" s="91"/>
      <c r="S313" s="68">
        <v>60.625850813180975</v>
      </c>
      <c r="T313" s="75">
        <f t="shared" si="90"/>
        <v>7.5966303716186928E-2</v>
      </c>
      <c r="U313" s="75"/>
      <c r="V313" s="8"/>
    </row>
    <row r="314" spans="1:22" ht="15" thickBot="1" x14ac:dyDescent="0.4">
      <c r="A314" s="26">
        <v>15</v>
      </c>
      <c r="B314" s="54">
        <v>0.5</v>
      </c>
      <c r="C314" s="55">
        <f t="shared" si="88"/>
        <v>0.5</v>
      </c>
      <c r="D314" s="49">
        <v>0.5</v>
      </c>
      <c r="E314" s="10">
        <f t="shared" si="91"/>
        <v>0.25</v>
      </c>
      <c r="F314" s="15">
        <f t="shared" si="92"/>
        <v>0.25</v>
      </c>
      <c r="G314" s="54">
        <v>281.10000000000002</v>
      </c>
      <c r="H314" s="55">
        <v>7.266</v>
      </c>
      <c r="I314" s="23"/>
      <c r="J314" s="30">
        <v>0.4748</v>
      </c>
      <c r="K314" s="68">
        <v>51.586488222054797</v>
      </c>
      <c r="L314" s="8">
        <f t="shared" si="89"/>
        <v>0.29002906383078997</v>
      </c>
      <c r="M314" s="92">
        <v>65.05646580912267</v>
      </c>
      <c r="N314" s="91">
        <f t="shared" si="93"/>
        <v>0.10464539211226709</v>
      </c>
      <c r="O314" s="91"/>
      <c r="P314" s="86"/>
      <c r="Q314" s="91"/>
      <c r="R314" s="91"/>
      <c r="S314" s="69">
        <v>67.018880399919993</v>
      </c>
      <c r="T314" s="75">
        <f t="shared" si="90"/>
        <v>7.7637208919350442E-2</v>
      </c>
      <c r="U314" s="77"/>
      <c r="V314" s="70"/>
    </row>
    <row r="315" spans="1:22" ht="15" thickBot="1" x14ac:dyDescent="0.4">
      <c r="A315" s="160" t="s">
        <v>61</v>
      </c>
      <c r="B315" s="161"/>
      <c r="C315" s="161"/>
      <c r="D315" s="161"/>
      <c r="E315" s="161"/>
      <c r="F315" s="161"/>
      <c r="G315" s="161"/>
      <c r="H315" s="161"/>
      <c r="I315" s="161"/>
      <c r="J315" s="162"/>
      <c r="K315" s="68"/>
      <c r="L315" s="8">
        <f>SUM(L300:L314)/15</f>
        <v>0.21669520454548077</v>
      </c>
      <c r="M315" s="92"/>
      <c r="N315" s="91">
        <f>SUM(N300:N314)/15</f>
        <v>7.495331013131426E-2</v>
      </c>
      <c r="O315" s="91"/>
      <c r="P315" s="86"/>
      <c r="T315" s="154">
        <f>SUM(T300:T314)/15</f>
        <v>0.12015486305304039</v>
      </c>
    </row>
    <row r="316" spans="1:22" x14ac:dyDescent="0.35">
      <c r="A316" s="26">
        <v>1</v>
      </c>
      <c r="B316" s="52">
        <v>0.23169999999999999</v>
      </c>
      <c r="C316" s="53">
        <f>1-B316</f>
        <v>0.76829999999999998</v>
      </c>
      <c r="D316" s="52">
        <v>0.9511002444987775</v>
      </c>
      <c r="E316" s="112">
        <f>B316*(1-D316)</f>
        <v>1.1330073349633252E-2</v>
      </c>
      <c r="F316" s="53">
        <f>1-D316-E316</f>
        <v>3.7569682151589248E-2</v>
      </c>
      <c r="G316" s="52">
        <v>276.06</v>
      </c>
      <c r="H316" s="53">
        <v>9.7620000000000005</v>
      </c>
      <c r="I316" s="56"/>
      <c r="J316" s="56"/>
      <c r="K316" s="68">
        <v>19.45</v>
      </c>
      <c r="L316" s="8"/>
      <c r="M316" s="92">
        <v>81.209360439214493</v>
      </c>
      <c r="N316" s="91">
        <f>ABS(M316-H316*10)/H316/10</f>
        <v>0.16810735055096815</v>
      </c>
      <c r="O316" s="91"/>
      <c r="P316" s="86"/>
    </row>
    <row r="317" spans="1:22" x14ac:dyDescent="0.35">
      <c r="A317" s="26">
        <v>2</v>
      </c>
      <c r="B317" s="11">
        <v>0.23169999999999999</v>
      </c>
      <c r="C317" s="12">
        <f>1-B317</f>
        <v>0.76829999999999998</v>
      </c>
      <c r="D317" s="11">
        <v>0.95559502664298401</v>
      </c>
      <c r="E317" s="25">
        <f>B317*(1-D317)</f>
        <v>1.0288632326820604E-2</v>
      </c>
      <c r="F317" s="12">
        <f>1-D317-E317</f>
        <v>3.4116341030195382E-2</v>
      </c>
      <c r="G317" s="11">
        <v>277.63</v>
      </c>
      <c r="H317" s="12">
        <v>12.584</v>
      </c>
      <c r="I317" s="21"/>
      <c r="J317" s="21"/>
      <c r="K317" s="68">
        <v>21.52</v>
      </c>
      <c r="L317" s="8"/>
      <c r="M317" s="92">
        <v>99.432953879615965</v>
      </c>
      <c r="N317" s="91">
        <f>ABS(M317-H317*10)/H317/10</f>
        <v>0.20984620248239066</v>
      </c>
      <c r="O317" s="91"/>
      <c r="P317" s="86"/>
    </row>
    <row r="318" spans="1:22" x14ac:dyDescent="0.35">
      <c r="A318" s="26">
        <v>3</v>
      </c>
      <c r="B318" s="11">
        <v>0.23169999999999999</v>
      </c>
      <c r="C318" s="12">
        <f>1-B318</f>
        <v>0.76829999999999998</v>
      </c>
      <c r="D318" s="11">
        <v>0.96050552922590837</v>
      </c>
      <c r="E318" s="25">
        <f>B318*(1-D318)</f>
        <v>9.150868878357029E-3</v>
      </c>
      <c r="F318" s="12">
        <f>1-D318-E318</f>
        <v>3.0343601895734599E-2</v>
      </c>
      <c r="G318" s="11">
        <v>279.08999999999997</v>
      </c>
      <c r="H318" s="12">
        <v>16.373000000000001</v>
      </c>
      <c r="I318" s="21"/>
      <c r="J318" s="21"/>
      <c r="K318" s="68">
        <v>24.32</v>
      </c>
      <c r="L318" s="8"/>
      <c r="M318" s="92">
        <v>122.24755304173118</v>
      </c>
      <c r="N318" s="91">
        <f>ABS(M318-H318*10)/H318/10</f>
        <v>0.25335886495003257</v>
      </c>
      <c r="O318" s="91"/>
      <c r="P318" s="86"/>
    </row>
    <row r="319" spans="1:22" ht="15" thickBot="1" x14ac:dyDescent="0.4">
      <c r="A319" s="26">
        <v>4</v>
      </c>
      <c r="B319" s="54">
        <v>0.23169999999999999</v>
      </c>
      <c r="C319" s="55">
        <f>1-B319</f>
        <v>0.76829999999999998</v>
      </c>
      <c r="D319" s="54">
        <v>0.96039603960396036</v>
      </c>
      <c r="E319" s="113">
        <f>B319*(1-D319)</f>
        <v>9.176237623762384E-3</v>
      </c>
      <c r="F319" s="55">
        <f>1-D319-E319</f>
        <v>3.0427722772277253E-2</v>
      </c>
      <c r="G319" s="54">
        <v>280.97000000000003</v>
      </c>
      <c r="H319" s="55">
        <v>20.582999999999998</v>
      </c>
      <c r="I319" s="23"/>
      <c r="J319" s="23"/>
      <c r="K319" s="68">
        <v>24.25</v>
      </c>
      <c r="L319" s="8"/>
      <c r="M319" s="92">
        <v>162.14499590224563</v>
      </c>
      <c r="N319" s="91">
        <f>ABS(M319-H319*10)/H319/10</f>
        <v>0.21223827477896498</v>
      </c>
      <c r="O319" s="91"/>
      <c r="P319" s="86"/>
      <c r="T319" s="75"/>
    </row>
    <row r="320" spans="1:22" ht="15" thickBot="1" x14ac:dyDescent="0.4">
      <c r="A320" s="160" t="s">
        <v>152</v>
      </c>
      <c r="B320" s="161"/>
      <c r="C320" s="161"/>
      <c r="D320" s="161"/>
      <c r="E320" s="161"/>
      <c r="F320" s="161"/>
      <c r="G320" s="161"/>
      <c r="H320" s="161"/>
      <c r="I320" s="161"/>
      <c r="J320" s="162"/>
      <c r="K320" s="68"/>
      <c r="L320" s="8"/>
      <c r="M320" s="92"/>
      <c r="N320" s="91">
        <f>SUM(N316:N319)/4</f>
        <v>0.21088767319058907</v>
      </c>
      <c r="O320" s="91"/>
      <c r="P320" s="86"/>
    </row>
    <row r="321" spans="1:24" x14ac:dyDescent="0.35">
      <c r="A321" s="26">
        <v>1</v>
      </c>
      <c r="B321" s="31">
        <v>0.1</v>
      </c>
      <c r="C321" s="32">
        <f>1-B321</f>
        <v>0.9</v>
      </c>
      <c r="D321" s="115">
        <v>0.5</v>
      </c>
      <c r="E321" s="116">
        <f>B321*(1-D321)</f>
        <v>0.05</v>
      </c>
      <c r="F321" s="110">
        <f>1-D321-E321</f>
        <v>0.45</v>
      </c>
      <c r="G321" s="52">
        <v>275</v>
      </c>
      <c r="H321" s="13">
        <v>11.28</v>
      </c>
      <c r="I321" s="29">
        <v>0.39</v>
      </c>
      <c r="J321" s="56"/>
      <c r="K321" s="68">
        <v>101.01465511349504</v>
      </c>
      <c r="L321" s="8">
        <f t="shared" ref="L321:L337" si="94">ABS(K321-H321*10)/H321/10</f>
        <v>0.10448000785908651</v>
      </c>
      <c r="M321" s="92">
        <v>128.59007175350575</v>
      </c>
      <c r="N321" s="91">
        <f>ABS(M321-H321*10)/H321/10</f>
        <v>0.13998290561618582</v>
      </c>
      <c r="O321" s="91">
        <v>0.43561682026185694</v>
      </c>
      <c r="P321" s="86">
        <f>ABS(O321-I321)/I321</f>
        <v>0.11696620579963314</v>
      </c>
      <c r="S321">
        <v>175.70609017465793</v>
      </c>
    </row>
    <row r="322" spans="1:24" x14ac:dyDescent="0.35">
      <c r="A322" s="26">
        <v>2</v>
      </c>
      <c r="B322" s="33">
        <v>0.1</v>
      </c>
      <c r="C322" s="34">
        <f t="shared" ref="C322:C329" si="95">1-B322</f>
        <v>0.9</v>
      </c>
      <c r="D322" s="117">
        <v>0.5</v>
      </c>
      <c r="E322" s="114">
        <f t="shared" ref="E322:E337" si="96">B322*(1-D322)</f>
        <v>0.05</v>
      </c>
      <c r="F322" s="108">
        <f t="shared" ref="F322:F337" si="97">1-D322-E322</f>
        <v>0.45</v>
      </c>
      <c r="G322" s="11">
        <v>276.39999999999998</v>
      </c>
      <c r="H322" s="14">
        <v>13.32</v>
      </c>
      <c r="I322" s="29">
        <v>0.39</v>
      </c>
      <c r="J322" s="21"/>
      <c r="K322" s="68">
        <v>122.75806084326214</v>
      </c>
      <c r="L322" s="8">
        <f t="shared" si="94"/>
        <v>7.8392936612145983E-2</v>
      </c>
      <c r="M322" s="92">
        <v>154.99590669103776</v>
      </c>
      <c r="N322" s="91">
        <f t="shared" ref="N322:N337" si="98">ABS(M322-H322*10)/H322/10</f>
        <v>0.16363293311589916</v>
      </c>
      <c r="O322" s="91">
        <v>0.41541869610669935</v>
      </c>
      <c r="P322" s="86">
        <f t="shared" ref="P322:P337" si="99">ABS(O322-I322)/I322</f>
        <v>6.517614386333162E-2</v>
      </c>
      <c r="S322">
        <v>228.56798068688431</v>
      </c>
    </row>
    <row r="323" spans="1:24" x14ac:dyDescent="0.35">
      <c r="A323" s="26">
        <v>3</v>
      </c>
      <c r="B323" s="33">
        <v>0.1</v>
      </c>
      <c r="C323" s="34">
        <f t="shared" si="95"/>
        <v>0.9</v>
      </c>
      <c r="D323" s="117">
        <v>0.5</v>
      </c>
      <c r="E323" s="114">
        <f t="shared" si="96"/>
        <v>0.05</v>
      </c>
      <c r="F323" s="108">
        <f t="shared" si="97"/>
        <v>0.45</v>
      </c>
      <c r="G323" s="6">
        <v>277.5</v>
      </c>
      <c r="H323" s="14">
        <v>15.67</v>
      </c>
      <c r="I323" s="29">
        <v>0.39</v>
      </c>
      <c r="J323" s="21"/>
      <c r="K323" s="68">
        <v>145.20150842969679</v>
      </c>
      <c r="L323" s="8">
        <f t="shared" si="94"/>
        <v>7.3379014488214434E-2</v>
      </c>
      <c r="M323" s="92">
        <v>182.15852701951431</v>
      </c>
      <c r="N323" s="91">
        <f t="shared" si="98"/>
        <v>0.16246666891840664</v>
      </c>
      <c r="O323" s="91">
        <v>0.39756335577107893</v>
      </c>
      <c r="P323" s="86">
        <f t="shared" si="99"/>
        <v>1.9393219925843377E-2</v>
      </c>
      <c r="S323">
        <v>299.4069228711727</v>
      </c>
    </row>
    <row r="324" spans="1:24" x14ac:dyDescent="0.35">
      <c r="A324" s="26">
        <v>4</v>
      </c>
      <c r="B324" s="33">
        <v>0.1</v>
      </c>
      <c r="C324" s="34">
        <f t="shared" si="95"/>
        <v>0.9</v>
      </c>
      <c r="D324" s="117">
        <v>0.5</v>
      </c>
      <c r="E324" s="114">
        <f t="shared" si="96"/>
        <v>0.05</v>
      </c>
      <c r="F324" s="108">
        <f t="shared" si="97"/>
        <v>0.45</v>
      </c>
      <c r="G324" s="11">
        <v>277.5</v>
      </c>
      <c r="H324" s="14">
        <v>15.59</v>
      </c>
      <c r="I324" s="29">
        <v>0.39</v>
      </c>
      <c r="J324" s="21"/>
      <c r="K324" s="68">
        <v>145.2015084296948</v>
      </c>
      <c r="L324" s="8">
        <f t="shared" si="94"/>
        <v>6.8624063953208525E-2</v>
      </c>
      <c r="M324" s="92">
        <v>182.15852701951312</v>
      </c>
      <c r="N324" s="91">
        <f t="shared" si="98"/>
        <v>0.16843186029193785</v>
      </c>
      <c r="O324" s="91">
        <v>0.39756335577109808</v>
      </c>
      <c r="P324" s="86">
        <f t="shared" si="99"/>
        <v>1.939321992589248E-2</v>
      </c>
      <c r="S324">
        <v>299.40692287118458</v>
      </c>
    </row>
    <row r="325" spans="1:24" x14ac:dyDescent="0.35">
      <c r="A325" s="26">
        <v>5</v>
      </c>
      <c r="B325" s="33">
        <v>0.1</v>
      </c>
      <c r="C325" s="34">
        <f t="shared" si="95"/>
        <v>0.9</v>
      </c>
      <c r="D325" s="117">
        <v>0.5</v>
      </c>
      <c r="E325" s="114">
        <f t="shared" si="96"/>
        <v>0.05</v>
      </c>
      <c r="F325" s="108">
        <f t="shared" si="97"/>
        <v>0.45</v>
      </c>
      <c r="G325" s="11">
        <v>278.7</v>
      </c>
      <c r="H325" s="14">
        <v>18.13</v>
      </c>
      <c r="I325" s="29">
        <v>0.39</v>
      </c>
      <c r="J325" s="21"/>
      <c r="K325" s="68">
        <v>178.55196754385074</v>
      </c>
      <c r="L325" s="8">
        <f t="shared" si="94"/>
        <v>1.5157377033365952E-2</v>
      </c>
      <c r="M325" s="92">
        <v>222.24075136426811</v>
      </c>
      <c r="N325" s="91">
        <f t="shared" si="98"/>
        <v>0.22581771298548331</v>
      </c>
      <c r="O325" s="91">
        <v>0.3755369366893751</v>
      </c>
      <c r="P325" s="86">
        <f t="shared" si="99"/>
        <v>3.7084777719551057E-2</v>
      </c>
      <c r="S325">
        <v>485.6049747718327</v>
      </c>
    </row>
    <row r="326" spans="1:24" x14ac:dyDescent="0.35">
      <c r="A326" s="26">
        <v>6</v>
      </c>
      <c r="B326" s="33">
        <v>0.1</v>
      </c>
      <c r="C326" s="34">
        <f t="shared" si="95"/>
        <v>0.9</v>
      </c>
      <c r="D326" s="117">
        <v>0.5</v>
      </c>
      <c r="E326" s="114">
        <f t="shared" si="96"/>
        <v>0.05</v>
      </c>
      <c r="F326" s="108">
        <f t="shared" si="97"/>
        <v>0.45</v>
      </c>
      <c r="G326" s="6">
        <v>279</v>
      </c>
      <c r="H326" s="14">
        <v>19.04</v>
      </c>
      <c r="I326" s="29">
        <v>0.39</v>
      </c>
      <c r="J326" s="21"/>
      <c r="K326" s="68">
        <v>189.08216938850859</v>
      </c>
      <c r="L326" s="8">
        <f t="shared" si="94"/>
        <v>6.9213792620346007E-3</v>
      </c>
      <c r="M326" s="92">
        <v>234.79053521182286</v>
      </c>
      <c r="N326" s="91">
        <f t="shared" si="98"/>
        <v>0.23314356728898572</v>
      </c>
      <c r="O326" s="91">
        <v>0.36951982631061819</v>
      </c>
      <c r="P326" s="86">
        <f t="shared" si="99"/>
        <v>5.251326587020979E-2</v>
      </c>
      <c r="S326">
        <v>613.15637618966173</v>
      </c>
    </row>
    <row r="327" spans="1:24" x14ac:dyDescent="0.35">
      <c r="A327" s="26">
        <v>7</v>
      </c>
      <c r="B327" s="33">
        <v>0.1</v>
      </c>
      <c r="C327" s="34">
        <f t="shared" si="95"/>
        <v>0.9</v>
      </c>
      <c r="D327" s="117">
        <v>0.5</v>
      </c>
      <c r="E327" s="114">
        <f t="shared" si="96"/>
        <v>0.05</v>
      </c>
      <c r="F327" s="108">
        <f t="shared" si="97"/>
        <v>0.45</v>
      </c>
      <c r="G327" s="11">
        <v>279.7</v>
      </c>
      <c r="H327" s="14">
        <v>20.77</v>
      </c>
      <c r="I327" s="29">
        <v>0.39</v>
      </c>
      <c r="J327" s="21"/>
      <c r="K327" s="68">
        <v>218.9213577078911</v>
      </c>
      <c r="L327" s="8">
        <f t="shared" si="94"/>
        <v>5.4026758343240812E-2</v>
      </c>
      <c r="M327" s="92">
        <v>269.94629304328737</v>
      </c>
      <c r="N327" s="91">
        <f t="shared" si="98"/>
        <v>0.29969327416122959</v>
      </c>
      <c r="O327" s="91">
        <v>0.35450028911119913</v>
      </c>
      <c r="P327" s="86">
        <f t="shared" si="99"/>
        <v>9.1024899714874055E-2</v>
      </c>
    </row>
    <row r="328" spans="1:24" x14ac:dyDescent="0.35">
      <c r="A328" s="26">
        <v>8</v>
      </c>
      <c r="B328" s="33">
        <v>0.1</v>
      </c>
      <c r="C328" s="34">
        <f t="shared" si="95"/>
        <v>0.9</v>
      </c>
      <c r="D328" s="117">
        <v>0.5</v>
      </c>
      <c r="E328" s="114">
        <f t="shared" si="96"/>
        <v>0.05</v>
      </c>
      <c r="F328" s="108">
        <f t="shared" si="97"/>
        <v>0.45</v>
      </c>
      <c r="G328" s="6">
        <v>280.60000000000002</v>
      </c>
      <c r="H328" s="14">
        <v>23.36</v>
      </c>
      <c r="I328" s="29">
        <v>0.39</v>
      </c>
      <c r="J328" s="21"/>
      <c r="K328" s="68">
        <v>275.38867065818664</v>
      </c>
      <c r="L328" s="8">
        <f t="shared" si="94"/>
        <v>0.17888985726963463</v>
      </c>
      <c r="M328" s="92">
        <v>334.07112829018615</v>
      </c>
      <c r="N328" s="91">
        <f t="shared" si="98"/>
        <v>0.43009900809155033</v>
      </c>
      <c r="O328" s="91">
        <v>0.33262506251986507</v>
      </c>
      <c r="P328" s="86">
        <f t="shared" si="99"/>
        <v>0.14711522430803831</v>
      </c>
    </row>
    <row r="329" spans="1:24" x14ac:dyDescent="0.35">
      <c r="A329" s="26">
        <v>9</v>
      </c>
      <c r="B329" s="33">
        <v>0.1</v>
      </c>
      <c r="C329" s="34">
        <f t="shared" si="95"/>
        <v>0.9</v>
      </c>
      <c r="D329" s="117">
        <v>0.5</v>
      </c>
      <c r="E329" s="114">
        <f t="shared" si="96"/>
        <v>0.05</v>
      </c>
      <c r="F329" s="108">
        <f t="shared" si="97"/>
        <v>0.45</v>
      </c>
      <c r="G329" s="11">
        <v>280.8</v>
      </c>
      <c r="H329" s="14">
        <v>24.51</v>
      </c>
      <c r="I329" s="29">
        <v>0.39</v>
      </c>
      <c r="J329" s="21"/>
      <c r="K329" s="68">
        <v>292.7469037387383</v>
      </c>
      <c r="L329" s="8">
        <f t="shared" si="94"/>
        <v>0.19439781207155557</v>
      </c>
      <c r="M329" s="92">
        <v>352.93584547972301</v>
      </c>
      <c r="N329" s="91">
        <f t="shared" si="98"/>
        <v>0.43996672982343121</v>
      </c>
      <c r="O329" s="91">
        <v>0.32725201165748008</v>
      </c>
      <c r="P329" s="86">
        <f t="shared" si="99"/>
        <v>0.16089227780133317</v>
      </c>
    </row>
    <row r="330" spans="1:24" x14ac:dyDescent="0.35">
      <c r="A330" s="26">
        <v>10</v>
      </c>
      <c r="B330" s="33">
        <v>0.2</v>
      </c>
      <c r="C330" s="34">
        <f>1-B330</f>
        <v>0.8</v>
      </c>
      <c r="D330" s="117">
        <v>0.5</v>
      </c>
      <c r="E330" s="114">
        <f t="shared" si="96"/>
        <v>0.1</v>
      </c>
      <c r="F330" s="108">
        <f t="shared" si="97"/>
        <v>0.4</v>
      </c>
      <c r="G330" s="6">
        <v>275.39999999999998</v>
      </c>
      <c r="H330" s="14">
        <v>8.23</v>
      </c>
      <c r="I330" s="29">
        <v>0.57999999999999996</v>
      </c>
      <c r="J330" s="21"/>
      <c r="K330" s="68">
        <v>58.364502463984195</v>
      </c>
      <c r="L330" s="8">
        <f t="shared" si="94"/>
        <v>0.29083229083858825</v>
      </c>
      <c r="M330" s="92">
        <v>81.826978911084453</v>
      </c>
      <c r="N330" s="91">
        <f t="shared" si="98"/>
        <v>5.7475223440529594E-3</v>
      </c>
      <c r="O330" s="91">
        <v>0.64762463996454867</v>
      </c>
      <c r="P330" s="86">
        <f t="shared" si="99"/>
        <v>0.11659420683542882</v>
      </c>
      <c r="R330" s="25"/>
    </row>
    <row r="331" spans="1:24" x14ac:dyDescent="0.35">
      <c r="A331" s="26">
        <v>11</v>
      </c>
      <c r="B331" s="33">
        <v>0.2</v>
      </c>
      <c r="C331" s="34">
        <f t="shared" ref="C331:C337" si="100">1-B331</f>
        <v>0.8</v>
      </c>
      <c r="D331" s="117">
        <v>0.5</v>
      </c>
      <c r="E331" s="114">
        <f t="shared" si="96"/>
        <v>0.1</v>
      </c>
      <c r="F331" s="108">
        <f t="shared" si="97"/>
        <v>0.4</v>
      </c>
      <c r="G331" s="6">
        <v>276.60000000000002</v>
      </c>
      <c r="H331" s="14">
        <v>9.42</v>
      </c>
      <c r="I331" s="29">
        <v>0.57999999999999996</v>
      </c>
      <c r="J331" s="21"/>
      <c r="K331" s="68">
        <v>67.29321642213749</v>
      </c>
      <c r="L331" s="8">
        <f t="shared" si="94"/>
        <v>0.28563464520023901</v>
      </c>
      <c r="M331" s="92">
        <v>94.453651792268573</v>
      </c>
      <c r="N331" s="91">
        <f t="shared" si="98"/>
        <v>2.6926941854412993E-3</v>
      </c>
      <c r="O331" s="91">
        <v>0.63405852908308591</v>
      </c>
      <c r="P331" s="86">
        <f t="shared" si="99"/>
        <v>9.320436048807923E-2</v>
      </c>
      <c r="R331" s="25"/>
    </row>
    <row r="332" spans="1:24" x14ac:dyDescent="0.35">
      <c r="A332" s="26">
        <v>12</v>
      </c>
      <c r="B332" s="33">
        <v>0.2</v>
      </c>
      <c r="C332" s="34">
        <f t="shared" si="100"/>
        <v>0.8</v>
      </c>
      <c r="D332" s="117">
        <v>0.5</v>
      </c>
      <c r="E332" s="114">
        <f t="shared" si="96"/>
        <v>0.1</v>
      </c>
      <c r="F332" s="108">
        <f t="shared" si="97"/>
        <v>0.4</v>
      </c>
      <c r="G332" s="6">
        <v>277.60000000000002</v>
      </c>
      <c r="H332" s="14">
        <v>10.51</v>
      </c>
      <c r="I332" s="29">
        <v>0.57999999999999996</v>
      </c>
      <c r="J332" s="21"/>
      <c r="K332" s="68">
        <v>76.057736935867808</v>
      </c>
      <c r="L332" s="8">
        <f t="shared" si="94"/>
        <v>0.2763298103152444</v>
      </c>
      <c r="M332" s="92">
        <v>107.12465816579785</v>
      </c>
      <c r="N332" s="91">
        <f t="shared" si="98"/>
        <v>1.9264111948599998E-2</v>
      </c>
      <c r="O332" s="91">
        <v>0.62123016629154726</v>
      </c>
      <c r="P332" s="86">
        <f t="shared" si="99"/>
        <v>7.1086493606116033E-2</v>
      </c>
      <c r="W332" s="153"/>
    </row>
    <row r="333" spans="1:24" x14ac:dyDescent="0.35">
      <c r="A333" s="26">
        <v>13</v>
      </c>
      <c r="B333" s="33">
        <v>0.2</v>
      </c>
      <c r="C333" s="34">
        <f t="shared" si="100"/>
        <v>0.8</v>
      </c>
      <c r="D333" s="117">
        <v>0.5</v>
      </c>
      <c r="E333" s="114">
        <f t="shared" si="96"/>
        <v>0.1</v>
      </c>
      <c r="F333" s="108">
        <f t="shared" si="97"/>
        <v>0.4</v>
      </c>
      <c r="G333" s="6">
        <v>278.10000000000002</v>
      </c>
      <c r="H333" s="14">
        <v>11.28</v>
      </c>
      <c r="I333" s="29">
        <v>0.57999999999999996</v>
      </c>
      <c r="J333" s="21"/>
      <c r="K333" s="68">
        <v>80.992141156447914</v>
      </c>
      <c r="L333" s="8">
        <f t="shared" si="94"/>
        <v>0.28198456421588725</v>
      </c>
      <c r="M333" s="92">
        <v>114.40063345705633</v>
      </c>
      <c r="N333" s="91">
        <f t="shared" si="98"/>
        <v>1.4190012917166071E-2</v>
      </c>
      <c r="O333" s="91">
        <v>0.61418802588279975</v>
      </c>
      <c r="P333" s="86">
        <f t="shared" si="99"/>
        <v>5.894487221172378E-2</v>
      </c>
      <c r="W333" s="153"/>
    </row>
    <row r="334" spans="1:24" x14ac:dyDescent="0.35">
      <c r="A334" s="26">
        <v>14</v>
      </c>
      <c r="B334" s="33">
        <v>0.2</v>
      </c>
      <c r="C334" s="34">
        <f t="shared" si="100"/>
        <v>0.8</v>
      </c>
      <c r="D334" s="117">
        <v>0.5</v>
      </c>
      <c r="E334" s="114">
        <f t="shared" si="96"/>
        <v>0.1</v>
      </c>
      <c r="F334" s="108">
        <f t="shared" si="97"/>
        <v>0.4</v>
      </c>
      <c r="G334" s="6">
        <v>279.5</v>
      </c>
      <c r="H334" s="14">
        <v>13.36</v>
      </c>
      <c r="I334" s="29">
        <v>0.57999999999999996</v>
      </c>
      <c r="J334" s="21"/>
      <c r="K334" s="68">
        <v>97.327209842159533</v>
      </c>
      <c r="L334" s="8">
        <f t="shared" si="94"/>
        <v>0.27150292034311724</v>
      </c>
      <c r="M334" s="92">
        <v>139.38268554534653</v>
      </c>
      <c r="N334" s="91">
        <f t="shared" si="98"/>
        <v>4.3283574441216603E-2</v>
      </c>
      <c r="O334" s="91">
        <v>0.59165443580164867</v>
      </c>
      <c r="P334" s="86">
        <f t="shared" si="99"/>
        <v>2.0093854830428814E-2</v>
      </c>
      <c r="W334" s="153"/>
    </row>
    <row r="335" spans="1:24" x14ac:dyDescent="0.35">
      <c r="A335" s="26">
        <v>15</v>
      </c>
      <c r="B335" s="33">
        <v>0.2</v>
      </c>
      <c r="C335" s="34">
        <f t="shared" si="100"/>
        <v>0.8</v>
      </c>
      <c r="D335" s="117">
        <v>0.5</v>
      </c>
      <c r="E335" s="114">
        <f t="shared" si="96"/>
        <v>0.1</v>
      </c>
      <c r="F335" s="108">
        <f t="shared" si="97"/>
        <v>0.4</v>
      </c>
      <c r="G335" s="6">
        <v>279.5</v>
      </c>
      <c r="H335" s="14">
        <v>13.44</v>
      </c>
      <c r="I335" s="29">
        <v>0.57999999999999996</v>
      </c>
      <c r="J335" s="21"/>
      <c r="K335" s="68">
        <v>97.327209842159675</v>
      </c>
      <c r="L335" s="8">
        <f t="shared" si="94"/>
        <v>0.27583921248393106</v>
      </c>
      <c r="M335" s="92">
        <v>139.38268554570183</v>
      </c>
      <c r="N335" s="91">
        <f t="shared" si="98"/>
        <v>3.7073553167424306E-2</v>
      </c>
      <c r="O335" s="91">
        <v>0.59165443580161481</v>
      </c>
      <c r="P335" s="86">
        <f t="shared" si="99"/>
        <v>2.009385483037043E-2</v>
      </c>
    </row>
    <row r="336" spans="1:24" x14ac:dyDescent="0.35">
      <c r="A336" s="26">
        <v>16</v>
      </c>
      <c r="B336" s="33">
        <v>0.2</v>
      </c>
      <c r="C336" s="34">
        <f t="shared" si="100"/>
        <v>0.8</v>
      </c>
      <c r="D336" s="117">
        <v>0.5</v>
      </c>
      <c r="E336" s="114">
        <f t="shared" si="96"/>
        <v>0.1</v>
      </c>
      <c r="F336" s="108">
        <f t="shared" si="97"/>
        <v>0.4</v>
      </c>
      <c r="G336" s="6">
        <v>280.8</v>
      </c>
      <c r="H336" s="14">
        <v>16.53</v>
      </c>
      <c r="I336" s="29">
        <v>0.57999999999999996</v>
      </c>
      <c r="J336" s="21"/>
      <c r="K336" s="68">
        <v>117.11540671166301</v>
      </c>
      <c r="L336" s="8">
        <f t="shared" si="94"/>
        <v>0.29149784203470658</v>
      </c>
      <c r="M336" s="92">
        <v>172.04099840316047</v>
      </c>
      <c r="N336" s="91">
        <f t="shared" si="98"/>
        <v>4.0780389613795889E-2</v>
      </c>
      <c r="O336" s="91">
        <v>0.56567773112864894</v>
      </c>
      <c r="P336" s="86">
        <f t="shared" si="99"/>
        <v>2.4693567019570723E-2</v>
      </c>
      <c r="X336" s="153"/>
    </row>
    <row r="337" spans="1:24" ht="15" thickBot="1" x14ac:dyDescent="0.4">
      <c r="A337" s="26">
        <v>17</v>
      </c>
      <c r="B337" s="35">
        <v>0.2</v>
      </c>
      <c r="C337" s="36">
        <f t="shared" si="100"/>
        <v>0.8</v>
      </c>
      <c r="D337" s="117">
        <v>0.5</v>
      </c>
      <c r="E337" s="118">
        <f t="shared" si="96"/>
        <v>0.1</v>
      </c>
      <c r="F337" s="119">
        <f t="shared" si="97"/>
        <v>0.4</v>
      </c>
      <c r="G337" s="9">
        <v>281.10000000000002</v>
      </c>
      <c r="H337" s="15">
        <v>16.7</v>
      </c>
      <c r="I337" s="29">
        <v>0.57999999999999996</v>
      </c>
      <c r="J337" s="23"/>
      <c r="K337" s="68">
        <v>122.56937057166229</v>
      </c>
      <c r="L337" s="8">
        <f t="shared" si="94"/>
        <v>0.26605167322357909</v>
      </c>
      <c r="M337" s="92">
        <v>181.63635571207371</v>
      </c>
      <c r="N337" s="91">
        <f t="shared" si="98"/>
        <v>8.7642848575291671E-2</v>
      </c>
      <c r="O337" s="91">
        <v>0.55872611327136701</v>
      </c>
      <c r="P337" s="86">
        <f t="shared" si="99"/>
        <v>3.6679115049367161E-2</v>
      </c>
      <c r="X337" s="153"/>
    </row>
    <row r="338" spans="1:24" ht="15" thickBot="1" x14ac:dyDescent="0.4">
      <c r="A338" s="160" t="s">
        <v>62</v>
      </c>
      <c r="B338" s="161"/>
      <c r="C338" s="161"/>
      <c r="D338" s="161"/>
      <c r="E338" s="161"/>
      <c r="F338" s="161"/>
      <c r="G338" s="161"/>
      <c r="H338" s="161"/>
      <c r="I338" s="161"/>
      <c r="J338" s="162"/>
      <c r="K338" s="68"/>
      <c r="L338" s="8">
        <f>SUM(L321:L337)/17</f>
        <v>0.17729071562045765</v>
      </c>
      <c r="M338" s="92"/>
      <c r="N338" s="91">
        <f>SUM(N321:N337)/17</f>
        <v>0.14787702161682925</v>
      </c>
      <c r="O338" s="91"/>
      <c r="P338" s="120">
        <f>SUM(P321:P337)/17</f>
        <v>6.7702915282340709E-2</v>
      </c>
      <c r="X338" s="153"/>
    </row>
    <row r="339" spans="1:24" x14ac:dyDescent="0.35">
      <c r="A339" s="26">
        <v>1</v>
      </c>
      <c r="B339" s="52">
        <v>0</v>
      </c>
      <c r="C339" s="53">
        <v>1</v>
      </c>
      <c r="D339" s="52">
        <v>0.5</v>
      </c>
      <c r="E339" s="112">
        <v>0</v>
      </c>
      <c r="F339" s="53">
        <v>0.5</v>
      </c>
      <c r="G339" s="5">
        <v>273</v>
      </c>
      <c r="H339" s="13">
        <v>16.13</v>
      </c>
      <c r="I339" s="56"/>
      <c r="J339" s="56"/>
      <c r="K339" s="68"/>
      <c r="L339" s="8"/>
      <c r="M339" s="92">
        <v>149.43353285117254</v>
      </c>
      <c r="N339" s="91">
        <f>ABS(M339-H339*10)/H339/10</f>
        <v>7.3567682261794415E-2</v>
      </c>
      <c r="O339" s="91"/>
      <c r="P339" s="86"/>
      <c r="S339">
        <v>149.43353285117254</v>
      </c>
      <c r="T339" s="75">
        <f t="shared" ref="T339:T345" si="101">ABS(S339-H339*10)/H339/10</f>
        <v>7.3567682261794415E-2</v>
      </c>
    </row>
    <row r="340" spans="1:24" x14ac:dyDescent="0.35">
      <c r="A340" s="26">
        <v>2</v>
      </c>
      <c r="B340" s="11">
        <v>0</v>
      </c>
      <c r="C340" s="12">
        <v>1</v>
      </c>
      <c r="D340" s="11">
        <v>0.5</v>
      </c>
      <c r="E340" s="25">
        <v>0</v>
      </c>
      <c r="F340" s="12">
        <v>0.5</v>
      </c>
      <c r="G340" s="6">
        <v>273.89999999999998</v>
      </c>
      <c r="H340" s="14">
        <v>17.489999999999998</v>
      </c>
      <c r="I340" s="21"/>
      <c r="J340" s="21"/>
      <c r="K340" s="68"/>
      <c r="L340" s="8"/>
      <c r="M340" s="92">
        <v>165.49842115164208</v>
      </c>
      <c r="N340" s="91">
        <f t="shared" ref="N340:N345" si="102">ABS(M340-H340*10)/H340/10</f>
        <v>5.3754024290210992E-2</v>
      </c>
      <c r="O340" s="91"/>
      <c r="P340" s="86"/>
      <c r="S340">
        <v>165.49842115164208</v>
      </c>
      <c r="T340" s="75">
        <f t="shared" si="101"/>
        <v>5.3754024290210992E-2</v>
      </c>
    </row>
    <row r="341" spans="1:24" x14ac:dyDescent="0.35">
      <c r="A341" s="26">
        <v>3</v>
      </c>
      <c r="B341" s="11">
        <v>0</v>
      </c>
      <c r="C341" s="12">
        <v>1</v>
      </c>
      <c r="D341" s="11">
        <v>0.5</v>
      </c>
      <c r="E341" s="25">
        <v>0</v>
      </c>
      <c r="F341" s="12">
        <v>0.5</v>
      </c>
      <c r="G341" s="6">
        <v>274.3</v>
      </c>
      <c r="H341" s="14">
        <v>18.55</v>
      </c>
      <c r="I341" s="21"/>
      <c r="J341" s="21"/>
      <c r="K341" s="68"/>
      <c r="L341" s="8"/>
      <c r="M341" s="92">
        <v>173.43503629846924</v>
      </c>
      <c r="N341" s="91">
        <f t="shared" si="102"/>
        <v>6.5040235587766879E-2</v>
      </c>
      <c r="O341" s="91"/>
      <c r="P341" s="86"/>
      <c r="S341">
        <v>173.43503629846924</v>
      </c>
      <c r="T341" s="75">
        <f t="shared" si="101"/>
        <v>6.5040235587766879E-2</v>
      </c>
    </row>
    <row r="342" spans="1:24" x14ac:dyDescent="0.35">
      <c r="A342" s="26">
        <v>4</v>
      </c>
      <c r="B342" s="11">
        <v>0</v>
      </c>
      <c r="C342" s="12">
        <v>1</v>
      </c>
      <c r="D342" s="11">
        <v>0.5</v>
      </c>
      <c r="E342" s="25">
        <v>0</v>
      </c>
      <c r="F342" s="12">
        <v>0.5</v>
      </c>
      <c r="G342" s="6">
        <v>274.60000000000002</v>
      </c>
      <c r="H342" s="14">
        <v>19.23</v>
      </c>
      <c r="I342" s="21"/>
      <c r="J342" s="21"/>
      <c r="K342" s="68"/>
      <c r="L342" s="8"/>
      <c r="M342" s="92">
        <v>179.75764117063474</v>
      </c>
      <c r="N342" s="91">
        <f t="shared" si="102"/>
        <v>6.5222874827692512E-2</v>
      </c>
      <c r="O342" s="91"/>
      <c r="P342" s="86"/>
      <c r="S342">
        <v>179.75764117063474</v>
      </c>
      <c r="T342" s="75">
        <f t="shared" si="101"/>
        <v>6.5222874827692512E-2</v>
      </c>
    </row>
    <row r="343" spans="1:24" x14ac:dyDescent="0.35">
      <c r="A343" s="26">
        <v>5</v>
      </c>
      <c r="B343" s="11">
        <v>0</v>
      </c>
      <c r="C343" s="12">
        <v>1</v>
      </c>
      <c r="D343" s="11">
        <v>0.5</v>
      </c>
      <c r="E343" s="25">
        <v>0</v>
      </c>
      <c r="F343" s="12">
        <v>0.5</v>
      </c>
      <c r="G343" s="6">
        <v>276.10000000000002</v>
      </c>
      <c r="H343" s="14">
        <v>20.74</v>
      </c>
      <c r="I343" s="21"/>
      <c r="J343" s="21"/>
      <c r="K343" s="68"/>
      <c r="L343" s="8"/>
      <c r="M343" s="92">
        <v>217.30990031987568</v>
      </c>
      <c r="N343" s="91">
        <f t="shared" si="102"/>
        <v>4.7781583027365973E-2</v>
      </c>
      <c r="O343" s="91"/>
      <c r="P343" s="86"/>
      <c r="S343">
        <v>217.30990031987568</v>
      </c>
      <c r="T343" s="75">
        <f t="shared" si="101"/>
        <v>4.7781583027365973E-2</v>
      </c>
    </row>
    <row r="344" spans="1:24" x14ac:dyDescent="0.35">
      <c r="A344" s="26">
        <v>6</v>
      </c>
      <c r="B344" s="11">
        <v>0</v>
      </c>
      <c r="C344" s="12">
        <v>1</v>
      </c>
      <c r="D344" s="11">
        <v>0.5</v>
      </c>
      <c r="E344" s="25">
        <v>0</v>
      </c>
      <c r="F344" s="12">
        <v>0.5</v>
      </c>
      <c r="G344" s="6">
        <v>276.60000000000002</v>
      </c>
      <c r="H344" s="14">
        <v>21.87</v>
      </c>
      <c r="I344" s="21"/>
      <c r="J344" s="21"/>
      <c r="K344" s="68"/>
      <c r="L344" s="8"/>
      <c r="M344" s="92">
        <v>232.6467611886271</v>
      </c>
      <c r="N344" s="91">
        <f t="shared" si="102"/>
        <v>6.3771198850603922E-2</v>
      </c>
      <c r="O344" s="91"/>
      <c r="P344" s="86"/>
      <c r="S344">
        <v>232.6467611886271</v>
      </c>
      <c r="T344" s="75">
        <f t="shared" si="101"/>
        <v>6.3771198850603922E-2</v>
      </c>
    </row>
    <row r="345" spans="1:24" ht="15" thickBot="1" x14ac:dyDescent="0.4">
      <c r="A345" s="26">
        <v>7</v>
      </c>
      <c r="B345" s="54">
        <v>0</v>
      </c>
      <c r="C345" s="55">
        <v>1</v>
      </c>
      <c r="D345" s="54">
        <v>0.5</v>
      </c>
      <c r="E345" s="113">
        <v>0</v>
      </c>
      <c r="F345" s="55">
        <v>0.5</v>
      </c>
      <c r="G345" s="9">
        <v>277.5</v>
      </c>
      <c r="H345" s="15">
        <v>23.9</v>
      </c>
      <c r="I345" s="23"/>
      <c r="J345" s="23"/>
      <c r="K345" s="68"/>
      <c r="L345" s="8"/>
      <c r="M345" s="92">
        <v>265.27215466253125</v>
      </c>
      <c r="N345" s="91">
        <f t="shared" si="102"/>
        <v>0.10992533331603034</v>
      </c>
      <c r="O345" s="91"/>
      <c r="P345" s="86"/>
      <c r="S345">
        <v>265.27215466253125</v>
      </c>
      <c r="T345" s="75">
        <f t="shared" si="101"/>
        <v>0.10992533331603034</v>
      </c>
    </row>
    <row r="346" spans="1:24" ht="15" thickBot="1" x14ac:dyDescent="0.4">
      <c r="A346" s="160" t="s">
        <v>63</v>
      </c>
      <c r="B346" s="161"/>
      <c r="C346" s="161"/>
      <c r="D346" s="161"/>
      <c r="E346" s="161"/>
      <c r="F346" s="161"/>
      <c r="G346" s="161"/>
      <c r="H346" s="161"/>
      <c r="I346" s="161"/>
      <c r="J346" s="162"/>
      <c r="K346" s="71"/>
      <c r="L346" s="71"/>
      <c r="M346" s="92"/>
      <c r="N346" s="91">
        <f>SUM(N339:N345)/7</f>
        <v>6.8437561737352146E-2</v>
      </c>
      <c r="O346" s="91"/>
      <c r="P346" s="86"/>
      <c r="T346" s="154">
        <f>SUM(T339:T345)/7</f>
        <v>6.8437561737352146E-2</v>
      </c>
    </row>
    <row r="347" spans="1:24" x14ac:dyDescent="0.35">
      <c r="A347" s="26">
        <v>1</v>
      </c>
      <c r="B347" s="52">
        <v>0.16900000000000001</v>
      </c>
      <c r="C347" s="53">
        <v>0.83099999999999996</v>
      </c>
      <c r="D347" s="52">
        <v>0.5</v>
      </c>
      <c r="E347" s="112">
        <f>B347*(1-D347)</f>
        <v>8.4500000000000006E-2</v>
      </c>
      <c r="F347" s="53">
        <f>1-D347-E347</f>
        <v>0.41549999999999998</v>
      </c>
      <c r="G347" s="52">
        <v>273.7</v>
      </c>
      <c r="H347" s="53">
        <v>7.7</v>
      </c>
      <c r="I347" s="56"/>
      <c r="J347" s="24">
        <v>0.13900000000000001</v>
      </c>
      <c r="K347" s="71"/>
      <c r="L347" s="71"/>
      <c r="M347" s="92">
        <v>76.785649554719853</v>
      </c>
      <c r="N347" s="91">
        <f>ABS(M347-H347*10)/H347/10</f>
        <v>2.78377201662528E-3</v>
      </c>
      <c r="O347" s="91">
        <v>0.61337481117806458</v>
      </c>
      <c r="P347" s="86"/>
    </row>
    <row r="348" spans="1:24" x14ac:dyDescent="0.35">
      <c r="A348" s="26">
        <v>2</v>
      </c>
      <c r="B348" s="11">
        <v>0.56999999999999995</v>
      </c>
      <c r="C348" s="12">
        <v>0.43000000000000005</v>
      </c>
      <c r="D348" s="11">
        <v>0.5</v>
      </c>
      <c r="E348" s="25">
        <f>B348*(1-D348)</f>
        <v>0.28499999999999998</v>
      </c>
      <c r="F348" s="12">
        <f>1-D348-E348</f>
        <v>0.21500000000000002</v>
      </c>
      <c r="G348" s="11">
        <v>273.7</v>
      </c>
      <c r="H348" s="12">
        <v>2.4</v>
      </c>
      <c r="I348" s="21"/>
      <c r="J348" s="21"/>
      <c r="K348" s="71"/>
      <c r="L348" s="71"/>
      <c r="M348" s="92">
        <v>26.784752788955934</v>
      </c>
      <c r="N348" s="91">
        <f>ABS(M348-H348*10)/H348/10</f>
        <v>0.11603136620649727</v>
      </c>
      <c r="O348" s="91">
        <v>0.9174198336452668</v>
      </c>
      <c r="P348" s="86"/>
    </row>
    <row r="349" spans="1:24" ht="15" thickBot="1" x14ac:dyDescent="0.4">
      <c r="A349" s="26">
        <v>3</v>
      </c>
      <c r="B349" s="54">
        <v>0.83</v>
      </c>
      <c r="C349" s="55">
        <v>0.17000000000000004</v>
      </c>
      <c r="D349" s="54">
        <v>0.5</v>
      </c>
      <c r="E349" s="113">
        <f>B349*(1-D349)</f>
        <v>0.41499999999999998</v>
      </c>
      <c r="F349" s="55">
        <f>1-D349-E349</f>
        <v>8.500000000000002E-2</v>
      </c>
      <c r="G349" s="54">
        <v>273.7</v>
      </c>
      <c r="H349" s="55">
        <v>1.6</v>
      </c>
      <c r="I349" s="23"/>
      <c r="J349" s="23"/>
      <c r="K349" s="71"/>
      <c r="L349" s="71"/>
      <c r="M349" s="92">
        <v>18.624050223364737</v>
      </c>
      <c r="N349" s="91">
        <f>ABS(M349-H349*10)/H349/10</f>
        <v>0.16400313896029606</v>
      </c>
      <c r="O349" s="91">
        <v>0.97636812393225791</v>
      </c>
      <c r="P349" s="86"/>
    </row>
    <row r="350" spans="1:24" ht="15" thickBot="1" x14ac:dyDescent="0.4">
      <c r="A350" s="160" t="s">
        <v>147</v>
      </c>
      <c r="B350" s="161"/>
      <c r="C350" s="161"/>
      <c r="D350" s="161"/>
      <c r="E350" s="161"/>
      <c r="F350" s="161"/>
      <c r="G350" s="161"/>
      <c r="H350" s="161"/>
      <c r="I350" s="161"/>
      <c r="J350" s="162"/>
      <c r="K350" s="71"/>
      <c r="L350" s="71"/>
      <c r="M350" s="92"/>
      <c r="N350" s="91">
        <f>SUM(N347:N349)/3</f>
        <v>9.4272759061139536E-2</v>
      </c>
      <c r="O350" s="91"/>
      <c r="P350" s="86"/>
      <c r="T350" s="2" t="s">
        <v>148</v>
      </c>
    </row>
    <row r="351" spans="1:24" x14ac:dyDescent="0.35">
      <c r="A351" s="142">
        <v>1</v>
      </c>
      <c r="B351" s="52">
        <v>0.01</v>
      </c>
      <c r="C351" s="53">
        <f>1-B351</f>
        <v>0.99</v>
      </c>
      <c r="D351" s="52">
        <v>0.5</v>
      </c>
      <c r="E351" s="112">
        <f>(1-D351)*B351</f>
        <v>5.0000000000000001E-3</v>
      </c>
      <c r="F351" s="53">
        <f>(1-D351)*C351</f>
        <v>0.495</v>
      </c>
      <c r="G351" s="52">
        <v>270.5</v>
      </c>
      <c r="H351" s="53">
        <v>14.1</v>
      </c>
      <c r="I351" s="24">
        <v>2.7999999999999997E-2</v>
      </c>
      <c r="J351" s="147">
        <v>9.5999999999999992E-3</v>
      </c>
      <c r="K351" s="151">
        <v>2.9</v>
      </c>
      <c r="L351" s="71"/>
      <c r="M351" s="92">
        <v>116.32501724900298</v>
      </c>
      <c r="N351" s="91">
        <f>ABS(M351-H351*10)/H351/10</f>
        <v>0.17499987766664551</v>
      </c>
      <c r="O351" s="91">
        <v>3.3580892387451058E-2</v>
      </c>
      <c r="P351" s="86">
        <f>ABS(O351-I351)/I351</f>
        <v>0.19931758526610935</v>
      </c>
      <c r="Q351" s="150">
        <v>9.9323237500634348E-3</v>
      </c>
      <c r="R351">
        <f>ABS(Q351-J351)/J351</f>
        <v>3.4617057298274551E-2</v>
      </c>
      <c r="T351" s="152">
        <v>3.4608420927028383</v>
      </c>
      <c r="U351">
        <f>ABS(T351-K351)/K351</f>
        <v>0.19339382506994426</v>
      </c>
    </row>
    <row r="352" spans="1:24" x14ac:dyDescent="0.35">
      <c r="A352" s="143">
        <v>2</v>
      </c>
      <c r="B352" s="11">
        <v>0.01</v>
      </c>
      <c r="C352" s="12">
        <f t="shared" ref="C352:C399" si="103">1-B352</f>
        <v>0.99</v>
      </c>
      <c r="D352" s="11">
        <v>0.5</v>
      </c>
      <c r="E352" s="25">
        <f t="shared" ref="E352:E399" si="104">(1-D352)*B352</f>
        <v>5.0000000000000001E-3</v>
      </c>
      <c r="F352" s="12">
        <f t="shared" ref="F352:F399" si="105">(1-D352)*C352</f>
        <v>0.495</v>
      </c>
      <c r="G352" s="11">
        <v>271.10000000000002</v>
      </c>
      <c r="H352" s="12">
        <v>14.1</v>
      </c>
      <c r="I352" s="29">
        <v>2.4E-2</v>
      </c>
      <c r="J352" s="148">
        <v>9.4999999999999998E-3</v>
      </c>
      <c r="K352" s="151">
        <v>2.6</v>
      </c>
      <c r="L352" s="71"/>
      <c r="M352" s="92">
        <v>124.20756293453567</v>
      </c>
      <c r="N352" s="91">
        <f t="shared" ref="N352:N399" si="106">ABS(M352-H352*10)/H352/10</f>
        <v>0.11909529833662644</v>
      </c>
      <c r="O352" s="91">
        <v>3.2779293942139062E-2</v>
      </c>
      <c r="P352" s="86">
        <f t="shared" ref="P352:P399" si="107">ABS(O352-I352)/I352</f>
        <v>0.36580391425579423</v>
      </c>
      <c r="Q352" s="150">
        <v>9.9298479324840903E-3</v>
      </c>
      <c r="R352">
        <f t="shared" ref="R352:R399" si="108">ABS(Q352-J352)/J352</f>
        <v>4.5247150787799E-2</v>
      </c>
      <c r="T352" s="152">
        <v>3.3763558959663125</v>
      </c>
      <c r="U352">
        <f t="shared" ref="U352:U399" si="109">ABS(T352-K352)/K352</f>
        <v>0.29859842152550475</v>
      </c>
    </row>
    <row r="353" spans="1:23" x14ac:dyDescent="0.35">
      <c r="A353" s="143">
        <v>3</v>
      </c>
      <c r="B353" s="11">
        <v>0.01</v>
      </c>
      <c r="C353" s="12">
        <f t="shared" si="103"/>
        <v>0.99</v>
      </c>
      <c r="D353" s="11">
        <v>0.5</v>
      </c>
      <c r="E353" s="25">
        <f t="shared" si="104"/>
        <v>5.0000000000000001E-3</v>
      </c>
      <c r="F353" s="12">
        <f t="shared" si="105"/>
        <v>0.495</v>
      </c>
      <c r="G353" s="11">
        <v>271.39999999999998</v>
      </c>
      <c r="H353" s="12">
        <v>14.1</v>
      </c>
      <c r="I353" s="29">
        <v>2.3E-2</v>
      </c>
      <c r="J353" s="148">
        <v>6.0000000000000001E-3</v>
      </c>
      <c r="K353" s="151">
        <v>4.2</v>
      </c>
      <c r="L353" s="71"/>
      <c r="M353" s="92">
        <v>128.40711081982667</v>
      </c>
      <c r="N353" s="91">
        <f t="shared" si="106"/>
        <v>8.9311270781371133E-2</v>
      </c>
      <c r="O353" s="91">
        <v>3.2374674398177941E-2</v>
      </c>
      <c r="P353" s="86">
        <f t="shared" si="107"/>
        <v>0.40759453905121484</v>
      </c>
      <c r="Q353" s="150">
        <v>9.9286554808485031E-3</v>
      </c>
      <c r="R353">
        <f t="shared" si="108"/>
        <v>0.6547759134747505</v>
      </c>
      <c r="T353" s="152">
        <v>3.3337229589148234</v>
      </c>
      <c r="U353">
        <f t="shared" si="109"/>
        <v>0.20625643835361351</v>
      </c>
    </row>
    <row r="354" spans="1:23" x14ac:dyDescent="0.35">
      <c r="A354" s="143">
        <v>4</v>
      </c>
      <c r="B354" s="11">
        <v>0.01</v>
      </c>
      <c r="C354" s="12">
        <f t="shared" si="103"/>
        <v>0.99</v>
      </c>
      <c r="D354" s="11">
        <v>0.5</v>
      </c>
      <c r="E354" s="25">
        <f t="shared" si="104"/>
        <v>5.0000000000000001E-3</v>
      </c>
      <c r="F354" s="12">
        <f t="shared" si="105"/>
        <v>0.495</v>
      </c>
      <c r="G354" s="11">
        <v>271.7</v>
      </c>
      <c r="H354" s="12">
        <v>14.1</v>
      </c>
      <c r="I354" s="29">
        <v>2.1000000000000001E-2</v>
      </c>
      <c r="J354" s="148">
        <v>5.0000000000000001E-3</v>
      </c>
      <c r="K354" s="151">
        <v>4.4000000000000004</v>
      </c>
      <c r="L354" s="71"/>
      <c r="M354" s="92">
        <v>132.79444593115187</v>
      </c>
      <c r="N354" s="91">
        <f t="shared" si="106"/>
        <v>5.8195418928000918E-2</v>
      </c>
      <c r="O354" s="91">
        <v>3.1967344671369781E-2</v>
      </c>
      <c r="P354" s="86">
        <f t="shared" si="107"/>
        <v>0.5222545081604657</v>
      </c>
      <c r="Q354" s="150">
        <v>9.9274707278633224E-3</v>
      </c>
      <c r="R354">
        <f t="shared" si="108"/>
        <v>0.98549414557266446</v>
      </c>
      <c r="T354" s="152">
        <v>3.2908247973627827</v>
      </c>
      <c r="U354">
        <f t="shared" si="109"/>
        <v>0.25208527332664038</v>
      </c>
    </row>
    <row r="355" spans="1:23" x14ac:dyDescent="0.35">
      <c r="A355" s="143">
        <v>5</v>
      </c>
      <c r="B355" s="11">
        <v>0.01</v>
      </c>
      <c r="C355" s="12">
        <f t="shared" si="103"/>
        <v>0.99</v>
      </c>
      <c r="D355" s="11">
        <v>0.5</v>
      </c>
      <c r="E355" s="25">
        <f t="shared" si="104"/>
        <v>5.0000000000000001E-3</v>
      </c>
      <c r="F355" s="12">
        <f t="shared" si="105"/>
        <v>0.495</v>
      </c>
      <c r="G355" s="11">
        <v>272.10000000000002</v>
      </c>
      <c r="H355" s="12">
        <v>14.1</v>
      </c>
      <c r="I355" s="29">
        <v>2.6000000000000002E-2</v>
      </c>
      <c r="J355" s="148">
        <v>6.0000000000000001E-3</v>
      </c>
      <c r="K355" s="151">
        <v>4.4000000000000004</v>
      </c>
      <c r="L355" s="71"/>
      <c r="M355" s="92">
        <v>138.95931636289126</v>
      </c>
      <c r="N355" s="91">
        <f t="shared" si="106"/>
        <v>1.4472933596515903E-2</v>
      </c>
      <c r="O355" s="91">
        <v>3.1420134183222322E-2</v>
      </c>
      <c r="P355" s="86">
        <f t="shared" si="107"/>
        <v>0.20846669935470458</v>
      </c>
      <c r="Q355" s="150">
        <v>9.9259753679219725E-3</v>
      </c>
      <c r="R355">
        <f t="shared" si="108"/>
        <v>0.65432922798699533</v>
      </c>
      <c r="T355" s="152">
        <v>3.2331984875992159</v>
      </c>
      <c r="U355">
        <f t="shared" si="109"/>
        <v>0.26518216190926919</v>
      </c>
    </row>
    <row r="356" spans="1:23" x14ac:dyDescent="0.35">
      <c r="A356" s="143">
        <v>6</v>
      </c>
      <c r="B356" s="11">
        <v>0.01</v>
      </c>
      <c r="C356" s="12">
        <f t="shared" si="103"/>
        <v>0.99</v>
      </c>
      <c r="D356" s="11">
        <v>0.5</v>
      </c>
      <c r="E356" s="25">
        <f t="shared" si="104"/>
        <v>5.0000000000000001E-3</v>
      </c>
      <c r="F356" s="12">
        <f t="shared" si="105"/>
        <v>0.495</v>
      </c>
      <c r="G356" s="11">
        <v>272.39999999999998</v>
      </c>
      <c r="H356" s="12">
        <v>14.2</v>
      </c>
      <c r="I356" s="29"/>
      <c r="J356" s="148"/>
      <c r="K356" s="151" t="s">
        <v>77</v>
      </c>
      <c r="L356" s="71"/>
      <c r="M356" s="92">
        <v>143.83854847278917</v>
      </c>
      <c r="N356" s="91">
        <f t="shared" si="106"/>
        <v>1.2947524456261766E-2</v>
      </c>
      <c r="O356" s="91">
        <v>3.1006484797546786E-2</v>
      </c>
      <c r="P356" s="86"/>
      <c r="Q356" s="150">
        <v>9.9248991964855145E-3</v>
      </c>
      <c r="T356" s="152">
        <v>3.1896499757001759</v>
      </c>
      <c r="W356">
        <f>SUM(T351:T355)/5</f>
        <v>3.3389888465091944</v>
      </c>
    </row>
    <row r="357" spans="1:23" x14ac:dyDescent="0.35">
      <c r="A357" s="143">
        <v>7</v>
      </c>
      <c r="B357" s="11">
        <v>0.02</v>
      </c>
      <c r="C357" s="12">
        <f t="shared" si="103"/>
        <v>0.98</v>
      </c>
      <c r="D357" s="11">
        <v>0.5</v>
      </c>
      <c r="E357" s="25">
        <f t="shared" si="104"/>
        <v>0.01</v>
      </c>
      <c r="F357" s="12">
        <f t="shared" si="105"/>
        <v>0.49</v>
      </c>
      <c r="G357" s="11">
        <v>272.8</v>
      </c>
      <c r="H357" s="12">
        <v>15.9</v>
      </c>
      <c r="I357" s="29">
        <v>7.2000000000000008E-2</v>
      </c>
      <c r="J357" s="148">
        <v>9.0000000000000011E-3</v>
      </c>
      <c r="K357" s="151">
        <v>7.8</v>
      </c>
      <c r="L357" s="71"/>
      <c r="M357" s="92">
        <v>145.57199679494752</v>
      </c>
      <c r="N357" s="91">
        <f t="shared" si="106"/>
        <v>8.4452850346241989E-2</v>
      </c>
      <c r="O357" s="91">
        <v>5.95321357738888E-2</v>
      </c>
      <c r="P357" s="86">
        <f t="shared" si="107"/>
        <v>0.17316478091821119</v>
      </c>
      <c r="Q357" s="150">
        <v>1.9853029265768256E-2</v>
      </c>
      <c r="R357">
        <f t="shared" si="108"/>
        <v>1.2058921406409171</v>
      </c>
      <c r="T357" s="152">
        <v>3.1227077291944578</v>
      </c>
      <c r="U357">
        <f t="shared" si="109"/>
        <v>0.59965285523147971</v>
      </c>
    </row>
    <row r="358" spans="1:23" x14ac:dyDescent="0.35">
      <c r="A358" s="143">
        <v>8</v>
      </c>
      <c r="B358" s="11">
        <v>0.02</v>
      </c>
      <c r="C358" s="12">
        <f t="shared" si="103"/>
        <v>0.98</v>
      </c>
      <c r="D358" s="11">
        <v>0.5</v>
      </c>
      <c r="E358" s="25">
        <f t="shared" si="104"/>
        <v>0.01</v>
      </c>
      <c r="F358" s="12">
        <f t="shared" si="105"/>
        <v>0.49</v>
      </c>
      <c r="G358" s="11">
        <v>273.10000000000002</v>
      </c>
      <c r="H358" s="12">
        <v>15.9</v>
      </c>
      <c r="I358" s="29">
        <v>8.1000000000000003E-2</v>
      </c>
      <c r="J358" s="148">
        <v>9.0000000000000011E-3</v>
      </c>
      <c r="K358" s="151">
        <v>9.3000000000000007</v>
      </c>
      <c r="L358" s="71"/>
      <c r="M358" s="92">
        <v>150.84310017774146</v>
      </c>
      <c r="N358" s="91">
        <f t="shared" si="106"/>
        <v>5.1301256743764387E-2</v>
      </c>
      <c r="O358" s="91">
        <v>5.8734307267155811E-2</v>
      </c>
      <c r="P358" s="86">
        <f t="shared" si="107"/>
        <v>0.27488509546721224</v>
      </c>
      <c r="Q358" s="150">
        <v>1.9851245119307276E-2</v>
      </c>
      <c r="R358">
        <f t="shared" si="108"/>
        <v>1.2056939021452526</v>
      </c>
      <c r="T358" s="152">
        <v>3.0785568472318774</v>
      </c>
      <c r="U358">
        <f t="shared" si="109"/>
        <v>0.66897238201807774</v>
      </c>
    </row>
    <row r="359" spans="1:23" x14ac:dyDescent="0.35">
      <c r="A359" s="143">
        <v>9</v>
      </c>
      <c r="B359" s="11">
        <v>0.02</v>
      </c>
      <c r="C359" s="12">
        <f t="shared" si="103"/>
        <v>0.98</v>
      </c>
      <c r="D359" s="11">
        <v>0.5</v>
      </c>
      <c r="E359" s="25">
        <f t="shared" si="104"/>
        <v>0.01</v>
      </c>
      <c r="F359" s="12">
        <f t="shared" si="105"/>
        <v>0.49</v>
      </c>
      <c r="G359" s="11">
        <v>273.39999999999998</v>
      </c>
      <c r="H359" s="12">
        <v>15.9</v>
      </c>
      <c r="I359" s="29">
        <v>6.2000000000000006E-2</v>
      </c>
      <c r="J359" s="148">
        <v>0.01</v>
      </c>
      <c r="K359" s="151">
        <v>6.7</v>
      </c>
      <c r="L359" s="71"/>
      <c r="M359" s="92">
        <v>156.38610184612904</v>
      </c>
      <c r="N359" s="91">
        <f t="shared" si="106"/>
        <v>1.6439611030634987E-2</v>
      </c>
      <c r="O359" s="91">
        <v>5.7929638395163907E-2</v>
      </c>
      <c r="P359" s="86">
        <f t="shared" si="107"/>
        <v>6.5650993626388696E-2</v>
      </c>
      <c r="Q359" s="150">
        <v>1.9849568444878334E-2</v>
      </c>
      <c r="R359">
        <f t="shared" si="108"/>
        <v>0.98495684448783327</v>
      </c>
      <c r="T359" s="152">
        <v>3.0340760270704297</v>
      </c>
      <c r="U359">
        <f t="shared" si="109"/>
        <v>0.54715283178053287</v>
      </c>
    </row>
    <row r="360" spans="1:23" x14ac:dyDescent="0.35">
      <c r="A360" s="143">
        <v>10</v>
      </c>
      <c r="B360" s="11">
        <v>0.02</v>
      </c>
      <c r="C360" s="12">
        <f t="shared" si="103"/>
        <v>0.98</v>
      </c>
      <c r="D360" s="11">
        <v>0.5</v>
      </c>
      <c r="E360" s="25">
        <f t="shared" si="104"/>
        <v>0.01</v>
      </c>
      <c r="F360" s="12">
        <f t="shared" si="105"/>
        <v>0.49</v>
      </c>
      <c r="G360" s="11">
        <v>274.10000000000002</v>
      </c>
      <c r="H360" s="12">
        <v>16.399999999999999</v>
      </c>
      <c r="I360" s="29">
        <v>0.10099999999999999</v>
      </c>
      <c r="J360" s="148">
        <v>1.3999999999999999E-2</v>
      </c>
      <c r="K360" s="151">
        <v>7.8</v>
      </c>
      <c r="L360" s="71"/>
      <c r="M360" s="92">
        <v>170.51163425137275</v>
      </c>
      <c r="N360" s="91">
        <f t="shared" si="106"/>
        <v>3.9705086898614364E-2</v>
      </c>
      <c r="O360" s="91">
        <v>5.602514676056166E-2</v>
      </c>
      <c r="P360" s="86">
        <f t="shared" si="107"/>
        <v>0.44529557662810232</v>
      </c>
      <c r="Q360" s="150">
        <v>1.9846500435564442E-2</v>
      </c>
      <c r="R360">
        <f t="shared" si="108"/>
        <v>0.41760717396888886</v>
      </c>
      <c r="T360" s="152">
        <v>2.9289266225911623</v>
      </c>
      <c r="U360">
        <f t="shared" si="109"/>
        <v>0.62449658684728693</v>
      </c>
    </row>
    <row r="361" spans="1:23" x14ac:dyDescent="0.35">
      <c r="A361" s="143">
        <v>11</v>
      </c>
      <c r="B361" s="11">
        <v>0.02</v>
      </c>
      <c r="C361" s="12">
        <f t="shared" si="103"/>
        <v>0.98</v>
      </c>
      <c r="D361" s="11">
        <v>0.5</v>
      </c>
      <c r="E361" s="25">
        <f t="shared" si="104"/>
        <v>0.01</v>
      </c>
      <c r="F361" s="12">
        <f t="shared" si="105"/>
        <v>0.49</v>
      </c>
      <c r="G361" s="11">
        <v>274.7</v>
      </c>
      <c r="H361" s="12">
        <v>16.5</v>
      </c>
      <c r="I361" s="29"/>
      <c r="J361" s="148"/>
      <c r="K361" s="151" t="s">
        <v>77</v>
      </c>
      <c r="L361" s="71"/>
      <c r="M361" s="92">
        <v>184.17293792091994</v>
      </c>
      <c r="N361" s="91">
        <f t="shared" si="106"/>
        <v>0.11619962376315111</v>
      </c>
      <c r="O361" s="91">
        <v>5.4360793856081481E-2</v>
      </c>
      <c r="P361" s="86"/>
      <c r="Q361" s="150">
        <v>1.9845046079032123E-2</v>
      </c>
      <c r="T361" s="152">
        <v>2.8371689321559401</v>
      </c>
      <c r="W361">
        <f>SUM(T357:T360)/4</f>
        <v>3.0410668065219815</v>
      </c>
    </row>
    <row r="362" spans="1:23" x14ac:dyDescent="0.35">
      <c r="A362" s="143">
        <v>12</v>
      </c>
      <c r="B362" s="11">
        <v>7.0000000000000007E-2</v>
      </c>
      <c r="C362" s="12">
        <f t="shared" si="103"/>
        <v>0.92999999999999994</v>
      </c>
      <c r="D362" s="11">
        <v>0.5</v>
      </c>
      <c r="E362" s="25">
        <f t="shared" si="104"/>
        <v>3.5000000000000003E-2</v>
      </c>
      <c r="F362" s="12">
        <f t="shared" si="105"/>
        <v>0.46499999999999997</v>
      </c>
      <c r="G362" s="11">
        <v>274.39999999999998</v>
      </c>
      <c r="H362" s="12">
        <v>15</v>
      </c>
      <c r="I362" s="29">
        <v>0.21</v>
      </c>
      <c r="J362" s="148">
        <v>3.6000000000000004E-2</v>
      </c>
      <c r="K362" s="151">
        <v>7.4</v>
      </c>
      <c r="L362" s="71"/>
      <c r="M362" s="92">
        <v>145.24085038348923</v>
      </c>
      <c r="N362" s="91">
        <f t="shared" si="106"/>
        <v>3.1727664110071788E-2</v>
      </c>
      <c r="O362" s="91">
        <v>0.34271385623097933</v>
      </c>
      <c r="P362" s="86">
        <f t="shared" si="107"/>
        <v>0.63197074395704445</v>
      </c>
      <c r="Q362" s="150">
        <v>6.9550139891824694E-2</v>
      </c>
      <c r="R362">
        <f t="shared" si="108"/>
        <v>0.93194833032846347</v>
      </c>
      <c r="T362" s="152">
        <v>6.9689087758969093</v>
      </c>
      <c r="U362">
        <f t="shared" si="109"/>
        <v>5.8255570824742038E-2</v>
      </c>
    </row>
    <row r="363" spans="1:23" x14ac:dyDescent="0.35">
      <c r="A363" s="143">
        <v>13</v>
      </c>
      <c r="B363" s="11">
        <v>7.0000000000000007E-2</v>
      </c>
      <c r="C363" s="12">
        <f t="shared" si="103"/>
        <v>0.92999999999999994</v>
      </c>
      <c r="D363" s="11">
        <v>0.5</v>
      </c>
      <c r="E363" s="25">
        <f t="shared" si="104"/>
        <v>3.5000000000000003E-2</v>
      </c>
      <c r="F363" s="12">
        <f t="shared" si="105"/>
        <v>0.46499999999999997</v>
      </c>
      <c r="G363" s="11">
        <v>274.89999999999998</v>
      </c>
      <c r="H363" s="12">
        <v>15.1</v>
      </c>
      <c r="I363" s="29">
        <v>0.2</v>
      </c>
      <c r="J363" s="148">
        <v>3.9E-2</v>
      </c>
      <c r="K363" s="151">
        <v>6.4</v>
      </c>
      <c r="L363" s="71"/>
      <c r="M363" s="92">
        <v>155.02831435780053</v>
      </c>
      <c r="N363" s="91">
        <f t="shared" si="106"/>
        <v>2.6677578528480302E-2</v>
      </c>
      <c r="O363" s="91">
        <v>0.33630607128586065</v>
      </c>
      <c r="P363" s="86">
        <f t="shared" si="107"/>
        <v>0.68153035642930315</v>
      </c>
      <c r="Q363" s="150">
        <v>6.9545512902653719E-2</v>
      </c>
      <c r="R363">
        <f t="shared" si="108"/>
        <v>0.78321827955522361</v>
      </c>
      <c r="T363" s="152">
        <v>6.7732092789318044</v>
      </c>
      <c r="U363">
        <f t="shared" si="109"/>
        <v>5.8313949833094375E-2</v>
      </c>
    </row>
    <row r="364" spans="1:23" x14ac:dyDescent="0.35">
      <c r="A364" s="143">
        <v>14</v>
      </c>
      <c r="B364" s="11">
        <v>7.0000000000000007E-2</v>
      </c>
      <c r="C364" s="12">
        <f t="shared" si="103"/>
        <v>0.92999999999999994</v>
      </c>
      <c r="D364" s="11">
        <v>0.5</v>
      </c>
      <c r="E364" s="25">
        <f t="shared" si="104"/>
        <v>3.5000000000000003E-2</v>
      </c>
      <c r="F364" s="12">
        <f t="shared" si="105"/>
        <v>0.46499999999999997</v>
      </c>
      <c r="G364" s="11">
        <v>275.89999999999998</v>
      </c>
      <c r="H364" s="12">
        <v>15.5</v>
      </c>
      <c r="I364" s="29">
        <v>0.25</v>
      </c>
      <c r="J364" s="148">
        <v>5.2000000000000005E-2</v>
      </c>
      <c r="K364" s="151">
        <v>6.2</v>
      </c>
      <c r="L364" s="71"/>
      <c r="M364" s="92">
        <v>177.8527156737504</v>
      </c>
      <c r="N364" s="91">
        <f t="shared" si="106"/>
        <v>0.14743687531451868</v>
      </c>
      <c r="O364" s="91">
        <v>0.32277979670023826</v>
      </c>
      <c r="P364" s="86">
        <f t="shared" si="107"/>
        <v>0.29111918680095306</v>
      </c>
      <c r="Q364" s="150">
        <v>6.954580024034876E-2</v>
      </c>
      <c r="R364">
        <f t="shared" si="108"/>
        <v>0.33741923539132218</v>
      </c>
      <c r="T364" s="152">
        <v>6.3711604037218112</v>
      </c>
      <c r="U364">
        <f t="shared" si="109"/>
        <v>2.7606516729324366E-2</v>
      </c>
    </row>
    <row r="365" spans="1:23" x14ac:dyDescent="0.35">
      <c r="A365" s="143">
        <v>15</v>
      </c>
      <c r="B365" s="11">
        <v>7.0000000000000007E-2</v>
      </c>
      <c r="C365" s="12">
        <f t="shared" si="103"/>
        <v>0.92999999999999994</v>
      </c>
      <c r="D365" s="11">
        <v>0.5</v>
      </c>
      <c r="E365" s="25">
        <f t="shared" si="104"/>
        <v>3.5000000000000003E-2</v>
      </c>
      <c r="F365" s="12">
        <f t="shared" si="105"/>
        <v>0.46499999999999997</v>
      </c>
      <c r="G365" s="11">
        <v>276.3</v>
      </c>
      <c r="H365" s="12">
        <v>15.7</v>
      </c>
      <c r="I365" s="29">
        <v>0.23600000000000002</v>
      </c>
      <c r="J365" s="148">
        <v>5.9000000000000004E-2</v>
      </c>
      <c r="K365" s="151">
        <v>4.9000000000000004</v>
      </c>
      <c r="L365" s="71"/>
      <c r="M365" s="92">
        <v>188.48663826037617</v>
      </c>
      <c r="N365" s="91">
        <f t="shared" si="106"/>
        <v>0.20055183605335142</v>
      </c>
      <c r="O365" s="91">
        <v>0.31707962867809136</v>
      </c>
      <c r="P365" s="86">
        <f t="shared" si="107"/>
        <v>0.34355774863598026</v>
      </c>
      <c r="Q365" s="150">
        <v>6.9551195183857314E-2</v>
      </c>
      <c r="R365">
        <f t="shared" si="108"/>
        <v>0.17883381667554762</v>
      </c>
      <c r="T365" s="152">
        <v>6.2059715415749945</v>
      </c>
      <c r="U365">
        <f t="shared" si="109"/>
        <v>0.26652480440306003</v>
      </c>
    </row>
    <row r="366" spans="1:23" x14ac:dyDescent="0.35">
      <c r="A366" s="143">
        <v>16</v>
      </c>
      <c r="B366" s="11">
        <v>7.0000000000000007E-2</v>
      </c>
      <c r="C366" s="12">
        <f t="shared" si="103"/>
        <v>0.92999999999999994</v>
      </c>
      <c r="D366" s="11">
        <v>0.5</v>
      </c>
      <c r="E366" s="25">
        <f t="shared" si="104"/>
        <v>3.5000000000000003E-2</v>
      </c>
      <c r="F366" s="12">
        <f t="shared" si="105"/>
        <v>0.46499999999999997</v>
      </c>
      <c r="G366" s="11">
        <v>276.5</v>
      </c>
      <c r="H366" s="12">
        <v>15.7</v>
      </c>
      <c r="I366" s="29">
        <v>0.27</v>
      </c>
      <c r="J366" s="148">
        <v>5.5999999999999994E-2</v>
      </c>
      <c r="K366" s="151">
        <v>6.3</v>
      </c>
      <c r="L366" s="71"/>
      <c r="M366" s="92">
        <v>194.1941628556435</v>
      </c>
      <c r="N366" s="91">
        <f t="shared" si="106"/>
        <v>0.23690549589581847</v>
      </c>
      <c r="O366" s="91">
        <v>0.31416181765759321</v>
      </c>
      <c r="P366" s="86">
        <f t="shared" si="107"/>
        <v>0.16356228762071554</v>
      </c>
      <c r="Q366" s="150">
        <v>6.9555285551516549E-2</v>
      </c>
      <c r="R366">
        <f t="shared" si="108"/>
        <v>0.24205867056279565</v>
      </c>
      <c r="T366" s="152">
        <v>6.1223552556319163</v>
      </c>
      <c r="U366">
        <f t="shared" si="109"/>
        <v>2.819757847112437E-2</v>
      </c>
    </row>
    <row r="367" spans="1:23" x14ac:dyDescent="0.35">
      <c r="A367" s="143">
        <v>17</v>
      </c>
      <c r="B367" s="11">
        <v>7.0000000000000007E-2</v>
      </c>
      <c r="C367" s="12">
        <f t="shared" si="103"/>
        <v>0.92999999999999994</v>
      </c>
      <c r="D367" s="11">
        <v>0.5</v>
      </c>
      <c r="E367" s="25">
        <f t="shared" si="104"/>
        <v>3.5000000000000003E-2</v>
      </c>
      <c r="F367" s="12">
        <f t="shared" si="105"/>
        <v>0.46499999999999997</v>
      </c>
      <c r="G367" s="11">
        <v>276.7</v>
      </c>
      <c r="H367" s="12">
        <v>15.8</v>
      </c>
      <c r="I367" s="29">
        <v>0.26</v>
      </c>
      <c r="J367" s="148">
        <v>6.0999999999999999E-2</v>
      </c>
      <c r="K367" s="151">
        <v>5.8</v>
      </c>
      <c r="L367" s="71"/>
      <c r="M367" s="92">
        <v>200.19074030460695</v>
      </c>
      <c r="N367" s="91">
        <f t="shared" si="106"/>
        <v>0.26703000192789206</v>
      </c>
      <c r="O367" s="91">
        <v>0.31119650993916576</v>
      </c>
      <c r="P367" s="86">
        <f t="shared" si="107"/>
        <v>0.19690965361217594</v>
      </c>
      <c r="Q367" s="150">
        <v>6.9560369324264862E-2</v>
      </c>
      <c r="R367">
        <f t="shared" si="108"/>
        <v>0.14033392334860431</v>
      </c>
      <c r="T367" s="152">
        <v>6.0380237085888551</v>
      </c>
      <c r="U367">
        <f t="shared" si="109"/>
        <v>4.1038570446354353E-2</v>
      </c>
    </row>
    <row r="368" spans="1:23" x14ac:dyDescent="0.35">
      <c r="A368" s="143">
        <v>18</v>
      </c>
      <c r="B368" s="11">
        <v>7.0000000000000007E-2</v>
      </c>
      <c r="C368" s="12">
        <f t="shared" si="103"/>
        <v>0.92999999999999994</v>
      </c>
      <c r="D368" s="11">
        <v>0.5</v>
      </c>
      <c r="E368" s="25">
        <f t="shared" si="104"/>
        <v>3.5000000000000003E-2</v>
      </c>
      <c r="F368" s="12">
        <f t="shared" si="105"/>
        <v>0.46499999999999997</v>
      </c>
      <c r="G368" s="11">
        <v>276.8</v>
      </c>
      <c r="H368" s="12">
        <v>15.9</v>
      </c>
      <c r="I368" s="29"/>
      <c r="J368" s="148"/>
      <c r="K368" s="151"/>
      <c r="L368" s="71"/>
      <c r="M368" s="92">
        <v>203.30504989148923</v>
      </c>
      <c r="N368" s="91">
        <f t="shared" si="106"/>
        <v>0.27864811252508953</v>
      </c>
      <c r="O368" s="91">
        <v>0.30969587180738023</v>
      </c>
      <c r="P368" s="86"/>
      <c r="Q368" s="150">
        <v>6.9563426663886513E-2</v>
      </c>
      <c r="T368" s="152">
        <v>5.9955791066647963</v>
      </c>
      <c r="W368">
        <f>SUM(T362:T367)/6</f>
        <v>6.4132714940577147</v>
      </c>
    </row>
    <row r="369" spans="1:23" x14ac:dyDescent="0.35">
      <c r="A369" s="143">
        <v>19</v>
      </c>
      <c r="B369" s="11">
        <v>0.1</v>
      </c>
      <c r="C369" s="12">
        <f t="shared" si="103"/>
        <v>0.9</v>
      </c>
      <c r="D369" s="11">
        <v>0.5</v>
      </c>
      <c r="E369" s="25">
        <f t="shared" si="104"/>
        <v>0.05</v>
      </c>
      <c r="F369" s="12">
        <f t="shared" si="105"/>
        <v>0.45</v>
      </c>
      <c r="G369" s="11">
        <v>272</v>
      </c>
      <c r="H369" s="12">
        <v>9.6</v>
      </c>
      <c r="I369" s="29">
        <v>0.31</v>
      </c>
      <c r="J369" s="148">
        <v>5.6799999999999996E-2</v>
      </c>
      <c r="K369" s="151">
        <v>7.7</v>
      </c>
      <c r="L369" s="71"/>
      <c r="M369" s="92">
        <v>89.910210680505116</v>
      </c>
      <c r="N369" s="91">
        <f t="shared" si="106"/>
        <v>6.3435305411405046E-2</v>
      </c>
      <c r="O369" s="91">
        <v>0.47174902374633776</v>
      </c>
      <c r="P369" s="86">
        <f t="shared" si="107"/>
        <v>0.52177104434302501</v>
      </c>
      <c r="Q369" s="150">
        <v>9.9496553218767589E-2</v>
      </c>
      <c r="R369">
        <f t="shared" si="108"/>
        <v>0.75169988061210558</v>
      </c>
      <c r="T369" s="152">
        <v>8.0714940637098316</v>
      </c>
      <c r="U369">
        <f t="shared" si="109"/>
        <v>4.8245982299978105E-2</v>
      </c>
    </row>
    <row r="370" spans="1:23" x14ac:dyDescent="0.35">
      <c r="A370" s="143">
        <v>20</v>
      </c>
      <c r="B370" s="11">
        <v>0.1</v>
      </c>
      <c r="C370" s="12">
        <f t="shared" si="103"/>
        <v>0.9</v>
      </c>
      <c r="D370" s="11">
        <v>0.5</v>
      </c>
      <c r="E370" s="25">
        <f t="shared" si="104"/>
        <v>0.05</v>
      </c>
      <c r="F370" s="12">
        <f t="shared" si="105"/>
        <v>0.45</v>
      </c>
      <c r="G370" s="11">
        <v>272.60000000000002</v>
      </c>
      <c r="H370" s="12">
        <v>9.6</v>
      </c>
      <c r="I370" s="29">
        <v>0.31</v>
      </c>
      <c r="J370" s="148">
        <v>6.2300000000000008E-2</v>
      </c>
      <c r="K370" s="151">
        <v>6.8</v>
      </c>
      <c r="L370" s="71"/>
      <c r="M370" s="92">
        <v>96.263452876932348</v>
      </c>
      <c r="N370" s="91">
        <f t="shared" si="106"/>
        <v>2.7443008013786261E-3</v>
      </c>
      <c r="O370" s="91">
        <v>0.46517007761467405</v>
      </c>
      <c r="P370" s="86">
        <f t="shared" si="107"/>
        <v>0.50054863746669054</v>
      </c>
      <c r="Q370" s="150">
        <v>9.9479466489257845E-2</v>
      </c>
      <c r="R370">
        <f t="shared" si="108"/>
        <v>0.59678116355149013</v>
      </c>
      <c r="T370" s="152">
        <v>7.8629502842140058</v>
      </c>
      <c r="U370">
        <f t="shared" si="109"/>
        <v>0.15631621826676559</v>
      </c>
    </row>
    <row r="371" spans="1:23" x14ac:dyDescent="0.35">
      <c r="A371" s="143">
        <v>21</v>
      </c>
      <c r="B371" s="11">
        <v>0.1</v>
      </c>
      <c r="C371" s="12">
        <f t="shared" si="103"/>
        <v>0.9</v>
      </c>
      <c r="D371" s="11">
        <v>0.5</v>
      </c>
      <c r="E371" s="25">
        <f t="shared" si="104"/>
        <v>0.05</v>
      </c>
      <c r="F371" s="12">
        <f t="shared" si="105"/>
        <v>0.45</v>
      </c>
      <c r="G371" s="11">
        <v>273.3</v>
      </c>
      <c r="H371" s="12">
        <v>9.6999999999999993</v>
      </c>
      <c r="I371" s="29">
        <v>0.33</v>
      </c>
      <c r="J371" s="148">
        <v>6.7000000000000004E-2</v>
      </c>
      <c r="K371" s="151">
        <v>7</v>
      </c>
      <c r="L371" s="71"/>
      <c r="M371" s="92">
        <v>104.43204597927189</v>
      </c>
      <c r="N371" s="91">
        <f t="shared" si="106"/>
        <v>7.6619030714143208E-2</v>
      </c>
      <c r="O371" s="91">
        <v>0.45711699394629268</v>
      </c>
      <c r="P371" s="86">
        <f t="shared" si="107"/>
        <v>0.38520301195846263</v>
      </c>
      <c r="Q371" s="150">
        <v>9.9459535326898788E-2</v>
      </c>
      <c r="R371">
        <f t="shared" si="108"/>
        <v>0.48447067652087733</v>
      </c>
      <c r="T371" s="152">
        <v>7.6143433304178254</v>
      </c>
      <c r="U371">
        <f t="shared" si="109"/>
        <v>8.7763332916832207E-2</v>
      </c>
    </row>
    <row r="372" spans="1:23" x14ac:dyDescent="0.35">
      <c r="A372" s="143">
        <v>22</v>
      </c>
      <c r="B372" s="11">
        <v>0.1</v>
      </c>
      <c r="C372" s="12">
        <f t="shared" si="103"/>
        <v>0.9</v>
      </c>
      <c r="D372" s="11">
        <v>0.5</v>
      </c>
      <c r="E372" s="25">
        <f t="shared" si="104"/>
        <v>0.05</v>
      </c>
      <c r="F372" s="12">
        <f t="shared" si="105"/>
        <v>0.45</v>
      </c>
      <c r="G372" s="11">
        <v>273.60000000000002</v>
      </c>
      <c r="H372" s="12">
        <v>9.6999999999999993</v>
      </c>
      <c r="I372" s="29">
        <v>0.35700000000000004</v>
      </c>
      <c r="J372" s="148">
        <v>7.400000000000001E-2</v>
      </c>
      <c r="K372" s="151">
        <v>6.4</v>
      </c>
      <c r="L372" s="71"/>
      <c r="M372" s="92">
        <v>108.2141328556018</v>
      </c>
      <c r="N372" s="91">
        <f t="shared" si="106"/>
        <v>0.11560961706805983</v>
      </c>
      <c r="O372" s="91">
        <v>0.45353204973084765</v>
      </c>
      <c r="P372" s="86">
        <f t="shared" si="107"/>
        <v>0.27039789840573558</v>
      </c>
      <c r="Q372" s="150">
        <v>9.9451177030820292E-2</v>
      </c>
      <c r="R372">
        <f t="shared" si="108"/>
        <v>0.3439348247408146</v>
      </c>
      <c r="T372" s="152">
        <v>7.505944091353407</v>
      </c>
      <c r="U372">
        <f t="shared" si="109"/>
        <v>0.17280376427396979</v>
      </c>
    </row>
    <row r="373" spans="1:23" x14ac:dyDescent="0.35">
      <c r="A373" s="143">
        <v>23</v>
      </c>
      <c r="B373" s="11">
        <v>0.1</v>
      </c>
      <c r="C373" s="12">
        <f t="shared" si="103"/>
        <v>0.9</v>
      </c>
      <c r="D373" s="11">
        <v>0.5</v>
      </c>
      <c r="E373" s="25">
        <f t="shared" si="104"/>
        <v>0.05</v>
      </c>
      <c r="F373" s="12">
        <f t="shared" si="105"/>
        <v>0.45</v>
      </c>
      <c r="G373" s="11">
        <v>273.8</v>
      </c>
      <c r="H373" s="12">
        <v>9.74</v>
      </c>
      <c r="I373" s="29"/>
      <c r="J373" s="148"/>
      <c r="K373" s="151" t="s">
        <v>77</v>
      </c>
      <c r="L373" s="71"/>
      <c r="M373" s="92">
        <v>110.83857387387286</v>
      </c>
      <c r="N373" s="91">
        <f t="shared" si="106"/>
        <v>0.13797303771943384</v>
      </c>
      <c r="O373" s="91">
        <v>0.45109488048679108</v>
      </c>
      <c r="P373" s="86"/>
      <c r="Q373" s="150">
        <v>9.9445671108128283E-2</v>
      </c>
      <c r="T373" s="152">
        <v>7.4330341359781658</v>
      </c>
      <c r="W373">
        <f>SUM(T369:T372)/4</f>
        <v>7.7636829424237668</v>
      </c>
    </row>
    <row r="374" spans="1:23" x14ac:dyDescent="0.35">
      <c r="A374" s="143">
        <v>24</v>
      </c>
      <c r="B374" s="11">
        <v>0.1</v>
      </c>
      <c r="C374" s="12">
        <f t="shared" si="103"/>
        <v>0.9</v>
      </c>
      <c r="D374" s="11">
        <v>0.5</v>
      </c>
      <c r="E374" s="25">
        <f t="shared" si="104"/>
        <v>0.05</v>
      </c>
      <c r="F374" s="12">
        <f t="shared" si="105"/>
        <v>0.45</v>
      </c>
      <c r="G374" s="11">
        <v>271.2</v>
      </c>
      <c r="H374" s="12">
        <v>10.5</v>
      </c>
      <c r="I374" s="29">
        <v>0.251</v>
      </c>
      <c r="J374" s="148">
        <v>4.4999999999999998E-2</v>
      </c>
      <c r="K374" s="151">
        <v>7.1</v>
      </c>
      <c r="L374" s="71"/>
      <c r="M374" s="92">
        <v>82.241149417550574</v>
      </c>
      <c r="N374" s="91">
        <f t="shared" si="106"/>
        <v>0.21675095792808979</v>
      </c>
      <c r="O374" s="91">
        <v>0.48009642081129161</v>
      </c>
      <c r="P374" s="86">
        <f t="shared" si="107"/>
        <v>0.91273474426809409</v>
      </c>
      <c r="Q374" s="150">
        <v>9.9518650154632224E-2</v>
      </c>
      <c r="R374">
        <f t="shared" si="108"/>
        <v>1.2115255589918272</v>
      </c>
      <c r="T374" s="152">
        <v>8.3434934063862709</v>
      </c>
      <c r="U374">
        <f t="shared" si="109"/>
        <v>0.17513991639243259</v>
      </c>
    </row>
    <row r="375" spans="1:23" x14ac:dyDescent="0.35">
      <c r="A375" s="143">
        <v>25</v>
      </c>
      <c r="B375" s="11">
        <v>0.1</v>
      </c>
      <c r="C375" s="12">
        <f t="shared" si="103"/>
        <v>0.9</v>
      </c>
      <c r="D375" s="11">
        <v>0.5</v>
      </c>
      <c r="E375" s="25">
        <f t="shared" si="104"/>
        <v>0.05</v>
      </c>
      <c r="F375" s="12">
        <f t="shared" si="105"/>
        <v>0.45</v>
      </c>
      <c r="G375" s="11">
        <v>273.2</v>
      </c>
      <c r="H375" s="12">
        <v>10.8</v>
      </c>
      <c r="I375" s="29">
        <v>0.29100000000000004</v>
      </c>
      <c r="J375" s="148">
        <v>6.3E-2</v>
      </c>
      <c r="K375" s="151">
        <v>6.1</v>
      </c>
      <c r="L375" s="71"/>
      <c r="M375" s="92">
        <v>103.21063682831452</v>
      </c>
      <c r="N375" s="91">
        <f t="shared" si="106"/>
        <v>4.4345955293384073E-2</v>
      </c>
      <c r="O375" s="91">
        <v>0.45829350589519485</v>
      </c>
      <c r="P375" s="86">
        <f t="shared" si="107"/>
        <v>0.5748917728357209</v>
      </c>
      <c r="Q375" s="150">
        <v>9.9462313880591804E-2</v>
      </c>
      <c r="R375">
        <f t="shared" si="108"/>
        <v>0.57876688699352075</v>
      </c>
      <c r="T375" s="152">
        <v>7.6502259369475176</v>
      </c>
      <c r="U375">
        <f t="shared" si="109"/>
        <v>0.25413539949959313</v>
      </c>
    </row>
    <row r="376" spans="1:23" x14ac:dyDescent="0.35">
      <c r="A376" s="143">
        <v>26</v>
      </c>
      <c r="B376" s="11">
        <v>0.1</v>
      </c>
      <c r="C376" s="12">
        <f t="shared" si="103"/>
        <v>0.9</v>
      </c>
      <c r="D376" s="11">
        <v>0.5</v>
      </c>
      <c r="E376" s="25">
        <f t="shared" si="104"/>
        <v>0.05</v>
      </c>
      <c r="F376" s="12">
        <f t="shared" si="105"/>
        <v>0.45</v>
      </c>
      <c r="G376" s="11">
        <v>273.39999999999998</v>
      </c>
      <c r="H376" s="12">
        <v>10.8</v>
      </c>
      <c r="I376" s="29">
        <v>0.307</v>
      </c>
      <c r="J376" s="148">
        <v>6.4899999999999999E-2</v>
      </c>
      <c r="K376" s="151">
        <v>6.4</v>
      </c>
      <c r="L376" s="71"/>
      <c r="M376" s="92">
        <v>105.67279958257495</v>
      </c>
      <c r="N376" s="91">
        <f t="shared" si="106"/>
        <v>2.1548152013194877E-2</v>
      </c>
      <c r="O376" s="91">
        <v>0.45593124428388765</v>
      </c>
      <c r="P376" s="86">
        <f t="shared" si="107"/>
        <v>0.48511805955663734</v>
      </c>
      <c r="Q376" s="150">
        <v>9.9456729787366513E-2</v>
      </c>
      <c r="R376">
        <f t="shared" si="108"/>
        <v>0.53246116775603258</v>
      </c>
      <c r="T376" s="152">
        <v>7.5783374788958939</v>
      </c>
      <c r="U376">
        <f t="shared" si="109"/>
        <v>0.18411523107748337</v>
      </c>
    </row>
    <row r="377" spans="1:23" x14ac:dyDescent="0.35">
      <c r="A377" s="143">
        <v>27</v>
      </c>
      <c r="B377" s="11">
        <v>0.1</v>
      </c>
      <c r="C377" s="12">
        <f t="shared" si="103"/>
        <v>0.9</v>
      </c>
      <c r="D377" s="11">
        <v>0.5</v>
      </c>
      <c r="E377" s="25">
        <f t="shared" si="104"/>
        <v>0.05</v>
      </c>
      <c r="F377" s="12">
        <f t="shared" si="105"/>
        <v>0.45</v>
      </c>
      <c r="G377" s="11">
        <v>273.60000000000002</v>
      </c>
      <c r="H377" s="12">
        <v>10.8</v>
      </c>
      <c r="I377" s="29">
        <v>0.315</v>
      </c>
      <c r="J377" s="148">
        <v>6.4000000000000001E-2</v>
      </c>
      <c r="K377" s="151">
        <v>6.7</v>
      </c>
      <c r="L377" s="71"/>
      <c r="M377" s="92">
        <v>108.21413285521605</v>
      </c>
      <c r="N377" s="91">
        <f t="shared" si="106"/>
        <v>1.9827116223708348E-3</v>
      </c>
      <c r="O377" s="91">
        <v>0.4535320497328289</v>
      </c>
      <c r="P377" s="86">
        <f t="shared" si="107"/>
        <v>0.43978428486612348</v>
      </c>
      <c r="Q377" s="150">
        <v>9.9451177031378971E-2</v>
      </c>
      <c r="R377">
        <f t="shared" si="108"/>
        <v>0.55392464111529638</v>
      </c>
      <c r="T377" s="152">
        <v>7.5059440913386251</v>
      </c>
      <c r="U377">
        <f t="shared" si="109"/>
        <v>0.12029016288636192</v>
      </c>
    </row>
    <row r="378" spans="1:23" x14ac:dyDescent="0.35">
      <c r="A378" s="143">
        <v>28</v>
      </c>
      <c r="B378" s="11">
        <v>0.1</v>
      </c>
      <c r="C378" s="12">
        <f t="shared" si="103"/>
        <v>0.9</v>
      </c>
      <c r="D378" s="11">
        <v>0.5</v>
      </c>
      <c r="E378" s="25">
        <f t="shared" si="104"/>
        <v>0.05</v>
      </c>
      <c r="F378" s="12">
        <f t="shared" si="105"/>
        <v>0.45</v>
      </c>
      <c r="G378" s="11">
        <v>274</v>
      </c>
      <c r="H378" s="12">
        <v>11</v>
      </c>
      <c r="I378" s="29">
        <v>0.33</v>
      </c>
      <c r="J378" s="148">
        <v>7.400000000000001E-2</v>
      </c>
      <c r="K378" s="151">
        <v>6.3</v>
      </c>
      <c r="L378" s="71"/>
      <c r="M378" s="92">
        <v>113.55026873281793</v>
      </c>
      <c r="N378" s="91">
        <f t="shared" si="106"/>
        <v>3.2275170298344785E-2</v>
      </c>
      <c r="O378" s="91">
        <v>0.44861905052328865</v>
      </c>
      <c r="P378" s="86">
        <f t="shared" si="107"/>
        <v>0.35945166825238978</v>
      </c>
      <c r="Q378" s="150">
        <v>9.9440339454063609E-2</v>
      </c>
      <c r="R378">
        <f t="shared" si="108"/>
        <v>0.34378837100085941</v>
      </c>
      <c r="T378" s="152">
        <v>7.3595916404914705</v>
      </c>
      <c r="U378">
        <f t="shared" si="109"/>
        <v>0.16818914928436043</v>
      </c>
    </row>
    <row r="379" spans="1:23" x14ac:dyDescent="0.35">
      <c r="A379" s="143">
        <v>29</v>
      </c>
      <c r="B379" s="11">
        <v>0.1</v>
      </c>
      <c r="C379" s="12">
        <f t="shared" si="103"/>
        <v>0.9</v>
      </c>
      <c r="D379" s="11">
        <v>0.5</v>
      </c>
      <c r="E379" s="25">
        <f t="shared" si="104"/>
        <v>0.05</v>
      </c>
      <c r="F379" s="12">
        <f t="shared" si="105"/>
        <v>0.45</v>
      </c>
      <c r="G379" s="11">
        <v>274.2</v>
      </c>
      <c r="H379" s="12">
        <v>11</v>
      </c>
      <c r="I379" s="29">
        <v>0.39</v>
      </c>
      <c r="J379" s="148">
        <v>7.9000000000000001E-2</v>
      </c>
      <c r="K379" s="151">
        <v>7.4</v>
      </c>
      <c r="L379" s="71"/>
      <c r="M379" s="92">
        <v>116.35374678440559</v>
      </c>
      <c r="N379" s="91">
        <f t="shared" si="106"/>
        <v>5.7761334403687151E-2</v>
      </c>
      <c r="O379" s="91">
        <v>0.4461034695928171</v>
      </c>
      <c r="P379" s="86">
        <f t="shared" si="107"/>
        <v>0.14385505023799253</v>
      </c>
      <c r="Q379" s="150">
        <v>9.9435220154610787E-2</v>
      </c>
      <c r="R379">
        <f t="shared" si="108"/>
        <v>0.2586736728431745</v>
      </c>
      <c r="T379" s="152">
        <v>7.2856043348520823</v>
      </c>
      <c r="U379">
        <f t="shared" si="109"/>
        <v>1.5458873668637581E-2</v>
      </c>
    </row>
    <row r="380" spans="1:23" x14ac:dyDescent="0.35">
      <c r="A380" s="143">
        <v>30</v>
      </c>
      <c r="B380" s="11">
        <v>0.1</v>
      </c>
      <c r="C380" s="12">
        <f t="shared" si="103"/>
        <v>0.9</v>
      </c>
      <c r="D380" s="11">
        <v>0.5</v>
      </c>
      <c r="E380" s="25">
        <f t="shared" si="104"/>
        <v>0.05</v>
      </c>
      <c r="F380" s="12">
        <f t="shared" si="105"/>
        <v>0.45</v>
      </c>
      <c r="G380" s="11">
        <v>274.7</v>
      </c>
      <c r="H380" s="12">
        <v>11.1</v>
      </c>
      <c r="I380" s="29">
        <v>0.4</v>
      </c>
      <c r="J380" s="148">
        <v>8.3000000000000004E-2</v>
      </c>
      <c r="K380" s="151">
        <v>7.2</v>
      </c>
      <c r="L380" s="71"/>
      <c r="M380" s="92">
        <v>123.79743584884345</v>
      </c>
      <c r="N380" s="91">
        <f t="shared" si="106"/>
        <v>0.11529221485444549</v>
      </c>
      <c r="O380" s="91">
        <v>0.43963123708446594</v>
      </c>
      <c r="P380" s="86">
        <f t="shared" si="107"/>
        <v>9.90780927111648E-2</v>
      </c>
      <c r="Q380" s="150">
        <v>9.9423102604448602E-2</v>
      </c>
      <c r="R380">
        <f t="shared" si="108"/>
        <v>0.19786870607769394</v>
      </c>
      <c r="T380" s="152">
        <v>7.0981815948589073</v>
      </c>
      <c r="U380">
        <f t="shared" si="109"/>
        <v>1.414144515848512E-2</v>
      </c>
    </row>
    <row r="381" spans="1:23" x14ac:dyDescent="0.35">
      <c r="A381" s="143">
        <v>31</v>
      </c>
      <c r="B381" s="11">
        <v>0.1</v>
      </c>
      <c r="C381" s="12">
        <f t="shared" si="103"/>
        <v>0.9</v>
      </c>
      <c r="D381" s="11">
        <v>0.5</v>
      </c>
      <c r="E381" s="25">
        <f t="shared" si="104"/>
        <v>0.05</v>
      </c>
      <c r="F381" s="12">
        <f t="shared" si="105"/>
        <v>0.45</v>
      </c>
      <c r="G381" s="11">
        <v>275</v>
      </c>
      <c r="H381" s="12">
        <v>11.1</v>
      </c>
      <c r="I381" s="29"/>
      <c r="J381" s="148"/>
      <c r="K381" s="151" t="s">
        <v>77</v>
      </c>
      <c r="L381" s="71"/>
      <c r="M381" s="92">
        <v>128.59007175355242</v>
      </c>
      <c r="N381" s="91">
        <f t="shared" si="106"/>
        <v>0.15846911489686868</v>
      </c>
      <c r="O381" s="91">
        <v>0.43561682026190762</v>
      </c>
      <c r="P381" s="86"/>
      <c r="Q381" s="150">
        <v>9.9416744155547201E-2</v>
      </c>
      <c r="T381" s="152">
        <v>6.9839667667521441</v>
      </c>
      <c r="W381">
        <f>SUM(T374:T380)/7</f>
        <v>7.5459112119672529</v>
      </c>
    </row>
    <row r="382" spans="1:23" x14ac:dyDescent="0.35">
      <c r="A382" s="143">
        <v>32</v>
      </c>
      <c r="B382" s="11">
        <v>0.1</v>
      </c>
      <c r="C382" s="12">
        <f t="shared" si="103"/>
        <v>0.9</v>
      </c>
      <c r="D382" s="11">
        <v>0.5</v>
      </c>
      <c r="E382" s="25">
        <f t="shared" si="104"/>
        <v>0.05</v>
      </c>
      <c r="F382" s="12">
        <f t="shared" si="105"/>
        <v>0.45</v>
      </c>
      <c r="G382" s="11">
        <v>271.5</v>
      </c>
      <c r="H382" s="12">
        <v>12.4</v>
      </c>
      <c r="I382" s="29">
        <v>0.25</v>
      </c>
      <c r="J382" s="148">
        <v>4.2999999999999997E-2</v>
      </c>
      <c r="K382" s="151">
        <v>7.4</v>
      </c>
      <c r="L382" s="71"/>
      <c r="M382" s="92">
        <v>85.017520343865087</v>
      </c>
      <c r="N382" s="91">
        <f t="shared" si="106"/>
        <v>0.31437483593657184</v>
      </c>
      <c r="O382" s="91">
        <v>0.47702027362453669</v>
      </c>
      <c r="P382" s="86">
        <f t="shared" si="107"/>
        <v>0.90808109449814678</v>
      </c>
      <c r="Q382" s="150">
        <v>9.9510478404851263E-2</v>
      </c>
      <c r="R382">
        <f t="shared" si="108"/>
        <v>1.3141971722058434</v>
      </c>
      <c r="T382" s="152">
        <v>8.2422760008202758</v>
      </c>
      <c r="U382">
        <f t="shared" si="109"/>
        <v>0.1138210811919291</v>
      </c>
    </row>
    <row r="383" spans="1:23" x14ac:dyDescent="0.35">
      <c r="A383" s="143">
        <v>33</v>
      </c>
      <c r="B383" s="11">
        <v>0.1</v>
      </c>
      <c r="C383" s="12">
        <f t="shared" si="103"/>
        <v>0.9</v>
      </c>
      <c r="D383" s="11">
        <v>0.5</v>
      </c>
      <c r="E383" s="25">
        <f t="shared" si="104"/>
        <v>0.05</v>
      </c>
      <c r="F383" s="12">
        <f t="shared" si="105"/>
        <v>0.45</v>
      </c>
      <c r="G383" s="11">
        <v>272.3</v>
      </c>
      <c r="H383" s="12">
        <v>12.4</v>
      </c>
      <c r="I383" s="29">
        <v>0.22100000000000003</v>
      </c>
      <c r="J383" s="148">
        <v>4.7E-2</v>
      </c>
      <c r="K383" s="151">
        <v>5.7</v>
      </c>
      <c r="L383" s="71"/>
      <c r="M383" s="92">
        <v>93.017395719313683</v>
      </c>
      <c r="N383" s="91">
        <f t="shared" si="106"/>
        <v>0.24985971194101869</v>
      </c>
      <c r="O383" s="91">
        <v>0.46849514945887799</v>
      </c>
      <c r="P383" s="86">
        <f t="shared" si="107"/>
        <v>1.1198875541125699</v>
      </c>
      <c r="Q383" s="150">
        <v>9.9488011214407909E-2</v>
      </c>
      <c r="R383">
        <f t="shared" si="108"/>
        <v>1.1167661960512321</v>
      </c>
      <c r="T383" s="152">
        <v>7.9677304292466973</v>
      </c>
      <c r="U383">
        <f t="shared" si="109"/>
        <v>0.3978474437274907</v>
      </c>
    </row>
    <row r="384" spans="1:23" x14ac:dyDescent="0.35">
      <c r="A384" s="143">
        <v>34</v>
      </c>
      <c r="B384" s="11">
        <v>0.1</v>
      </c>
      <c r="C384" s="12">
        <f t="shared" si="103"/>
        <v>0.9</v>
      </c>
      <c r="D384" s="11">
        <v>0.5</v>
      </c>
      <c r="E384" s="25">
        <f t="shared" si="104"/>
        <v>0.05</v>
      </c>
      <c r="F384" s="12">
        <f t="shared" si="105"/>
        <v>0.45</v>
      </c>
      <c r="G384" s="11">
        <v>273.5</v>
      </c>
      <c r="H384" s="12">
        <v>12.4</v>
      </c>
      <c r="I384" s="29">
        <v>0.28000000000000003</v>
      </c>
      <c r="J384" s="148">
        <v>5.5999999999999994E-2</v>
      </c>
      <c r="K384" s="151">
        <v>6.7</v>
      </c>
      <c r="L384" s="71"/>
      <c r="M384" s="92">
        <v>106.93333450192871</v>
      </c>
      <c r="N384" s="91">
        <f t="shared" si="106"/>
        <v>0.13763439917799425</v>
      </c>
      <c r="O384" s="91">
        <v>0.4547363051058938</v>
      </c>
      <c r="P384" s="86">
        <f t="shared" si="107"/>
        <v>0.62405823252104908</v>
      </c>
      <c r="Q384" s="150">
        <v>9.9453942701430653E-2</v>
      </c>
      <c r="R384">
        <f t="shared" si="108"/>
        <v>0.77596326252554759</v>
      </c>
      <c r="T384" s="152">
        <v>7.5422048742604151</v>
      </c>
      <c r="U384">
        <f t="shared" si="109"/>
        <v>0.12570222003886788</v>
      </c>
    </row>
    <row r="385" spans="1:23" x14ac:dyDescent="0.35">
      <c r="A385" s="143">
        <v>35</v>
      </c>
      <c r="B385" s="11">
        <v>0.1</v>
      </c>
      <c r="C385" s="12">
        <f t="shared" si="103"/>
        <v>0.9</v>
      </c>
      <c r="D385" s="11">
        <v>0.5</v>
      </c>
      <c r="E385" s="25">
        <f t="shared" si="104"/>
        <v>0.05</v>
      </c>
      <c r="F385" s="12">
        <f t="shared" si="105"/>
        <v>0.45</v>
      </c>
      <c r="G385" s="11">
        <v>274.5</v>
      </c>
      <c r="H385" s="12">
        <v>12.6</v>
      </c>
      <c r="I385" s="29">
        <v>0.31</v>
      </c>
      <c r="J385" s="148">
        <v>5.7999999999999996E-2</v>
      </c>
      <c r="K385" s="151">
        <v>7.4</v>
      </c>
      <c r="L385" s="71"/>
      <c r="M385" s="92">
        <v>120.74201627519167</v>
      </c>
      <c r="N385" s="91">
        <f t="shared" si="106"/>
        <v>4.1730029561970847E-2</v>
      </c>
      <c r="O385" s="91">
        <v>0.44225232234220957</v>
      </c>
      <c r="P385" s="86">
        <f t="shared" si="107"/>
        <v>0.42662039465228896</v>
      </c>
      <c r="Q385" s="150">
        <v>9.9427814933489067E-2</v>
      </c>
      <c r="R385">
        <f t="shared" si="108"/>
        <v>0.71427267126705296</v>
      </c>
      <c r="T385" s="152">
        <v>7.1735800705036805</v>
      </c>
      <c r="U385">
        <f t="shared" si="109"/>
        <v>3.0597287769772951E-2</v>
      </c>
    </row>
    <row r="386" spans="1:23" x14ac:dyDescent="0.35">
      <c r="A386" s="143">
        <v>36</v>
      </c>
      <c r="B386" s="11">
        <v>0.1</v>
      </c>
      <c r="C386" s="12">
        <f t="shared" si="103"/>
        <v>0.9</v>
      </c>
      <c r="D386" s="11">
        <v>0.5</v>
      </c>
      <c r="E386" s="25">
        <f t="shared" si="104"/>
        <v>0.05</v>
      </c>
      <c r="F386" s="12">
        <f t="shared" si="105"/>
        <v>0.45</v>
      </c>
      <c r="G386" s="11">
        <v>275.3</v>
      </c>
      <c r="H386" s="12">
        <v>12.8</v>
      </c>
      <c r="I386" s="29">
        <v>0.32700000000000001</v>
      </c>
      <c r="J386" s="148">
        <v>6.8000000000000005E-2</v>
      </c>
      <c r="K386" s="151">
        <v>6.7</v>
      </c>
      <c r="L386" s="71"/>
      <c r="M386" s="92">
        <v>133.65433116772576</v>
      </c>
      <c r="N386" s="91">
        <f t="shared" si="106"/>
        <v>4.4174462247857482E-2</v>
      </c>
      <c r="O386" s="91">
        <v>0.43149797414276175</v>
      </c>
      <c r="P386" s="86">
        <f t="shared" si="107"/>
        <v>0.3195656701613509</v>
      </c>
      <c r="Q386" s="150">
        <v>9.9411097356294748E-2</v>
      </c>
      <c r="R386">
        <f t="shared" si="108"/>
        <v>0.46192790229845204</v>
      </c>
      <c r="T386" s="152">
        <v>6.8683724235331542</v>
      </c>
      <c r="U386">
        <f t="shared" si="109"/>
        <v>2.5130212467634937E-2</v>
      </c>
    </row>
    <row r="387" spans="1:23" x14ac:dyDescent="0.35">
      <c r="A387" s="143">
        <v>37</v>
      </c>
      <c r="B387" s="11">
        <v>0.1</v>
      </c>
      <c r="C387" s="12">
        <f t="shared" si="103"/>
        <v>0.9</v>
      </c>
      <c r="D387" s="11">
        <v>0.5</v>
      </c>
      <c r="E387" s="25">
        <f t="shared" si="104"/>
        <v>0.05</v>
      </c>
      <c r="F387" s="12">
        <f t="shared" si="105"/>
        <v>0.45</v>
      </c>
      <c r="G387" s="11">
        <v>275.7</v>
      </c>
      <c r="H387" s="12">
        <v>12.9</v>
      </c>
      <c r="I387" s="29"/>
      <c r="J387" s="148"/>
      <c r="K387" s="151" t="s">
        <v>77</v>
      </c>
      <c r="L387" s="71"/>
      <c r="M387" s="92">
        <v>140.87336045376992</v>
      </c>
      <c r="N387" s="91">
        <f t="shared" si="106"/>
        <v>9.2041553905193169E-2</v>
      </c>
      <c r="O387" s="91">
        <v>0.425835166386345</v>
      </c>
      <c r="P387" s="86"/>
      <c r="Q387" s="150">
        <v>9.9405012099908013E-2</v>
      </c>
      <c r="T387" s="152">
        <v>6.7120008491332248</v>
      </c>
      <c r="W387">
        <f>SUM(T382:T386)/5</f>
        <v>7.5588327596728444</v>
      </c>
    </row>
    <row r="388" spans="1:23" x14ac:dyDescent="0.35">
      <c r="A388" s="143">
        <v>38</v>
      </c>
      <c r="B388" s="11">
        <v>0.2</v>
      </c>
      <c r="C388" s="12">
        <f t="shared" si="103"/>
        <v>0.8</v>
      </c>
      <c r="D388" s="11">
        <v>0.5</v>
      </c>
      <c r="E388" s="25">
        <f t="shared" si="104"/>
        <v>0.1</v>
      </c>
      <c r="F388" s="12">
        <f t="shared" si="105"/>
        <v>0.4</v>
      </c>
      <c r="G388" s="11">
        <v>276.8</v>
      </c>
      <c r="H388" s="12">
        <v>11.2</v>
      </c>
      <c r="I388" s="29">
        <v>0.57000000000000006</v>
      </c>
      <c r="J388" s="148">
        <v>0.161</v>
      </c>
      <c r="K388" s="151">
        <v>6.9</v>
      </c>
      <c r="L388" s="71"/>
      <c r="M388" s="92">
        <v>96.811690346730131</v>
      </c>
      <c r="N388" s="91">
        <f t="shared" si="106"/>
        <v>0.13560990761848096</v>
      </c>
      <c r="O388" s="91">
        <v>0.6316143593301784</v>
      </c>
      <c r="P388" s="86">
        <f t="shared" si="107"/>
        <v>0.10809536724592689</v>
      </c>
      <c r="Q388" s="150">
        <v>0.19907635523441708</v>
      </c>
      <c r="R388">
        <f t="shared" si="108"/>
        <v>0.23649910083488865</v>
      </c>
      <c r="T388" s="152">
        <v>6.8844403898012025</v>
      </c>
      <c r="U388">
        <f t="shared" si="109"/>
        <v>2.2550159708402628E-3</v>
      </c>
    </row>
    <row r="389" spans="1:23" x14ac:dyDescent="0.35">
      <c r="A389" s="143">
        <v>39</v>
      </c>
      <c r="B389" s="11">
        <v>0.2</v>
      </c>
      <c r="C389" s="12">
        <f t="shared" si="103"/>
        <v>0.8</v>
      </c>
      <c r="D389" s="11">
        <v>0.5</v>
      </c>
      <c r="E389" s="25">
        <f t="shared" si="104"/>
        <v>0.1</v>
      </c>
      <c r="F389" s="12">
        <f t="shared" si="105"/>
        <v>0.4</v>
      </c>
      <c r="G389" s="11">
        <v>276.89999999999998</v>
      </c>
      <c r="H389" s="12">
        <v>11.2</v>
      </c>
      <c r="I389" s="29">
        <v>0.56399999999999995</v>
      </c>
      <c r="J389" s="148">
        <v>0.158</v>
      </c>
      <c r="K389" s="151">
        <v>6.9</v>
      </c>
      <c r="L389" s="71"/>
      <c r="M389" s="92">
        <v>98.021581111399129</v>
      </c>
      <c r="N389" s="91">
        <f t="shared" si="106"/>
        <v>0.12480731150536492</v>
      </c>
      <c r="O389" s="91">
        <v>0.63037064972638235</v>
      </c>
      <c r="P389" s="86">
        <f t="shared" si="107"/>
        <v>0.11767845696167094</v>
      </c>
      <c r="Q389" s="150">
        <v>0.19907379478369039</v>
      </c>
      <c r="R389">
        <f t="shared" si="108"/>
        <v>0.25996072647905311</v>
      </c>
      <c r="T389" s="152">
        <v>6.847977039631397</v>
      </c>
      <c r="U389">
        <f t="shared" si="109"/>
        <v>7.5395594737106258E-3</v>
      </c>
    </row>
    <row r="390" spans="1:23" x14ac:dyDescent="0.35">
      <c r="A390" s="143">
        <v>40</v>
      </c>
      <c r="B390" s="11">
        <v>0.2</v>
      </c>
      <c r="C390" s="12">
        <f t="shared" si="103"/>
        <v>0.8</v>
      </c>
      <c r="D390" s="11">
        <v>0.5</v>
      </c>
      <c r="E390" s="25">
        <f t="shared" si="104"/>
        <v>0.1</v>
      </c>
      <c r="F390" s="12">
        <f t="shared" si="105"/>
        <v>0.4</v>
      </c>
      <c r="G390" s="11">
        <v>277.2</v>
      </c>
      <c r="H390" s="12">
        <v>11.2</v>
      </c>
      <c r="I390" s="29">
        <v>0.56299999999999994</v>
      </c>
      <c r="J390" s="148">
        <v>0.14899999999999999</v>
      </c>
      <c r="K390" s="151">
        <v>7.4</v>
      </c>
      <c r="L390" s="71"/>
      <c r="M390" s="92">
        <v>101.78183420148483</v>
      </c>
      <c r="N390" s="91">
        <f t="shared" si="106"/>
        <v>9.1233623201028333E-2</v>
      </c>
      <c r="O390" s="91">
        <v>0.62654909177228113</v>
      </c>
      <c r="P390" s="86">
        <f t="shared" si="107"/>
        <v>0.11287582908042841</v>
      </c>
      <c r="Q390" s="150">
        <v>0.19906641511313369</v>
      </c>
      <c r="R390">
        <f t="shared" si="108"/>
        <v>0.33601620881297789</v>
      </c>
      <c r="T390" s="152">
        <v>6.737414797663809</v>
      </c>
      <c r="U390">
        <f t="shared" si="109"/>
        <v>8.9538540856242063E-2</v>
      </c>
    </row>
    <row r="391" spans="1:23" x14ac:dyDescent="0.35">
      <c r="A391" s="143">
        <v>41</v>
      </c>
      <c r="B391" s="11">
        <v>0.2</v>
      </c>
      <c r="C391" s="12">
        <f t="shared" si="103"/>
        <v>0.8</v>
      </c>
      <c r="D391" s="11">
        <v>0.5</v>
      </c>
      <c r="E391" s="25">
        <f t="shared" si="104"/>
        <v>0.1</v>
      </c>
      <c r="F391" s="12">
        <f t="shared" si="105"/>
        <v>0.4</v>
      </c>
      <c r="G391" s="11">
        <v>277.5</v>
      </c>
      <c r="H391" s="12">
        <v>11.1</v>
      </c>
      <c r="I391" s="29">
        <v>0.54</v>
      </c>
      <c r="J391" s="148">
        <v>0.14699999999999999</v>
      </c>
      <c r="K391" s="151">
        <v>7.1</v>
      </c>
      <c r="L391" s="71"/>
      <c r="M391" s="92">
        <v>105.75155356171017</v>
      </c>
      <c r="N391" s="91">
        <f t="shared" si="106"/>
        <v>4.7283301245854351E-2</v>
      </c>
      <c r="O391" s="91">
        <v>0.62258495981913964</v>
      </c>
      <c r="P391" s="86">
        <f t="shared" si="107"/>
        <v>0.15293511077618444</v>
      </c>
      <c r="Q391" s="150">
        <v>0.19905969281178812</v>
      </c>
      <c r="R391">
        <f t="shared" si="108"/>
        <v>0.35414757014821857</v>
      </c>
      <c r="T391" s="152">
        <v>6.625020844939626</v>
      </c>
      <c r="U391">
        <f t="shared" si="109"/>
        <v>6.6898472543714602E-2</v>
      </c>
    </row>
    <row r="392" spans="1:23" x14ac:dyDescent="0.35">
      <c r="A392" s="143">
        <v>42</v>
      </c>
      <c r="B392" s="11">
        <v>0.2</v>
      </c>
      <c r="C392" s="12">
        <f t="shared" si="103"/>
        <v>0.8</v>
      </c>
      <c r="D392" s="11">
        <v>0.5</v>
      </c>
      <c r="E392" s="25">
        <f t="shared" si="104"/>
        <v>0.1</v>
      </c>
      <c r="F392" s="12">
        <f t="shared" si="105"/>
        <v>0.4</v>
      </c>
      <c r="G392" s="11">
        <v>278.10000000000002</v>
      </c>
      <c r="H392" s="12">
        <v>11.3</v>
      </c>
      <c r="I392" s="29">
        <v>0.59700000000000009</v>
      </c>
      <c r="J392" s="148">
        <v>0.158</v>
      </c>
      <c r="K392" s="151">
        <v>7.9</v>
      </c>
      <c r="L392" s="71"/>
      <c r="M392" s="92">
        <v>114.40063345678753</v>
      </c>
      <c r="N392" s="91">
        <f t="shared" si="106"/>
        <v>1.2394986343252489E-2</v>
      </c>
      <c r="O392" s="91">
        <v>0.61418802588314036</v>
      </c>
      <c r="P392" s="86">
        <f t="shared" si="107"/>
        <v>2.8790663120837983E-2</v>
      </c>
      <c r="Q392" s="150">
        <v>0.19904915342692067</v>
      </c>
      <c r="R392">
        <f t="shared" si="108"/>
        <v>0.25980476852481438</v>
      </c>
      <c r="T392" s="152">
        <v>6.3943483882961525</v>
      </c>
      <c r="U392">
        <f t="shared" si="109"/>
        <v>0.190588811608082</v>
      </c>
    </row>
    <row r="393" spans="1:23" x14ac:dyDescent="0.35">
      <c r="A393" s="143">
        <v>43</v>
      </c>
      <c r="B393" s="11">
        <v>0.2</v>
      </c>
      <c r="C393" s="12">
        <f t="shared" si="103"/>
        <v>0.8</v>
      </c>
      <c r="D393" s="11">
        <v>0.5</v>
      </c>
      <c r="E393" s="25">
        <f t="shared" si="104"/>
        <v>0.1</v>
      </c>
      <c r="F393" s="12">
        <f t="shared" si="105"/>
        <v>0.4</v>
      </c>
      <c r="G393" s="11">
        <v>278.3</v>
      </c>
      <c r="H393" s="12">
        <v>11.4</v>
      </c>
      <c r="I393" s="29"/>
      <c r="J393" s="148"/>
      <c r="K393" s="151" t="s">
        <v>77</v>
      </c>
      <c r="L393" s="71"/>
      <c r="M393" s="92">
        <v>117.51982944437894</v>
      </c>
      <c r="N393" s="91">
        <f t="shared" si="106"/>
        <v>3.0875696880517035E-2</v>
      </c>
      <c r="O393" s="91">
        <v>0.61123786623509135</v>
      </c>
      <c r="P393" s="86"/>
      <c r="Q393" s="150">
        <v>0.19904686550473211</v>
      </c>
      <c r="T393" s="152">
        <v>6.3155901076095846</v>
      </c>
      <c r="W393">
        <f>SUM(T388:T392)/5</f>
        <v>6.6978402920664379</v>
      </c>
    </row>
    <row r="394" spans="1:23" x14ac:dyDescent="0.35">
      <c r="A394" s="143">
        <v>44</v>
      </c>
      <c r="B394" s="11">
        <v>0.47000000000000003</v>
      </c>
      <c r="C394" s="12">
        <f t="shared" si="103"/>
        <v>0.53</v>
      </c>
      <c r="D394" s="11">
        <v>0.5</v>
      </c>
      <c r="E394" s="25">
        <f t="shared" si="104"/>
        <v>0.23500000000000001</v>
      </c>
      <c r="F394" s="12">
        <f t="shared" si="105"/>
        <v>0.26500000000000001</v>
      </c>
      <c r="G394" s="11">
        <v>276.7</v>
      </c>
      <c r="H394" s="12">
        <v>5.93</v>
      </c>
      <c r="I394" s="29">
        <v>0.71</v>
      </c>
      <c r="J394" s="148">
        <v>0.27600000000000002</v>
      </c>
      <c r="K394" s="151">
        <v>6.5</v>
      </c>
      <c r="L394" s="71"/>
      <c r="M394" s="92">
        <v>43.49082081313901</v>
      </c>
      <c r="N394" s="91">
        <f t="shared" si="106"/>
        <v>0.26659661360642473</v>
      </c>
      <c r="O394" s="91">
        <v>0.86963306038535382</v>
      </c>
      <c r="P394" s="86">
        <f t="shared" si="107"/>
        <v>0.22483529631739979</v>
      </c>
      <c r="Q394" s="150">
        <v>0.46743667792149818</v>
      </c>
      <c r="R394">
        <f t="shared" si="108"/>
        <v>0.69361115188948597</v>
      </c>
      <c r="T394" s="152">
        <v>7.5321594284698659</v>
      </c>
      <c r="U394">
        <f t="shared" si="109"/>
        <v>0.1587937582261332</v>
      </c>
    </row>
    <row r="395" spans="1:23" x14ac:dyDescent="0.35">
      <c r="A395" s="143">
        <v>45</v>
      </c>
      <c r="B395" s="11">
        <v>0.47000000000000003</v>
      </c>
      <c r="C395" s="12">
        <f t="shared" si="103"/>
        <v>0.53</v>
      </c>
      <c r="D395" s="11">
        <v>0.5</v>
      </c>
      <c r="E395" s="25">
        <f t="shared" si="104"/>
        <v>0.23500000000000001</v>
      </c>
      <c r="F395" s="12">
        <f t="shared" si="105"/>
        <v>0.26500000000000001</v>
      </c>
      <c r="G395" s="11">
        <v>276.8</v>
      </c>
      <c r="H395" s="12">
        <v>5.93</v>
      </c>
      <c r="I395" s="29">
        <v>0.71599999999999997</v>
      </c>
      <c r="J395" s="148">
        <v>0.29799999999999999</v>
      </c>
      <c r="K395" s="151">
        <v>5.9</v>
      </c>
      <c r="L395" s="71"/>
      <c r="M395" s="92">
        <v>43.940618323367296</v>
      </c>
      <c r="N395" s="91">
        <f t="shared" si="106"/>
        <v>0.25901149539009616</v>
      </c>
      <c r="O395" s="91">
        <v>0.8692071105910335</v>
      </c>
      <c r="P395" s="86">
        <f t="shared" si="107"/>
        <v>0.21397641143999099</v>
      </c>
      <c r="Q395" s="150">
        <v>0.46745479446885319</v>
      </c>
      <c r="R395">
        <f t="shared" si="108"/>
        <v>0.56864024989548057</v>
      </c>
      <c r="T395" s="152">
        <v>7.5040776602136914</v>
      </c>
      <c r="U395">
        <f t="shared" si="109"/>
        <v>0.27187756952774422</v>
      </c>
    </row>
    <row r="396" spans="1:23" x14ac:dyDescent="0.35">
      <c r="A396" s="143">
        <v>46</v>
      </c>
      <c r="B396" s="11">
        <v>0.47000000000000003</v>
      </c>
      <c r="C396" s="12">
        <f t="shared" si="103"/>
        <v>0.53</v>
      </c>
      <c r="D396" s="11">
        <v>0.5</v>
      </c>
      <c r="E396" s="25">
        <f t="shared" si="104"/>
        <v>0.23500000000000001</v>
      </c>
      <c r="F396" s="12">
        <f t="shared" si="105"/>
        <v>0.26500000000000001</v>
      </c>
      <c r="G396" s="11">
        <v>278.8</v>
      </c>
      <c r="H396" s="12">
        <v>6.3</v>
      </c>
      <c r="I396" s="29"/>
      <c r="J396" s="148"/>
      <c r="K396" s="151" t="s">
        <v>77</v>
      </c>
      <c r="L396" s="71"/>
      <c r="M396" s="92">
        <v>54.171684976966134</v>
      </c>
      <c r="N396" s="91">
        <f t="shared" si="106"/>
        <v>0.14013198449260106</v>
      </c>
      <c r="O396" s="91">
        <v>0.85962339884577321</v>
      </c>
      <c r="P396" s="86"/>
      <c r="Q396" s="150">
        <v>0.46776108345480927</v>
      </c>
      <c r="T396" s="152">
        <v>6.9171624622766057</v>
      </c>
      <c r="W396">
        <f>SUM(T394:T395)/2</f>
        <v>7.5181185443417782</v>
      </c>
    </row>
    <row r="397" spans="1:23" x14ac:dyDescent="0.35">
      <c r="A397" s="143">
        <v>47</v>
      </c>
      <c r="B397" s="11">
        <v>0.70000000000000007</v>
      </c>
      <c r="C397" s="12">
        <f t="shared" si="103"/>
        <v>0.29999999999999993</v>
      </c>
      <c r="D397" s="11">
        <v>0.5</v>
      </c>
      <c r="E397" s="25">
        <f t="shared" si="104"/>
        <v>0.35000000000000003</v>
      </c>
      <c r="F397" s="12">
        <f t="shared" si="105"/>
        <v>0.14999999999999997</v>
      </c>
      <c r="G397" s="11">
        <v>273.2</v>
      </c>
      <c r="H397" s="12">
        <v>3.6</v>
      </c>
      <c r="I397" s="29">
        <v>0.86</v>
      </c>
      <c r="J397" s="148">
        <v>0.44900000000000001</v>
      </c>
      <c r="K397" s="151">
        <v>4</v>
      </c>
      <c r="L397" s="71"/>
      <c r="M397" s="92">
        <v>20.975541918589638</v>
      </c>
      <c r="N397" s="91">
        <f t="shared" si="106"/>
        <v>0.41734605781695444</v>
      </c>
      <c r="O397" s="91">
        <v>0.95224544234134845</v>
      </c>
      <c r="P397" s="86">
        <f t="shared" si="107"/>
        <v>0.10726214225738193</v>
      </c>
      <c r="Q397" s="150">
        <v>0.6905982675616088</v>
      </c>
      <c r="R397">
        <f t="shared" si="108"/>
        <v>0.53808077407930688</v>
      </c>
      <c r="T397" s="152">
        <v>8.5495361472616711</v>
      </c>
      <c r="U397">
        <f t="shared" si="109"/>
        <v>1.1373840368154178</v>
      </c>
    </row>
    <row r="398" spans="1:23" x14ac:dyDescent="0.35">
      <c r="A398" s="143">
        <v>48</v>
      </c>
      <c r="B398" s="11">
        <v>0.70000000000000007</v>
      </c>
      <c r="C398" s="12">
        <f t="shared" si="103"/>
        <v>0.29999999999999993</v>
      </c>
      <c r="D398" s="11">
        <v>0.5</v>
      </c>
      <c r="E398" s="25">
        <f t="shared" si="104"/>
        <v>0.35000000000000003</v>
      </c>
      <c r="F398" s="12">
        <f t="shared" si="105"/>
        <v>0.14999999999999997</v>
      </c>
      <c r="G398" s="11">
        <v>274.10000000000002</v>
      </c>
      <c r="H398" s="12">
        <v>3.7</v>
      </c>
      <c r="I398" s="29">
        <v>0.83000000000000007</v>
      </c>
      <c r="J398" s="148">
        <v>0.4</v>
      </c>
      <c r="K398" s="151">
        <v>3.8</v>
      </c>
      <c r="L398" s="71"/>
      <c r="M398" s="92">
        <v>22.834689420309189</v>
      </c>
      <c r="N398" s="91">
        <f t="shared" si="106"/>
        <v>0.38284623188353539</v>
      </c>
      <c r="O398" s="91">
        <v>0.95110233079941731</v>
      </c>
      <c r="P398" s="86">
        <f t="shared" si="107"/>
        <v>0.14590642264990028</v>
      </c>
      <c r="Q398" s="150">
        <v>0.69143611909194325</v>
      </c>
      <c r="R398">
        <f t="shared" si="108"/>
        <v>0.72859029772985806</v>
      </c>
      <c r="T398" s="152">
        <v>8.3401244387863738</v>
      </c>
      <c r="U398">
        <f t="shared" si="109"/>
        <v>1.1947695891543091</v>
      </c>
    </row>
    <row r="399" spans="1:23" ht="15" thickBot="1" x14ac:dyDescent="0.4">
      <c r="A399" s="144">
        <v>49</v>
      </c>
      <c r="B399" s="54">
        <v>0.70000000000000007</v>
      </c>
      <c r="C399" s="55">
        <f t="shared" si="103"/>
        <v>0.29999999999999993</v>
      </c>
      <c r="D399" s="54">
        <v>0.5</v>
      </c>
      <c r="E399" s="113">
        <f t="shared" si="104"/>
        <v>0.35000000000000003</v>
      </c>
      <c r="F399" s="55">
        <f t="shared" si="105"/>
        <v>0.14999999999999997</v>
      </c>
      <c r="G399" s="54">
        <v>274.8</v>
      </c>
      <c r="H399" s="55">
        <v>3.7</v>
      </c>
      <c r="I399" s="30">
        <v>0.83000000000000007</v>
      </c>
      <c r="J399" s="149">
        <v>0.42</v>
      </c>
      <c r="K399" s="151">
        <v>3.5</v>
      </c>
      <c r="L399" s="71"/>
      <c r="M399" s="92">
        <v>24.39670656813319</v>
      </c>
      <c r="N399" s="91">
        <f t="shared" si="106"/>
        <v>0.34062955221261648</v>
      </c>
      <c r="O399" s="91">
        <v>0.95015830078500474</v>
      </c>
      <c r="P399" s="86">
        <f t="shared" si="107"/>
        <v>0.14476903709036706</v>
      </c>
      <c r="Q399" s="150">
        <v>0.69203028068593153</v>
      </c>
      <c r="R399">
        <f t="shared" si="108"/>
        <v>0.64769114449031329</v>
      </c>
      <c r="T399" s="152">
        <v>8.174439528063056</v>
      </c>
      <c r="U399">
        <f t="shared" si="109"/>
        <v>1.3355541508751589</v>
      </c>
    </row>
    <row r="400" spans="1:23" x14ac:dyDescent="0.35">
      <c r="M400" s="92"/>
      <c r="N400" s="91">
        <f>SUM(N351:N399)/49</f>
        <v>0.12529565254888148</v>
      </c>
      <c r="O400" s="91"/>
      <c r="P400" s="86">
        <f>SUM(P351:P355,P357:P360,P362:P367,P369:P372,P374:P380,P382:P386,P388:P392,P394:P395,P397:P399)/41</f>
        <v>0.35168916140419282</v>
      </c>
      <c r="R400" s="86">
        <f>SUM(R351:R355,R357:R360,R362:R367,R369:R372,R374:R380,R382:R386,R388:R392,R394:R395,R397:R399)/41</f>
        <v>0.57713391608930609</v>
      </c>
      <c r="U400" s="86">
        <f>SUM(U351:U355,U357:U360,U362:U367,U369:U372,U374:U380,U382:U386,U388:U392,U394:U395,U397:U399)/41</f>
        <v>0.26050304860346341</v>
      </c>
      <c r="W400">
        <f>SUM(T397:T399)/3</f>
        <v>8.3547000380370324</v>
      </c>
    </row>
    <row r="406" spans="2:14" x14ac:dyDescent="0.35">
      <c r="B406" s="168" t="s">
        <v>32</v>
      </c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</row>
    <row r="407" spans="2:14" x14ac:dyDescent="0.35">
      <c r="B407" s="11">
        <f>1-C407</f>
        <v>0.36</v>
      </c>
      <c r="C407" s="12">
        <v>0.64</v>
      </c>
      <c r="D407" s="6">
        <v>0.8</v>
      </c>
      <c r="E407" s="7">
        <f>0.2*B407</f>
        <v>7.1999999999999995E-2</v>
      </c>
      <c r="F407" s="14">
        <f>0.2*C407</f>
        <v>0.128</v>
      </c>
      <c r="G407" s="25">
        <v>277.8</v>
      </c>
      <c r="H407" s="12">
        <v>5</v>
      </c>
      <c r="J407" s="92">
        <v>63.479953108484182</v>
      </c>
      <c r="K407">
        <v>63.744377918168105</v>
      </c>
      <c r="L407">
        <f>ABS(K407-H407*10)/H407/10</f>
        <v>0.27488755836336209</v>
      </c>
    </row>
    <row r="408" spans="2:14" x14ac:dyDescent="0.35">
      <c r="B408" s="11">
        <f t="shared" ref="B408:B416" si="110">1-C408</f>
        <v>0.36</v>
      </c>
      <c r="C408" s="12">
        <v>0.64</v>
      </c>
      <c r="D408" s="6">
        <v>0.8</v>
      </c>
      <c r="E408" s="7">
        <f t="shared" ref="E408:E416" si="111">0.2*B408</f>
        <v>7.1999999999999995E-2</v>
      </c>
      <c r="F408" s="14">
        <f t="shared" ref="F408:F416" si="112">0.2*C408</f>
        <v>0.128</v>
      </c>
      <c r="G408" s="25">
        <v>280.10000000000002</v>
      </c>
      <c r="H408" s="12">
        <v>7.5</v>
      </c>
      <c r="J408" s="92">
        <v>82.929852081833502</v>
      </c>
      <c r="K408">
        <v>83.396635288740583</v>
      </c>
      <c r="L408">
        <f t="shared" ref="L408:L416" si="113">ABS(K408-H408*10)/H408/10</f>
        <v>0.11195513718320778</v>
      </c>
    </row>
    <row r="409" spans="2:14" x14ac:dyDescent="0.35">
      <c r="B409" s="11">
        <f t="shared" si="110"/>
        <v>0.36</v>
      </c>
      <c r="C409" s="12">
        <v>0.64</v>
      </c>
      <c r="D409" s="6">
        <v>0.8</v>
      </c>
      <c r="E409" s="7">
        <f t="shared" si="111"/>
        <v>7.1999999999999995E-2</v>
      </c>
      <c r="F409" s="14">
        <f t="shared" si="112"/>
        <v>0.128</v>
      </c>
      <c r="G409" s="25">
        <v>281.60000000000002</v>
      </c>
      <c r="H409" s="12">
        <v>10</v>
      </c>
      <c r="J409" s="92">
        <v>100.38438639930776</v>
      </c>
      <c r="K409">
        <v>101.04465362772456</v>
      </c>
      <c r="L409">
        <f t="shared" si="113"/>
        <v>1.044653627724557E-2</v>
      </c>
    </row>
    <row r="410" spans="2:14" x14ac:dyDescent="0.35">
      <c r="B410" s="11">
        <f t="shared" si="110"/>
        <v>0.36</v>
      </c>
      <c r="C410" s="12">
        <v>0.64</v>
      </c>
      <c r="D410" s="6">
        <v>0.8</v>
      </c>
      <c r="E410" s="7">
        <f t="shared" si="111"/>
        <v>7.1999999999999995E-2</v>
      </c>
      <c r="F410" s="14">
        <f t="shared" si="112"/>
        <v>0.128</v>
      </c>
      <c r="G410" s="25">
        <v>283.3</v>
      </c>
      <c r="H410" s="12">
        <v>15</v>
      </c>
      <c r="J410" s="92">
        <v>128.52676405480281</v>
      </c>
      <c r="K410">
        <v>129.39977862695787</v>
      </c>
      <c r="L410">
        <f t="shared" si="113"/>
        <v>0.13733480915361421</v>
      </c>
    </row>
    <row r="411" spans="2:14" x14ac:dyDescent="0.35">
      <c r="B411" s="11">
        <f t="shared" si="110"/>
        <v>0.36</v>
      </c>
      <c r="C411" s="12">
        <v>0.64</v>
      </c>
      <c r="D411" s="6">
        <v>0.8</v>
      </c>
      <c r="E411" s="7">
        <f t="shared" si="111"/>
        <v>7.1999999999999995E-2</v>
      </c>
      <c r="F411" s="14">
        <f t="shared" si="112"/>
        <v>0.128</v>
      </c>
      <c r="G411" s="25">
        <v>284.45</v>
      </c>
      <c r="H411" s="12">
        <v>20</v>
      </c>
      <c r="J411" s="92">
        <v>157.72847727187101</v>
      </c>
      <c r="K411">
        <v>158.40502857866275</v>
      </c>
      <c r="L411">
        <f t="shared" si="113"/>
        <v>0.20797485710668626</v>
      </c>
    </row>
    <row r="412" spans="2:14" x14ac:dyDescent="0.35">
      <c r="B412" s="11">
        <f t="shared" si="110"/>
        <v>0.26</v>
      </c>
      <c r="C412" s="12">
        <v>0.74</v>
      </c>
      <c r="D412" s="6">
        <v>0.8</v>
      </c>
      <c r="E412" s="7">
        <f t="shared" si="111"/>
        <v>5.2000000000000005E-2</v>
      </c>
      <c r="F412" s="14">
        <f t="shared" si="112"/>
        <v>0.14799999999999999</v>
      </c>
      <c r="G412" s="25">
        <v>275.75</v>
      </c>
      <c r="H412" s="12">
        <v>5</v>
      </c>
      <c r="J412" s="92">
        <v>68.177969288959673</v>
      </c>
      <c r="K412">
        <v>68.530487001117777</v>
      </c>
      <c r="L412">
        <f t="shared" si="113"/>
        <v>0.37060974002235553</v>
      </c>
    </row>
    <row r="413" spans="2:14" x14ac:dyDescent="0.35">
      <c r="B413" s="11">
        <f t="shared" si="110"/>
        <v>0.26</v>
      </c>
      <c r="C413" s="12">
        <v>0.74</v>
      </c>
      <c r="D413" s="6">
        <v>0.8</v>
      </c>
      <c r="E413" s="7">
        <f t="shared" si="111"/>
        <v>5.2000000000000005E-2</v>
      </c>
      <c r="F413" s="14">
        <f t="shared" si="112"/>
        <v>0.14799999999999999</v>
      </c>
      <c r="G413" s="25">
        <v>278.64999999999998</v>
      </c>
      <c r="H413" s="12">
        <v>7.5</v>
      </c>
      <c r="J413" s="92">
        <v>96.271151122031256</v>
      </c>
      <c r="K413">
        <v>96.990441039231854</v>
      </c>
      <c r="L413">
        <f t="shared" si="113"/>
        <v>0.29320588052309138</v>
      </c>
    </row>
    <row r="414" spans="2:14" x14ac:dyDescent="0.35">
      <c r="B414" s="11">
        <f t="shared" si="110"/>
        <v>0.26</v>
      </c>
      <c r="C414" s="12">
        <v>0.74</v>
      </c>
      <c r="D414" s="6">
        <v>0.8</v>
      </c>
      <c r="E414" s="7">
        <f t="shared" si="111"/>
        <v>5.2000000000000005E-2</v>
      </c>
      <c r="F414" s="14">
        <f t="shared" si="112"/>
        <v>0.14799999999999999</v>
      </c>
      <c r="G414" s="25">
        <v>280.60000000000002</v>
      </c>
      <c r="H414" s="12">
        <v>10</v>
      </c>
      <c r="J414" s="92">
        <v>125.51513451481641</v>
      </c>
      <c r="K414">
        <v>126.63246551786271</v>
      </c>
      <c r="L414">
        <f t="shared" si="113"/>
        <v>0.26632465517862713</v>
      </c>
    </row>
    <row r="415" spans="2:14" x14ac:dyDescent="0.35">
      <c r="B415" s="11">
        <f t="shared" si="110"/>
        <v>0.26</v>
      </c>
      <c r="C415" s="12">
        <v>0.74</v>
      </c>
      <c r="D415" s="6">
        <v>0.8</v>
      </c>
      <c r="E415" s="7">
        <f t="shared" si="111"/>
        <v>5.2000000000000005E-2</v>
      </c>
      <c r="F415" s="14">
        <f t="shared" si="112"/>
        <v>0.14799999999999999</v>
      </c>
      <c r="G415" s="25">
        <v>282.75</v>
      </c>
      <c r="H415" s="12">
        <v>15</v>
      </c>
      <c r="J415" s="92">
        <v>181.16242655706128</v>
      </c>
      <c r="K415">
        <v>182.39406248098709</v>
      </c>
      <c r="L415">
        <f t="shared" si="113"/>
        <v>0.21596041653991391</v>
      </c>
    </row>
    <row r="416" spans="2:14" x14ac:dyDescent="0.35">
      <c r="B416" s="11">
        <f t="shared" si="110"/>
        <v>0.26</v>
      </c>
      <c r="C416" s="12">
        <v>0.74</v>
      </c>
      <c r="D416" s="6">
        <v>0.8</v>
      </c>
      <c r="E416" s="7">
        <f t="shared" si="111"/>
        <v>5.2000000000000005E-2</v>
      </c>
      <c r="F416" s="14">
        <f t="shared" si="112"/>
        <v>0.14799999999999999</v>
      </c>
      <c r="G416" s="25">
        <v>283.89999999999998</v>
      </c>
      <c r="H416" s="12">
        <v>20</v>
      </c>
      <c r="J416" s="91">
        <v>240.5262877069226</v>
      </c>
      <c r="K416">
        <v>239.10369499409356</v>
      </c>
      <c r="L416">
        <f t="shared" si="113"/>
        <v>0.19551847497046779</v>
      </c>
    </row>
    <row r="417" spans="2:15" x14ac:dyDescent="0.35">
      <c r="L417">
        <f>SUM(L407:L416)/10</f>
        <v>0.20842180653185713</v>
      </c>
    </row>
    <row r="418" spans="2:15" x14ac:dyDescent="0.35">
      <c r="B418" s="168" t="s">
        <v>29</v>
      </c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</row>
    <row r="419" spans="2:15" x14ac:dyDescent="0.35">
      <c r="B419" s="11">
        <v>0.16</v>
      </c>
      <c r="C419" s="12">
        <v>0.84</v>
      </c>
      <c r="D419" s="27">
        <v>0.05</v>
      </c>
      <c r="E419" s="26">
        <f>0.95*B419</f>
        <v>0.152</v>
      </c>
      <c r="F419" s="28">
        <f>0.95*C419</f>
        <v>0.79799999999999993</v>
      </c>
      <c r="G419" s="6">
        <v>273.39999999999998</v>
      </c>
      <c r="H419" s="14">
        <v>6.1</v>
      </c>
      <c r="I419" s="22">
        <v>0.66</v>
      </c>
      <c r="J419" s="68">
        <v>76.323487777194615</v>
      </c>
      <c r="K419">
        <v>75.901091996152076</v>
      </c>
      <c r="L419">
        <f>ABS(K419-H419*10)/H419/10</f>
        <v>0.24428019665823078</v>
      </c>
      <c r="N419">
        <v>0.59442206142441423</v>
      </c>
      <c r="O419">
        <f>ABS(N419-I419)/I419</f>
        <v>9.936051299331182E-2</v>
      </c>
    </row>
    <row r="420" spans="2:15" x14ac:dyDescent="0.35">
      <c r="B420" s="11">
        <v>0.16</v>
      </c>
      <c r="C420" s="12">
        <v>0.84</v>
      </c>
      <c r="D420" s="27">
        <v>0.05</v>
      </c>
      <c r="E420" s="26">
        <f t="shared" ref="E420:E434" si="114">0.95*B420</f>
        <v>0.152</v>
      </c>
      <c r="F420" s="28">
        <f t="shared" ref="F420:F434" si="115">0.95*C420</f>
        <v>0.79799999999999993</v>
      </c>
      <c r="G420" s="6">
        <v>274.5</v>
      </c>
      <c r="H420" s="14">
        <v>6.2</v>
      </c>
      <c r="I420" s="22">
        <v>0.66</v>
      </c>
      <c r="J420" s="68">
        <v>86.576666282291399</v>
      </c>
      <c r="K420">
        <v>86.001294298345414</v>
      </c>
      <c r="L420">
        <f t="shared" ref="L420:L434" si="116">ABS(K420-H420*10)/H420/10</f>
        <v>0.3871176499733131</v>
      </c>
      <c r="N420">
        <v>0.58300017034077889</v>
      </c>
      <c r="O420">
        <f t="shared" ref="O420:O434" si="117">ABS(N420-I420)/I420</f>
        <v>0.11666640857457748</v>
      </c>
    </row>
    <row r="421" spans="2:15" x14ac:dyDescent="0.35">
      <c r="B421" s="11">
        <v>0.19</v>
      </c>
      <c r="C421" s="12">
        <v>0.82</v>
      </c>
      <c r="D421" s="27">
        <v>0.05</v>
      </c>
      <c r="E421" s="26">
        <f t="shared" si="114"/>
        <v>0.18049999999999999</v>
      </c>
      <c r="F421" s="28">
        <f t="shared" si="115"/>
        <v>0.77899999999999991</v>
      </c>
      <c r="G421" s="6">
        <v>275.39999999999998</v>
      </c>
      <c r="H421" s="14">
        <v>6.4</v>
      </c>
      <c r="I421" s="22">
        <v>0.66</v>
      </c>
      <c r="J421" s="68">
        <v>84.363494059161795</v>
      </c>
      <c r="K421">
        <v>83.817629165536914</v>
      </c>
      <c r="L421">
        <f t="shared" si="116"/>
        <v>0.30965045571151428</v>
      </c>
      <c r="N421">
        <v>0.62678114850820454</v>
      </c>
      <c r="O421">
        <f t="shared" si="117"/>
        <v>5.0331593169387102E-2</v>
      </c>
    </row>
    <row r="422" spans="2:15" x14ac:dyDescent="0.35">
      <c r="B422" s="11">
        <v>0.2</v>
      </c>
      <c r="C422" s="12">
        <v>0.8</v>
      </c>
      <c r="D422" s="27">
        <v>0.05</v>
      </c>
      <c r="E422" s="26">
        <f t="shared" si="114"/>
        <v>0.19</v>
      </c>
      <c r="F422" s="28">
        <f t="shared" si="115"/>
        <v>0.76</v>
      </c>
      <c r="G422" s="6">
        <v>276.5</v>
      </c>
      <c r="H422" s="14">
        <v>6.6</v>
      </c>
      <c r="I422" s="22">
        <v>0.57999999999999996</v>
      </c>
      <c r="J422" s="68">
        <v>92.308467371059123</v>
      </c>
      <c r="K422">
        <v>91.623614271370101</v>
      </c>
      <c r="L422">
        <f t="shared" si="116"/>
        <v>0.38823657986924398</v>
      </c>
      <c r="N422">
        <v>0.63059962577876039</v>
      </c>
      <c r="O422">
        <f t="shared" si="117"/>
        <v>8.7240734101311085E-2</v>
      </c>
    </row>
    <row r="423" spans="2:15" x14ac:dyDescent="0.35">
      <c r="B423" s="11">
        <v>0.25</v>
      </c>
      <c r="C423" s="12">
        <v>0.75</v>
      </c>
      <c r="D423" s="27">
        <v>0.05</v>
      </c>
      <c r="E423" s="26">
        <f t="shared" si="114"/>
        <v>0.23749999999999999</v>
      </c>
      <c r="F423" s="28">
        <f t="shared" si="115"/>
        <v>0.71249999999999991</v>
      </c>
      <c r="G423" s="6">
        <v>273.89999999999998</v>
      </c>
      <c r="H423" s="14">
        <v>5.9</v>
      </c>
      <c r="I423" s="22">
        <v>0.75</v>
      </c>
      <c r="J423" s="68">
        <v>57.027179954899545</v>
      </c>
      <c r="K423">
        <v>56.8288711987773</v>
      </c>
      <c r="L423">
        <f t="shared" si="116"/>
        <v>3.6798793241062708E-2</v>
      </c>
      <c r="N423">
        <v>0.72185121540070774</v>
      </c>
      <c r="O423">
        <f t="shared" si="117"/>
        <v>3.7531712799056351E-2</v>
      </c>
    </row>
    <row r="424" spans="2:15" x14ac:dyDescent="0.35">
      <c r="B424" s="11">
        <v>0.26</v>
      </c>
      <c r="C424" s="12">
        <v>0.75</v>
      </c>
      <c r="D424" s="27">
        <v>0.05</v>
      </c>
      <c r="E424" s="26">
        <f t="shared" si="114"/>
        <v>0.247</v>
      </c>
      <c r="F424" s="28">
        <f t="shared" si="115"/>
        <v>0.71249999999999991</v>
      </c>
      <c r="G424" s="6">
        <v>274.7</v>
      </c>
      <c r="H424" s="14">
        <v>5.9</v>
      </c>
      <c r="I424" s="22">
        <v>0.73</v>
      </c>
      <c r="J424" s="68">
        <v>60.201343912289211</v>
      </c>
      <c r="K424">
        <v>59.97543547429985</v>
      </c>
      <c r="L424">
        <f t="shared" si="116"/>
        <v>1.6532804649150003E-2</v>
      </c>
      <c r="N424">
        <v>0.72683143398919348</v>
      </c>
      <c r="O424">
        <f t="shared" si="117"/>
        <v>4.3405013846664472E-3</v>
      </c>
    </row>
    <row r="425" spans="2:15" x14ac:dyDescent="0.35">
      <c r="B425" s="11">
        <v>0.26</v>
      </c>
      <c r="C425" s="12">
        <v>0.74</v>
      </c>
      <c r="D425" s="27">
        <v>0.05</v>
      </c>
      <c r="E425" s="26">
        <f t="shared" si="114"/>
        <v>0.247</v>
      </c>
      <c r="F425" s="28">
        <f t="shared" si="115"/>
        <v>0.70299999999999996</v>
      </c>
      <c r="G425" s="6">
        <v>276</v>
      </c>
      <c r="H425" s="14">
        <v>5.9</v>
      </c>
      <c r="I425" s="22">
        <v>0.7</v>
      </c>
      <c r="J425" s="68">
        <v>69.584972081829022</v>
      </c>
      <c r="K425">
        <v>69.257345611733655</v>
      </c>
      <c r="L425">
        <f t="shared" si="116"/>
        <v>0.17385331545311278</v>
      </c>
      <c r="N425">
        <v>0.71611769885857524</v>
      </c>
      <c r="O425">
        <f t="shared" si="117"/>
        <v>2.3025284083678974E-2</v>
      </c>
    </row>
    <row r="426" spans="2:15" x14ac:dyDescent="0.35">
      <c r="B426" s="11">
        <v>0.27</v>
      </c>
      <c r="C426" s="12">
        <v>0.74</v>
      </c>
      <c r="D426" s="27">
        <v>0.05</v>
      </c>
      <c r="E426" s="26">
        <f t="shared" si="114"/>
        <v>0.25650000000000001</v>
      </c>
      <c r="F426" s="28">
        <f t="shared" si="115"/>
        <v>0.70299999999999996</v>
      </c>
      <c r="G426" s="6">
        <v>276.89999999999998</v>
      </c>
      <c r="H426" s="14">
        <v>6</v>
      </c>
      <c r="I426" s="22">
        <v>0.7</v>
      </c>
      <c r="J426" s="68">
        <v>74.615151894651859</v>
      </c>
      <c r="K426">
        <v>74.225466760362082</v>
      </c>
      <c r="L426">
        <f t="shared" si="116"/>
        <v>0.23709111267270139</v>
      </c>
      <c r="N426">
        <v>0.71909688169582087</v>
      </c>
      <c r="O426">
        <f t="shared" si="117"/>
        <v>2.7281259565458446E-2</v>
      </c>
    </row>
    <row r="427" spans="2:15" x14ac:dyDescent="0.35">
      <c r="B427" s="11">
        <v>0.28999999999999998</v>
      </c>
      <c r="C427" s="12">
        <v>0.71</v>
      </c>
      <c r="D427" s="27">
        <v>0.05</v>
      </c>
      <c r="E427" s="26">
        <f t="shared" si="114"/>
        <v>0.27549999999999997</v>
      </c>
      <c r="F427" s="28">
        <f t="shared" si="115"/>
        <v>0.67449999999999999</v>
      </c>
      <c r="G427" s="6">
        <v>277.79999999999995</v>
      </c>
      <c r="H427" s="14">
        <v>6.3</v>
      </c>
      <c r="I427" s="22">
        <v>0.67</v>
      </c>
      <c r="J427" s="68">
        <v>77.629722105327261</v>
      </c>
      <c r="K427">
        <v>77.203425167926923</v>
      </c>
      <c r="L427">
        <f t="shared" si="116"/>
        <v>0.2254511931416972</v>
      </c>
      <c r="N427">
        <v>0.73187449534134907</v>
      </c>
      <c r="O427">
        <f t="shared" si="117"/>
        <v>9.2349993046789591E-2</v>
      </c>
    </row>
    <row r="428" spans="2:15" x14ac:dyDescent="0.35">
      <c r="B428" s="11">
        <v>0.3</v>
      </c>
      <c r="C428" s="12">
        <v>0.71</v>
      </c>
      <c r="D428" s="27">
        <v>0.05</v>
      </c>
      <c r="E428" s="26">
        <f t="shared" si="114"/>
        <v>0.28499999999999998</v>
      </c>
      <c r="F428" s="28">
        <f t="shared" si="115"/>
        <v>0.67449999999999999</v>
      </c>
      <c r="G428" s="6">
        <v>278.09999999999997</v>
      </c>
      <c r="H428" s="14">
        <v>6.4</v>
      </c>
      <c r="I428" s="22">
        <v>0.69</v>
      </c>
      <c r="J428" s="68">
        <v>77.893598932980126</v>
      </c>
      <c r="K428">
        <v>77.466516812230864</v>
      </c>
      <c r="L428">
        <f t="shared" si="116"/>
        <v>0.21041432519110725</v>
      </c>
      <c r="N428">
        <v>0.7391203812145466</v>
      </c>
      <c r="O428">
        <f t="shared" si="117"/>
        <v>7.1188958281951667E-2</v>
      </c>
    </row>
    <row r="429" spans="2:15" x14ac:dyDescent="0.35">
      <c r="B429" s="11">
        <v>0.3</v>
      </c>
      <c r="C429" s="12">
        <v>0.71</v>
      </c>
      <c r="D429" s="27">
        <v>0.05</v>
      </c>
      <c r="E429" s="26">
        <f t="shared" si="114"/>
        <v>0.28499999999999998</v>
      </c>
      <c r="F429" s="28">
        <f t="shared" si="115"/>
        <v>0.67449999999999999</v>
      </c>
      <c r="G429" s="6">
        <v>278.39999999999998</v>
      </c>
      <c r="H429" s="14">
        <v>6.4</v>
      </c>
      <c r="I429" s="22">
        <v>0.72</v>
      </c>
      <c r="J429" s="68">
        <v>80.728278616856414</v>
      </c>
      <c r="K429">
        <v>80.259058953818055</v>
      </c>
      <c r="L429">
        <f t="shared" si="116"/>
        <v>0.25404779615340711</v>
      </c>
      <c r="N429">
        <v>0.73617066845344281</v>
      </c>
      <c r="O429">
        <f t="shared" si="117"/>
        <v>2.2459261740892831E-2</v>
      </c>
    </row>
    <row r="430" spans="2:15" x14ac:dyDescent="0.35">
      <c r="B430" s="11">
        <v>0.3</v>
      </c>
      <c r="C430" s="12">
        <v>0.7</v>
      </c>
      <c r="D430" s="27">
        <v>0.05</v>
      </c>
      <c r="E430" s="26">
        <f t="shared" si="114"/>
        <v>0.28499999999999998</v>
      </c>
      <c r="F430" s="28">
        <f t="shared" si="115"/>
        <v>0.66499999999999992</v>
      </c>
      <c r="G430" s="6">
        <v>278.59999999999997</v>
      </c>
      <c r="H430" s="14">
        <v>6.5</v>
      </c>
      <c r="I430" s="22">
        <v>0.7</v>
      </c>
      <c r="J430" s="68">
        <v>82.69699273611532</v>
      </c>
      <c r="K430">
        <v>82.197011413867372</v>
      </c>
      <c r="L430">
        <f t="shared" si="116"/>
        <v>0.26456940636719034</v>
      </c>
      <c r="N430">
        <v>0.73413831493423998</v>
      </c>
      <c r="O430">
        <f t="shared" si="117"/>
        <v>4.8769021334628605E-2</v>
      </c>
    </row>
    <row r="431" spans="2:15" x14ac:dyDescent="0.35">
      <c r="B431" s="11">
        <v>0.2</v>
      </c>
      <c r="C431" s="12">
        <v>0.8</v>
      </c>
      <c r="D431" s="27">
        <v>0.05</v>
      </c>
      <c r="E431" s="26">
        <f t="shared" si="114"/>
        <v>0.19</v>
      </c>
      <c r="F431" s="28">
        <f t="shared" si="115"/>
        <v>0.76</v>
      </c>
      <c r="G431" s="6">
        <v>275.39999999999998</v>
      </c>
      <c r="H431" s="14">
        <v>6.1</v>
      </c>
      <c r="I431" s="22">
        <v>0.67</v>
      </c>
      <c r="J431" s="68">
        <v>80.970233519314689</v>
      </c>
      <c r="K431">
        <v>80.477411038459152</v>
      </c>
      <c r="L431">
        <f t="shared" si="116"/>
        <v>0.31930182030260906</v>
      </c>
      <c r="N431">
        <v>0.64269004828768328</v>
      </c>
      <c r="O431">
        <f t="shared" si="117"/>
        <v>4.0761121958681729E-2</v>
      </c>
    </row>
    <row r="432" spans="2:15" x14ac:dyDescent="0.35">
      <c r="B432" s="11">
        <v>0.22</v>
      </c>
      <c r="C432" s="12">
        <v>0.78</v>
      </c>
      <c r="D432" s="27">
        <v>0.05</v>
      </c>
      <c r="E432" s="26">
        <f t="shared" si="114"/>
        <v>0.20899999999999999</v>
      </c>
      <c r="F432" s="28">
        <f t="shared" si="115"/>
        <v>0.74099999999999999</v>
      </c>
      <c r="G432" s="6">
        <v>276</v>
      </c>
      <c r="H432" s="14">
        <v>6.2</v>
      </c>
      <c r="I432" s="22">
        <v>0.65</v>
      </c>
      <c r="J432" s="68">
        <v>80.298351845168725</v>
      </c>
      <c r="K432">
        <v>79.817148228903861</v>
      </c>
      <c r="L432">
        <f t="shared" si="116"/>
        <v>0.28737335853070739</v>
      </c>
      <c r="N432">
        <v>0.66587810082224397</v>
      </c>
      <c r="O432">
        <f t="shared" si="117"/>
        <v>2.4427847418836839E-2</v>
      </c>
    </row>
    <row r="433" spans="2:15" x14ac:dyDescent="0.35">
      <c r="B433" s="11">
        <v>0.56000000000000005</v>
      </c>
      <c r="C433" s="12">
        <v>0.44</v>
      </c>
      <c r="D433" s="27">
        <v>0.05</v>
      </c>
      <c r="E433" s="26">
        <f t="shared" si="114"/>
        <v>0.53200000000000003</v>
      </c>
      <c r="F433" s="28">
        <f t="shared" si="115"/>
        <v>0.41799999999999998</v>
      </c>
      <c r="G433" s="6">
        <v>280.09999999999997</v>
      </c>
      <c r="H433" s="14">
        <v>5.3</v>
      </c>
      <c r="I433" s="22">
        <v>0.85</v>
      </c>
      <c r="J433" s="68">
        <v>51.502698423591099</v>
      </c>
      <c r="K433">
        <v>51.40426478808098</v>
      </c>
      <c r="L433">
        <f t="shared" si="116"/>
        <v>3.0108211545641896E-2</v>
      </c>
      <c r="N433">
        <v>0.89152297258370539</v>
      </c>
      <c r="O433">
        <f t="shared" si="117"/>
        <v>4.8850555980829893E-2</v>
      </c>
    </row>
    <row r="434" spans="2:15" x14ac:dyDescent="0.35">
      <c r="B434" s="11">
        <v>0.59</v>
      </c>
      <c r="C434" s="12">
        <v>0.42</v>
      </c>
      <c r="D434" s="27">
        <v>0.05</v>
      </c>
      <c r="E434" s="26">
        <f t="shared" si="114"/>
        <v>0.5605</v>
      </c>
      <c r="F434" s="28">
        <f t="shared" si="115"/>
        <v>0.39899999999999997</v>
      </c>
      <c r="G434" s="6">
        <v>281.09999999999997</v>
      </c>
      <c r="H434" s="14">
        <v>5.6</v>
      </c>
      <c r="I434" s="22">
        <v>0.82</v>
      </c>
      <c r="J434" s="68">
        <v>53.934579372427002</v>
      </c>
      <c r="K434">
        <v>53.828732570505473</v>
      </c>
      <c r="L434">
        <f t="shared" si="116"/>
        <v>3.8772632669545129E-2</v>
      </c>
      <c r="N434">
        <v>0.89916348840692728</v>
      </c>
      <c r="O434">
        <f t="shared" si="117"/>
        <v>9.6540839520643087E-2</v>
      </c>
    </row>
    <row r="435" spans="2:15" x14ac:dyDescent="0.35">
      <c r="L435">
        <f>SUM(L419:L434)/16</f>
        <v>0.21397497825813963</v>
      </c>
      <c r="O435">
        <f>SUM(O419:O434)/16</f>
        <v>5.5695350372168877E-2</v>
      </c>
    </row>
    <row r="436" spans="2:15" x14ac:dyDescent="0.35">
      <c r="B436" s="168" t="s">
        <v>30</v>
      </c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</row>
    <row r="437" spans="2:15" x14ac:dyDescent="0.35">
      <c r="B437" s="11">
        <f>1-C437</f>
        <v>1</v>
      </c>
      <c r="C437" s="12">
        <v>0</v>
      </c>
      <c r="D437" s="27">
        <v>0.2</v>
      </c>
      <c r="E437" s="26">
        <f>0.8*B437</f>
        <v>0.8</v>
      </c>
      <c r="F437" s="28">
        <f>0.8*C437</f>
        <v>0</v>
      </c>
      <c r="G437" s="11">
        <v>275.3</v>
      </c>
      <c r="H437" s="12">
        <v>1.6</v>
      </c>
      <c r="J437" s="92">
        <v>17.87202466294119</v>
      </c>
      <c r="K437">
        <v>17.872024898907171</v>
      </c>
      <c r="L437">
        <f>ABS(K437-H437*10)/H437/10</f>
        <v>0.11700155618169816</v>
      </c>
      <c r="N437">
        <v>1</v>
      </c>
    </row>
    <row r="438" spans="2:15" x14ac:dyDescent="0.35">
      <c r="B438" s="11">
        <f t="shared" ref="B438:B461" si="118">1-C438</f>
        <v>0.8</v>
      </c>
      <c r="C438" s="12">
        <v>0.2</v>
      </c>
      <c r="D438" s="27">
        <v>0.2</v>
      </c>
      <c r="E438" s="26">
        <f t="shared" ref="E438:E462" si="119">0.8*B438</f>
        <v>0.64000000000000012</v>
      </c>
      <c r="F438" s="28">
        <f t="shared" ref="F438:F462" si="120">0.8*C438</f>
        <v>0.16000000000000003</v>
      </c>
      <c r="G438" s="11">
        <v>275.3</v>
      </c>
      <c r="H438" s="12">
        <v>2</v>
      </c>
      <c r="J438" s="92">
        <v>22.388996239441891</v>
      </c>
      <c r="K438">
        <v>22.387455040950222</v>
      </c>
      <c r="L438">
        <f t="shared" ref="L438:L462" si="121">ABS(K438-H438*10)/H438/10</f>
        <v>0.1193727520475111</v>
      </c>
      <c r="N438">
        <v>0.96906702642225873</v>
      </c>
    </row>
    <row r="439" spans="2:15" x14ac:dyDescent="0.35">
      <c r="B439" s="11">
        <f t="shared" si="118"/>
        <v>0.8</v>
      </c>
      <c r="C439" s="12">
        <v>0.2</v>
      </c>
      <c r="D439" s="27">
        <v>0.2</v>
      </c>
      <c r="E439" s="26">
        <f t="shared" si="119"/>
        <v>0.64000000000000012</v>
      </c>
      <c r="F439" s="28">
        <f t="shared" si="120"/>
        <v>0.16000000000000003</v>
      </c>
      <c r="G439" s="11">
        <v>275.3</v>
      </c>
      <c r="H439" s="12">
        <v>2.2000000000000002</v>
      </c>
      <c r="J439" s="92">
        <v>22.388996226171983</v>
      </c>
      <c r="K439">
        <v>22.387455027258383</v>
      </c>
      <c r="L439">
        <f t="shared" si="121"/>
        <v>1.7611592148108327E-2</v>
      </c>
      <c r="N439">
        <v>0.96906702642176668</v>
      </c>
    </row>
    <row r="440" spans="2:15" x14ac:dyDescent="0.35">
      <c r="B440" s="11">
        <f t="shared" si="118"/>
        <v>0.5</v>
      </c>
      <c r="C440" s="12">
        <v>0.5</v>
      </c>
      <c r="D440" s="27">
        <v>0.2</v>
      </c>
      <c r="E440" s="26">
        <f t="shared" si="119"/>
        <v>0.4</v>
      </c>
      <c r="F440" s="28">
        <f t="shared" si="120"/>
        <v>0.4</v>
      </c>
      <c r="G440" s="11">
        <v>275.3</v>
      </c>
      <c r="H440" s="12">
        <v>3.4</v>
      </c>
      <c r="J440" s="92">
        <v>35.539301782696526</v>
      </c>
      <c r="K440">
        <v>35.526443998161355</v>
      </c>
      <c r="L440">
        <f t="shared" si="121"/>
        <v>4.4895411710628087E-2</v>
      </c>
      <c r="N440">
        <v>0.88505282426650855</v>
      </c>
    </row>
    <row r="441" spans="2:15" x14ac:dyDescent="0.35">
      <c r="B441" s="11">
        <f t="shared" si="118"/>
        <v>0.5</v>
      </c>
      <c r="C441" s="12">
        <v>0.5</v>
      </c>
      <c r="D441" s="27">
        <v>0.2</v>
      </c>
      <c r="E441" s="26">
        <f t="shared" si="119"/>
        <v>0.4</v>
      </c>
      <c r="F441" s="28">
        <f t="shared" si="120"/>
        <v>0.4</v>
      </c>
      <c r="G441" s="11">
        <v>275.3</v>
      </c>
      <c r="H441" s="12">
        <v>3.4</v>
      </c>
      <c r="J441" s="92">
        <v>35.539301782696526</v>
      </c>
      <c r="K441">
        <v>35.526443998161355</v>
      </c>
      <c r="L441">
        <f t="shared" si="121"/>
        <v>4.4895411710628087E-2</v>
      </c>
      <c r="N441">
        <v>0.88505282426650855</v>
      </c>
    </row>
    <row r="442" spans="2:15" x14ac:dyDescent="0.35">
      <c r="B442" s="11">
        <f t="shared" si="118"/>
        <v>0.5</v>
      </c>
      <c r="C442" s="12">
        <v>0.5</v>
      </c>
      <c r="D442" s="27">
        <v>0.2</v>
      </c>
      <c r="E442" s="26">
        <f t="shared" si="119"/>
        <v>0.4</v>
      </c>
      <c r="F442" s="28">
        <f t="shared" si="120"/>
        <v>0.4</v>
      </c>
      <c r="G442" s="11">
        <v>275.3</v>
      </c>
      <c r="H442" s="12">
        <v>3.4</v>
      </c>
      <c r="J442" s="92">
        <v>35.539301782696526</v>
      </c>
      <c r="K442">
        <v>35.526443998161355</v>
      </c>
      <c r="L442">
        <f t="shared" si="121"/>
        <v>4.4895411710628087E-2</v>
      </c>
      <c r="N442">
        <v>0.88505282426650855</v>
      </c>
    </row>
    <row r="443" spans="2:15" x14ac:dyDescent="0.35">
      <c r="B443" s="11">
        <f t="shared" si="118"/>
        <v>0.5</v>
      </c>
      <c r="C443" s="12">
        <v>0.5</v>
      </c>
      <c r="D443" s="27">
        <v>0.2</v>
      </c>
      <c r="E443" s="26">
        <f t="shared" si="119"/>
        <v>0.4</v>
      </c>
      <c r="F443" s="28">
        <f t="shared" si="120"/>
        <v>0.4</v>
      </c>
      <c r="G443" s="11">
        <v>275.3</v>
      </c>
      <c r="H443" s="12">
        <v>3.5</v>
      </c>
      <c r="J443" s="92">
        <v>35.539301787188663</v>
      </c>
      <c r="K443">
        <v>35.526443995224071</v>
      </c>
      <c r="L443">
        <f t="shared" si="121"/>
        <v>1.504125700640202E-2</v>
      </c>
      <c r="N443">
        <v>0.88505282426691845</v>
      </c>
    </row>
    <row r="444" spans="2:15" x14ac:dyDescent="0.35">
      <c r="B444" s="11">
        <f t="shared" si="118"/>
        <v>0.5</v>
      </c>
      <c r="C444" s="12">
        <v>0.5</v>
      </c>
      <c r="D444" s="27">
        <v>0.2</v>
      </c>
      <c r="E444" s="26">
        <f t="shared" si="119"/>
        <v>0.4</v>
      </c>
      <c r="F444" s="28">
        <f t="shared" si="120"/>
        <v>0.4</v>
      </c>
      <c r="G444" s="11">
        <v>275.39999999999998</v>
      </c>
      <c r="H444" s="12">
        <v>3.6</v>
      </c>
      <c r="J444" s="92">
        <v>35.896880855865177</v>
      </c>
      <c r="K444">
        <v>35.883698887778159</v>
      </c>
      <c r="L444">
        <f t="shared" si="121"/>
        <v>3.2305864506066858E-3</v>
      </c>
      <c r="N444">
        <v>0.88471734828964244</v>
      </c>
    </row>
    <row r="445" spans="2:15" x14ac:dyDescent="0.35">
      <c r="B445" s="11">
        <f t="shared" si="118"/>
        <v>0.5</v>
      </c>
      <c r="C445" s="12">
        <v>0.5</v>
      </c>
      <c r="D445" s="27">
        <v>0.2</v>
      </c>
      <c r="E445" s="26">
        <f t="shared" si="119"/>
        <v>0.4</v>
      </c>
      <c r="F445" s="28">
        <f t="shared" si="120"/>
        <v>0.4</v>
      </c>
      <c r="G445" s="11">
        <v>275.3</v>
      </c>
      <c r="H445" s="12">
        <v>3.8</v>
      </c>
      <c r="J445" s="92">
        <v>35.539301789421707</v>
      </c>
      <c r="K445">
        <v>35.526443997931757</v>
      </c>
      <c r="L445">
        <f t="shared" si="121"/>
        <v>6.5093579001795868E-2</v>
      </c>
      <c r="N445">
        <v>0.88505282426813225</v>
      </c>
    </row>
    <row r="446" spans="2:15" x14ac:dyDescent="0.35">
      <c r="B446" s="11">
        <f t="shared" si="118"/>
        <v>0.5</v>
      </c>
      <c r="C446" s="12">
        <v>0.5</v>
      </c>
      <c r="D446" s="27">
        <v>0.2</v>
      </c>
      <c r="E446" s="26">
        <f t="shared" si="119"/>
        <v>0.4</v>
      </c>
      <c r="F446" s="28">
        <f t="shared" si="120"/>
        <v>0.4</v>
      </c>
      <c r="G446" s="11">
        <v>275.2</v>
      </c>
      <c r="H446" s="12">
        <v>4</v>
      </c>
      <c r="J446" s="92">
        <v>35.185616414162276</v>
      </c>
      <c r="K446">
        <v>35.173074865070944</v>
      </c>
      <c r="L446">
        <f t="shared" si="121"/>
        <v>0.12067312837322638</v>
      </c>
      <c r="N446">
        <v>0.88538528890224799</v>
      </c>
    </row>
    <row r="447" spans="2:15" x14ac:dyDescent="0.35">
      <c r="B447" s="11">
        <f t="shared" si="118"/>
        <v>0.20999999999999996</v>
      </c>
      <c r="C447" s="12">
        <v>0.79</v>
      </c>
      <c r="D447" s="27">
        <v>0.2</v>
      </c>
      <c r="E447" s="26">
        <f t="shared" si="119"/>
        <v>0.16799999999999998</v>
      </c>
      <c r="F447" s="28">
        <f t="shared" si="120"/>
        <v>0.63200000000000012</v>
      </c>
      <c r="G447" s="11">
        <v>275.3</v>
      </c>
      <c r="H447" s="12">
        <v>7.3</v>
      </c>
      <c r="J447" s="92">
        <v>77.70301795904075</v>
      </c>
      <c r="K447">
        <v>77.58271953877194</v>
      </c>
      <c r="L447">
        <f t="shared" si="121"/>
        <v>6.2776979983177258E-2</v>
      </c>
      <c r="N447">
        <v>0.65823804543780562</v>
      </c>
    </row>
    <row r="448" spans="2:15" x14ac:dyDescent="0.35">
      <c r="B448" s="11">
        <f t="shared" si="118"/>
        <v>0.20999999999999996</v>
      </c>
      <c r="C448" s="12">
        <v>0.79</v>
      </c>
      <c r="D448" s="27">
        <v>0.2</v>
      </c>
      <c r="E448" s="26">
        <f t="shared" si="119"/>
        <v>0.16799999999999998</v>
      </c>
      <c r="F448" s="28">
        <f t="shared" si="120"/>
        <v>0.63200000000000012</v>
      </c>
      <c r="G448" s="11">
        <v>275.39999999999998</v>
      </c>
      <c r="H448" s="12">
        <v>7.7</v>
      </c>
      <c r="J448" s="92">
        <v>78.606511308874175</v>
      </c>
      <c r="K448">
        <v>78.483250510434559</v>
      </c>
      <c r="L448">
        <f t="shared" si="121"/>
        <v>1.9262993642007252E-2</v>
      </c>
      <c r="N448">
        <v>0.65723601581569191</v>
      </c>
    </row>
    <row r="449" spans="2:14" x14ac:dyDescent="0.35">
      <c r="B449" s="11">
        <f t="shared" si="118"/>
        <v>0</v>
      </c>
      <c r="C449" s="12">
        <v>1</v>
      </c>
      <c r="D449" s="27">
        <v>0.2</v>
      </c>
      <c r="E449" s="26">
        <f t="shared" si="119"/>
        <v>0</v>
      </c>
      <c r="F449" s="28">
        <f t="shared" si="120"/>
        <v>0.8</v>
      </c>
      <c r="G449" s="11">
        <v>275.60000000000002</v>
      </c>
      <c r="H449" s="12">
        <v>20.100000000000001</v>
      </c>
      <c r="J449" s="92">
        <v>223.82038792266485</v>
      </c>
      <c r="K449">
        <v>223.8203901108709</v>
      </c>
      <c r="L449">
        <f t="shared" si="121"/>
        <v>0.11353427915856169</v>
      </c>
      <c r="N449">
        <v>0</v>
      </c>
    </row>
    <row r="450" spans="2:14" x14ac:dyDescent="0.35">
      <c r="B450" s="11">
        <f t="shared" si="118"/>
        <v>0.8</v>
      </c>
      <c r="C450" s="12">
        <v>0.2</v>
      </c>
      <c r="D450" s="27">
        <v>0.2</v>
      </c>
      <c r="E450" s="26">
        <f t="shared" si="119"/>
        <v>0.64000000000000012</v>
      </c>
      <c r="F450" s="28">
        <f t="shared" si="120"/>
        <v>0.16000000000000003</v>
      </c>
      <c r="G450" s="11">
        <v>277.39999999999998</v>
      </c>
      <c r="H450" s="12">
        <v>2.7</v>
      </c>
      <c r="J450" s="92">
        <v>27.191647999841312</v>
      </c>
      <c r="K450">
        <v>27.189080680614005</v>
      </c>
      <c r="L450">
        <f t="shared" si="121"/>
        <v>7.0029881708890684E-3</v>
      </c>
      <c r="N450">
        <v>0.96708301727302182</v>
      </c>
    </row>
    <row r="451" spans="2:14" x14ac:dyDescent="0.35">
      <c r="B451" s="11">
        <f t="shared" si="118"/>
        <v>0.5</v>
      </c>
      <c r="C451" s="12">
        <v>0.5</v>
      </c>
      <c r="D451" s="27">
        <v>0.2</v>
      </c>
      <c r="E451" s="26">
        <f t="shared" si="119"/>
        <v>0.4</v>
      </c>
      <c r="F451" s="28">
        <f t="shared" si="120"/>
        <v>0.4</v>
      </c>
      <c r="G451" s="11">
        <v>277.2</v>
      </c>
      <c r="H451" s="12">
        <v>5.0999999999999996</v>
      </c>
      <c r="J451" s="92">
        <v>43.063980389088748</v>
      </c>
      <c r="K451">
        <v>43.043358878265288</v>
      </c>
      <c r="L451">
        <f t="shared" si="121"/>
        <v>0.15601257101440613</v>
      </c>
      <c r="N451">
        <v>0.87809848436446569</v>
      </c>
    </row>
    <row r="452" spans="2:14" x14ac:dyDescent="0.35">
      <c r="B452" s="11">
        <f t="shared" si="118"/>
        <v>0.20999999999999996</v>
      </c>
      <c r="C452" s="12">
        <v>0.79</v>
      </c>
      <c r="D452" s="27">
        <v>0.2</v>
      </c>
      <c r="E452" s="26">
        <f t="shared" si="119"/>
        <v>0.16799999999999998</v>
      </c>
      <c r="F452" s="28">
        <f t="shared" si="120"/>
        <v>0.63200000000000012</v>
      </c>
      <c r="G452" s="11">
        <v>277.39999999999998</v>
      </c>
      <c r="H452" s="12">
        <v>9.9</v>
      </c>
      <c r="J452" s="92">
        <v>100.04179145467803</v>
      </c>
      <c r="K452">
        <v>99.842101876180479</v>
      </c>
      <c r="L452">
        <f t="shared" si="121"/>
        <v>8.5060795573785736E-3</v>
      </c>
      <c r="N452">
        <v>0.63471618055232171</v>
      </c>
    </row>
    <row r="453" spans="2:14" x14ac:dyDescent="0.35">
      <c r="B453" s="11">
        <f t="shared" si="118"/>
        <v>0.8</v>
      </c>
      <c r="C453" s="12">
        <v>0.2</v>
      </c>
      <c r="D453" s="27">
        <v>0.2</v>
      </c>
      <c r="E453" s="26">
        <f t="shared" si="119"/>
        <v>0.64000000000000012</v>
      </c>
      <c r="F453" s="28">
        <f t="shared" si="120"/>
        <v>0.16000000000000003</v>
      </c>
      <c r="G453" s="11">
        <v>279.39999999999998</v>
      </c>
      <c r="H453" s="12">
        <v>3.6</v>
      </c>
      <c r="J453" s="92">
        <v>32.713551629537577</v>
      </c>
      <c r="K453">
        <v>32.709409529963764</v>
      </c>
      <c r="L453">
        <f t="shared" si="121"/>
        <v>9.1405290834339875E-2</v>
      </c>
      <c r="N453">
        <v>0.96479996749468944</v>
      </c>
    </row>
    <row r="454" spans="2:14" x14ac:dyDescent="0.35">
      <c r="B454" s="11">
        <f t="shared" si="118"/>
        <v>0.5</v>
      </c>
      <c r="C454" s="12">
        <v>0.5</v>
      </c>
      <c r="D454" s="27">
        <v>0.2</v>
      </c>
      <c r="E454" s="26">
        <f t="shared" si="119"/>
        <v>0.4</v>
      </c>
      <c r="F454" s="28">
        <f t="shared" si="120"/>
        <v>0.4</v>
      </c>
      <c r="G454" s="11">
        <v>279</v>
      </c>
      <c r="H454" s="12">
        <v>6.1</v>
      </c>
      <c r="J454" s="92">
        <v>51.892848559619367</v>
      </c>
      <c r="K454">
        <v>51.860673471631308</v>
      </c>
      <c r="L454">
        <f t="shared" si="121"/>
        <v>0.14982502505522446</v>
      </c>
      <c r="N454">
        <v>0.87009027143384399</v>
      </c>
    </row>
    <row r="455" spans="2:14" x14ac:dyDescent="0.35">
      <c r="B455" s="11">
        <f t="shared" si="118"/>
        <v>0.20999999999999996</v>
      </c>
      <c r="C455" s="12">
        <v>0.79</v>
      </c>
      <c r="D455" s="27">
        <v>0.2</v>
      </c>
      <c r="E455" s="26">
        <f t="shared" si="119"/>
        <v>0.16799999999999998</v>
      </c>
      <c r="F455" s="28">
        <f t="shared" si="120"/>
        <v>0.63200000000000012</v>
      </c>
      <c r="G455" s="11">
        <v>279.3</v>
      </c>
      <c r="H455" s="12">
        <v>12.1</v>
      </c>
      <c r="J455" s="92">
        <v>129.11182129577276</v>
      </c>
      <c r="K455">
        <v>128.80340410097756</v>
      </c>
      <c r="L455">
        <f t="shared" si="121"/>
        <v>6.4490942983285615E-2</v>
      </c>
      <c r="N455">
        <v>0.60744482620795826</v>
      </c>
    </row>
    <row r="456" spans="2:14" x14ac:dyDescent="0.35">
      <c r="B456" s="11">
        <f t="shared" si="118"/>
        <v>0.8</v>
      </c>
      <c r="C456" s="12">
        <v>0.2</v>
      </c>
      <c r="D456" s="27">
        <v>0.2</v>
      </c>
      <c r="E456" s="26">
        <f t="shared" si="119"/>
        <v>0.64000000000000012</v>
      </c>
      <c r="F456" s="28">
        <f t="shared" si="120"/>
        <v>0.16000000000000003</v>
      </c>
      <c r="G456" s="11">
        <v>281</v>
      </c>
      <c r="H456" s="12">
        <v>4</v>
      </c>
      <c r="J456" s="92">
        <v>37.911259186902988</v>
      </c>
      <c r="K456">
        <v>37.905239781423873</v>
      </c>
      <c r="L456">
        <f t="shared" si="121"/>
        <v>5.2369005464403172E-2</v>
      </c>
      <c r="N456">
        <v>0.96259173763200923</v>
      </c>
    </row>
    <row r="457" spans="2:14" x14ac:dyDescent="0.35">
      <c r="B457" s="11">
        <f t="shared" si="118"/>
        <v>0.5</v>
      </c>
      <c r="C457" s="12">
        <v>0.5</v>
      </c>
      <c r="D457" s="27">
        <v>0.2</v>
      </c>
      <c r="E457" s="26">
        <f t="shared" si="119"/>
        <v>0.4</v>
      </c>
      <c r="F457" s="28">
        <f t="shared" si="120"/>
        <v>0.4</v>
      </c>
      <c r="G457" s="11">
        <v>281.10000000000002</v>
      </c>
      <c r="H457" s="12">
        <v>7.8</v>
      </c>
      <c r="J457" s="92">
        <v>65.056465810555409</v>
      </c>
      <c r="K457">
        <v>65.002938725940979</v>
      </c>
      <c r="L457">
        <f t="shared" si="121"/>
        <v>0.16662899069306439</v>
      </c>
      <c r="N457">
        <v>0.85815214486333236</v>
      </c>
    </row>
    <row r="458" spans="2:14" x14ac:dyDescent="0.35">
      <c r="B458" s="11">
        <f t="shared" si="118"/>
        <v>0.20999999999999996</v>
      </c>
      <c r="C458" s="12">
        <v>0.79</v>
      </c>
      <c r="D458" s="27">
        <v>0.2</v>
      </c>
      <c r="E458" s="26">
        <f t="shared" si="119"/>
        <v>0.16799999999999998</v>
      </c>
      <c r="F458" s="28">
        <f t="shared" si="120"/>
        <v>0.63200000000000012</v>
      </c>
      <c r="G458" s="11">
        <v>281.10000000000002</v>
      </c>
      <c r="H458" s="12">
        <v>16</v>
      </c>
      <c r="J458" s="92">
        <v>171.99345053066244</v>
      </c>
      <c r="K458">
        <v>171.58200758652808</v>
      </c>
      <c r="L458">
        <f t="shared" si="121"/>
        <v>7.2387547415800488E-2</v>
      </c>
      <c r="N458">
        <v>0.57297711481018121</v>
      </c>
    </row>
    <row r="459" spans="2:14" x14ac:dyDescent="0.35">
      <c r="B459" s="11">
        <f t="shared" si="118"/>
        <v>0.20999999999999996</v>
      </c>
      <c r="C459" s="12">
        <v>0.79</v>
      </c>
      <c r="D459" s="27">
        <v>0.2</v>
      </c>
      <c r="E459" s="26">
        <f t="shared" si="119"/>
        <v>0.16799999999999998</v>
      </c>
      <c r="F459" s="28">
        <f t="shared" si="120"/>
        <v>0.63200000000000012</v>
      </c>
      <c r="G459" s="11">
        <v>281.10000000000002</v>
      </c>
      <c r="H459" s="12">
        <v>16.7</v>
      </c>
      <c r="J459" s="92">
        <v>171.99345052566537</v>
      </c>
      <c r="K459">
        <v>171.5820075871265</v>
      </c>
      <c r="L459">
        <f t="shared" si="121"/>
        <v>2.7437171180398189E-2</v>
      </c>
      <c r="N459">
        <v>0.5729771148095355</v>
      </c>
    </row>
    <row r="460" spans="2:14" x14ac:dyDescent="0.35">
      <c r="B460" s="11">
        <f t="shared" si="118"/>
        <v>0.8</v>
      </c>
      <c r="C460" s="12">
        <v>0.2</v>
      </c>
      <c r="D460" s="27">
        <v>0.2</v>
      </c>
      <c r="E460" s="26">
        <f t="shared" si="119"/>
        <v>0.64000000000000012</v>
      </c>
      <c r="F460" s="28">
        <f t="shared" si="120"/>
        <v>0.16000000000000003</v>
      </c>
      <c r="G460" s="11">
        <v>282.89999999999998</v>
      </c>
      <c r="H460" s="12">
        <v>5.5</v>
      </c>
      <c r="J460" s="92">
        <v>45.114476802915441</v>
      </c>
      <c r="K460">
        <v>45.105273920641181</v>
      </c>
      <c r="L460">
        <f t="shared" si="121"/>
        <v>0.17990411053379668</v>
      </c>
      <c r="N460">
        <v>0.95935108904778232</v>
      </c>
    </row>
    <row r="461" spans="2:14" x14ac:dyDescent="0.35">
      <c r="B461" s="11">
        <f t="shared" si="118"/>
        <v>0.5</v>
      </c>
      <c r="C461" s="12">
        <v>0.5</v>
      </c>
      <c r="D461" s="27">
        <v>0.2</v>
      </c>
      <c r="E461" s="26">
        <f t="shared" si="119"/>
        <v>0.4</v>
      </c>
      <c r="F461" s="28">
        <f t="shared" si="120"/>
        <v>0.4</v>
      </c>
      <c r="G461" s="11">
        <v>283.10000000000002</v>
      </c>
      <c r="H461" s="12">
        <v>11.7</v>
      </c>
      <c r="J461" s="92">
        <v>81.831005927091354</v>
      </c>
      <c r="K461">
        <v>81.747043407078834</v>
      </c>
      <c r="L461">
        <f t="shared" si="121"/>
        <v>0.30130732130701854</v>
      </c>
      <c r="N461">
        <v>0.84263545686013808</v>
      </c>
    </row>
    <row r="462" spans="2:14" x14ac:dyDescent="0.35">
      <c r="B462" s="11">
        <f>1-C462</f>
        <v>0.20999999999999996</v>
      </c>
      <c r="C462" s="12">
        <v>0.79</v>
      </c>
      <c r="D462" s="27">
        <v>0.2</v>
      </c>
      <c r="E462" s="26">
        <f t="shared" si="119"/>
        <v>0.16799999999999998</v>
      </c>
      <c r="F462" s="28">
        <f t="shared" si="120"/>
        <v>0.63200000000000012</v>
      </c>
      <c r="G462" s="11">
        <v>283</v>
      </c>
      <c r="H462" s="12">
        <v>22.4</v>
      </c>
      <c r="J462" s="92">
        <v>263.2240456550374</v>
      </c>
      <c r="K462">
        <v>263.51322300677765</v>
      </c>
      <c r="L462">
        <f t="shared" si="121"/>
        <v>0.17639831699454309</v>
      </c>
      <c r="N462">
        <v>0.51797639944818841</v>
      </c>
    </row>
    <row r="463" spans="2:14" x14ac:dyDescent="0.35">
      <c r="L463">
        <f>SUM(L437:L462)/26</f>
        <v>8.6229242320366425E-2</v>
      </c>
    </row>
    <row r="464" spans="2:14" x14ac:dyDescent="0.35">
      <c r="B464" s="168" t="s">
        <v>31</v>
      </c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</row>
    <row r="465" spans="2:14" x14ac:dyDescent="0.35">
      <c r="B465" s="3">
        <v>0.96589999999999998</v>
      </c>
      <c r="C465" s="4">
        <f>1-B465</f>
        <v>3.4100000000000019E-2</v>
      </c>
      <c r="D465" s="6">
        <v>0.8</v>
      </c>
      <c r="E465" s="7">
        <f>0.2*B465</f>
        <v>0.19318000000000002</v>
      </c>
      <c r="F465" s="14">
        <f>0.2*C465</f>
        <v>6.820000000000004E-3</v>
      </c>
      <c r="G465" s="11">
        <v>274.95</v>
      </c>
      <c r="H465" s="12">
        <v>1.5649999999999999</v>
      </c>
      <c r="I465" s="21"/>
      <c r="J465" s="68">
        <v>17.941929110710934</v>
      </c>
      <c r="K465">
        <v>17.943110199457738</v>
      </c>
      <c r="L465">
        <f>ABS(K465-H465*10)/H465/10</f>
        <v>0.14652461338388115</v>
      </c>
      <c r="M465">
        <f>ABS(J465-H465*10)/H465/10</f>
        <v>0.14644914445437288</v>
      </c>
      <c r="N465">
        <v>0.99556298547542665</v>
      </c>
    </row>
    <row r="466" spans="2:14" x14ac:dyDescent="0.35">
      <c r="B466" s="3">
        <v>0.96589999999999998</v>
      </c>
      <c r="C466" s="4">
        <f t="shared" ref="C466:C518" si="122">1-B466</f>
        <v>3.4100000000000019E-2</v>
      </c>
      <c r="D466" s="6">
        <v>0.8</v>
      </c>
      <c r="E466" s="7">
        <f t="shared" ref="E466:E492" si="123">0.2*B466</f>
        <v>0.19318000000000002</v>
      </c>
      <c r="F466" s="14">
        <f t="shared" ref="F466:F492" si="124">0.2*C466</f>
        <v>6.820000000000004E-3</v>
      </c>
      <c r="G466" s="11">
        <v>277.45</v>
      </c>
      <c r="H466" s="12">
        <v>2.06</v>
      </c>
      <c r="I466" s="21"/>
      <c r="J466" s="68">
        <v>22.414407965157256</v>
      </c>
      <c r="K466">
        <v>22.4161904281369</v>
      </c>
      <c r="L466">
        <f t="shared" ref="L466:L518" si="125">ABS(K466-H466*10)/H466/10</f>
        <v>8.816458389014073E-2</v>
      </c>
      <c r="M466">
        <f t="shared" ref="M466:M518" si="126">ABS(J466-H466*10)/H466/10</f>
        <v>8.8078056561031778E-2</v>
      </c>
      <c r="N466">
        <v>0.99522658869726788</v>
      </c>
    </row>
    <row r="467" spans="2:14" x14ac:dyDescent="0.35">
      <c r="B467" s="3">
        <v>0.96589999999999998</v>
      </c>
      <c r="C467" s="4">
        <f t="shared" si="122"/>
        <v>3.4100000000000019E-2</v>
      </c>
      <c r="D467" s="6">
        <v>0.8</v>
      </c>
      <c r="E467" s="7">
        <f t="shared" si="123"/>
        <v>0.19318000000000002</v>
      </c>
      <c r="F467" s="14">
        <f t="shared" si="124"/>
        <v>6.820000000000004E-3</v>
      </c>
      <c r="G467" s="11">
        <v>280.25</v>
      </c>
      <c r="H467" s="12">
        <v>2.9</v>
      </c>
      <c r="I467" s="21"/>
      <c r="J467" s="68">
        <v>28.649423766516048</v>
      </c>
      <c r="K467">
        <v>28.652091124786693</v>
      </c>
      <c r="L467">
        <f t="shared" si="125"/>
        <v>1.1996857765976091E-2</v>
      </c>
      <c r="M467">
        <f t="shared" si="126"/>
        <v>1.2088835637377669E-2</v>
      </c>
      <c r="N467">
        <v>0.99474826504507385</v>
      </c>
    </row>
    <row r="468" spans="2:14" x14ac:dyDescent="0.35">
      <c r="B468" s="3">
        <v>0.96589999999999998</v>
      </c>
      <c r="C468" s="4">
        <f t="shared" si="122"/>
        <v>3.4100000000000019E-2</v>
      </c>
      <c r="D468" s="6">
        <v>0.8</v>
      </c>
      <c r="E468" s="7">
        <f t="shared" si="123"/>
        <v>0.19318000000000002</v>
      </c>
      <c r="F468" s="14">
        <f t="shared" si="124"/>
        <v>6.820000000000004E-3</v>
      </c>
      <c r="G468" s="11">
        <v>282.55</v>
      </c>
      <c r="H468" s="12">
        <v>4</v>
      </c>
      <c r="I468" s="21"/>
      <c r="J468" s="68">
        <v>34.85182942029811</v>
      </c>
      <c r="K468">
        <v>34.855228583999747</v>
      </c>
      <c r="L468">
        <f t="shared" si="125"/>
        <v>0.12861928540000633</v>
      </c>
      <c r="M468">
        <f t="shared" si="126"/>
        <v>0.12870426449254727</v>
      </c>
      <c r="N468">
        <v>0.99423456101331165</v>
      </c>
    </row>
    <row r="469" spans="2:14" x14ac:dyDescent="0.35">
      <c r="B469" s="3">
        <v>0.96589999999999998</v>
      </c>
      <c r="C469" s="4">
        <f t="shared" si="122"/>
        <v>3.4100000000000019E-2</v>
      </c>
      <c r="D469" s="6">
        <v>0.8</v>
      </c>
      <c r="E469" s="7">
        <f t="shared" si="123"/>
        <v>0.19318000000000002</v>
      </c>
      <c r="F469" s="14">
        <f t="shared" si="124"/>
        <v>6.820000000000004E-3</v>
      </c>
      <c r="G469" s="11">
        <v>283.55</v>
      </c>
      <c r="H469" s="12">
        <v>5.1150000000000002</v>
      </c>
      <c r="I469" s="21"/>
      <c r="J469" s="68">
        <v>37.854012245516806</v>
      </c>
      <c r="K469">
        <v>37.857597222535766</v>
      </c>
      <c r="L469">
        <f t="shared" si="125"/>
        <v>0.25987102204231161</v>
      </c>
      <c r="M469">
        <f t="shared" si="126"/>
        <v>0.25994110956956401</v>
      </c>
      <c r="N469">
        <v>0.99396361744644923</v>
      </c>
    </row>
    <row r="470" spans="2:14" x14ac:dyDescent="0.35">
      <c r="B470" s="3">
        <v>0.77800000000000002</v>
      </c>
      <c r="C470" s="4">
        <f t="shared" si="122"/>
        <v>0.22199999999999998</v>
      </c>
      <c r="D470" s="6">
        <v>0.8</v>
      </c>
      <c r="E470" s="7">
        <f t="shared" si="123"/>
        <v>0.15560000000000002</v>
      </c>
      <c r="F470" s="14">
        <f t="shared" si="124"/>
        <v>4.4399999999999995E-2</v>
      </c>
      <c r="G470" s="11">
        <v>274</v>
      </c>
      <c r="H470" s="12">
        <v>2</v>
      </c>
      <c r="I470" s="21"/>
      <c r="J470" s="68">
        <v>20.391591849240072</v>
      </c>
      <c r="K470">
        <v>20.407331262708901</v>
      </c>
      <c r="L470">
        <f t="shared" si="125"/>
        <v>2.0366563135445048E-2</v>
      </c>
      <c r="M470">
        <f t="shared" si="126"/>
        <v>1.9579592462003602E-2</v>
      </c>
      <c r="N470">
        <v>0.96592347685299185</v>
      </c>
    </row>
    <row r="471" spans="2:14" x14ac:dyDescent="0.35">
      <c r="B471" s="3">
        <v>0.77800000000000002</v>
      </c>
      <c r="C471" s="4">
        <f t="shared" si="122"/>
        <v>0.22199999999999998</v>
      </c>
      <c r="D471" s="6">
        <v>0.8</v>
      </c>
      <c r="E471" s="7">
        <f t="shared" si="123"/>
        <v>0.15560000000000002</v>
      </c>
      <c r="F471" s="14">
        <f t="shared" si="124"/>
        <v>4.4399999999999995E-2</v>
      </c>
      <c r="G471" s="11">
        <v>276.14999999999998</v>
      </c>
      <c r="H471" s="12">
        <v>2.6</v>
      </c>
      <c r="I471" s="21"/>
      <c r="J471" s="68">
        <v>24.904678327508808</v>
      </c>
      <c r="K471">
        <v>24.926717975277008</v>
      </c>
      <c r="L471">
        <f t="shared" si="125"/>
        <v>4.1280077873961249E-2</v>
      </c>
      <c r="M471">
        <f t="shared" si="126"/>
        <v>4.2127756634276606E-2</v>
      </c>
      <c r="N471">
        <v>0.96378384890981539</v>
      </c>
    </row>
    <row r="472" spans="2:14" x14ac:dyDescent="0.35">
      <c r="B472" s="3">
        <v>0.77800000000000002</v>
      </c>
      <c r="C472" s="4">
        <f t="shared" si="122"/>
        <v>0.22199999999999998</v>
      </c>
      <c r="D472" s="6">
        <v>0.8</v>
      </c>
      <c r="E472" s="7">
        <f t="shared" si="123"/>
        <v>0.15560000000000002</v>
      </c>
      <c r="F472" s="14">
        <f t="shared" si="124"/>
        <v>4.4399999999999995E-2</v>
      </c>
      <c r="G472" s="11">
        <v>280.64999999999998</v>
      </c>
      <c r="H472" s="12">
        <v>4.2249999999999996</v>
      </c>
      <c r="I472" s="21"/>
      <c r="J472" s="68">
        <v>37.862875139475186</v>
      </c>
      <c r="K472">
        <v>37.905988480925217</v>
      </c>
      <c r="L472">
        <f t="shared" si="125"/>
        <v>0.10281684068816055</v>
      </c>
      <c r="M472">
        <f t="shared" si="126"/>
        <v>0.10383727480532105</v>
      </c>
      <c r="N472">
        <v>0.95762158352111082</v>
      </c>
    </row>
    <row r="473" spans="2:14" x14ac:dyDescent="0.35">
      <c r="B473" s="3">
        <v>0.77800000000000002</v>
      </c>
      <c r="C473" s="4">
        <f t="shared" si="122"/>
        <v>0.22199999999999998</v>
      </c>
      <c r="D473" s="6">
        <v>0.8</v>
      </c>
      <c r="E473" s="7">
        <f t="shared" si="123"/>
        <v>0.15560000000000002</v>
      </c>
      <c r="F473" s="14">
        <f t="shared" si="124"/>
        <v>4.4399999999999995E-2</v>
      </c>
      <c r="G473" s="11">
        <v>283.45</v>
      </c>
      <c r="H473" s="12">
        <v>6.45</v>
      </c>
      <c r="I473" s="21"/>
      <c r="J473" s="68">
        <v>49.083132415226004</v>
      </c>
      <c r="K473">
        <v>49.142145744968879</v>
      </c>
      <c r="L473">
        <f t="shared" si="125"/>
        <v>0.23810626751986233</v>
      </c>
      <c r="M473">
        <f t="shared" si="126"/>
        <v>0.23902120286471312</v>
      </c>
      <c r="N473">
        <v>0.95174658738998019</v>
      </c>
    </row>
    <row r="474" spans="2:14" x14ac:dyDescent="0.35">
      <c r="B474" s="3">
        <v>0.77800000000000002</v>
      </c>
      <c r="C474" s="4">
        <f t="shared" si="122"/>
        <v>0.22199999999999998</v>
      </c>
      <c r="D474" s="6">
        <v>0.8</v>
      </c>
      <c r="E474" s="7">
        <f t="shared" si="123"/>
        <v>0.15560000000000002</v>
      </c>
      <c r="F474" s="14">
        <f t="shared" si="124"/>
        <v>4.4399999999999995E-2</v>
      </c>
      <c r="G474" s="11">
        <v>284.25</v>
      </c>
      <c r="H474" s="12">
        <v>7.4450000000000003</v>
      </c>
      <c r="I474" s="21"/>
      <c r="J474" s="68">
        <v>52.83015156029979</v>
      </c>
      <c r="K474">
        <v>52.891831461859823</v>
      </c>
      <c r="L474">
        <f t="shared" si="125"/>
        <v>0.28956572918925694</v>
      </c>
      <c r="M474">
        <f t="shared" si="126"/>
        <v>0.29039420335393162</v>
      </c>
      <c r="N474">
        <v>0.94958892444936349</v>
      </c>
    </row>
    <row r="475" spans="2:14" x14ac:dyDescent="0.35">
      <c r="B475" s="3">
        <v>0.48149999999999998</v>
      </c>
      <c r="C475" s="4">
        <f t="shared" si="122"/>
        <v>0.51849999999999996</v>
      </c>
      <c r="D475" s="6">
        <v>0.8</v>
      </c>
      <c r="E475" s="7">
        <f t="shared" si="123"/>
        <v>9.6299999999999997E-2</v>
      </c>
      <c r="F475" s="14">
        <f t="shared" si="124"/>
        <v>0.1037</v>
      </c>
      <c r="G475" s="11">
        <v>273.75</v>
      </c>
      <c r="H475" s="12">
        <v>3.1949999999999998</v>
      </c>
      <c r="I475" s="21"/>
      <c r="J475" s="68">
        <v>31.471121407768319</v>
      </c>
      <c r="K475">
        <v>31.599544189845144</v>
      </c>
      <c r="L475">
        <f t="shared" si="125"/>
        <v>1.0968882946943832E-2</v>
      </c>
      <c r="M475">
        <f t="shared" si="126"/>
        <v>1.4988375343714572E-2</v>
      </c>
      <c r="N475">
        <v>0.88146194914872911</v>
      </c>
    </row>
    <row r="476" spans="2:14" x14ac:dyDescent="0.35">
      <c r="B476" s="3">
        <v>0.48149999999999998</v>
      </c>
      <c r="C476" s="4">
        <f t="shared" si="122"/>
        <v>0.51849999999999996</v>
      </c>
      <c r="D476" s="6">
        <v>0.8</v>
      </c>
      <c r="E476" s="7">
        <f t="shared" si="123"/>
        <v>9.6299999999999997E-2</v>
      </c>
      <c r="F476" s="14">
        <f t="shared" si="124"/>
        <v>0.1037</v>
      </c>
      <c r="G476" s="11">
        <v>276</v>
      </c>
      <c r="H476" s="12">
        <v>4.2569999999999997</v>
      </c>
      <c r="I476" s="21"/>
      <c r="J476" s="68">
        <v>39.434584248157378</v>
      </c>
      <c r="K476">
        <v>39.618369328214001</v>
      </c>
      <c r="L476">
        <f t="shared" si="125"/>
        <v>6.933593309339893E-2</v>
      </c>
      <c r="M476">
        <f t="shared" si="126"/>
        <v>7.3653177163321953E-2</v>
      </c>
      <c r="N476">
        <v>0.8732560248443707</v>
      </c>
    </row>
    <row r="477" spans="2:14" x14ac:dyDescent="0.35">
      <c r="B477" s="3">
        <v>0.48149999999999998</v>
      </c>
      <c r="C477" s="4">
        <f t="shared" si="122"/>
        <v>0.51849999999999996</v>
      </c>
      <c r="D477" s="6">
        <v>0.8</v>
      </c>
      <c r="E477" s="7">
        <f t="shared" si="123"/>
        <v>9.6299999999999997E-2</v>
      </c>
      <c r="F477" s="14">
        <f t="shared" si="124"/>
        <v>0.1037</v>
      </c>
      <c r="G477" s="11">
        <v>279</v>
      </c>
      <c r="H477" s="12">
        <v>5.867</v>
      </c>
      <c r="I477" s="21"/>
      <c r="J477" s="68">
        <v>53.815939325403974</v>
      </c>
      <c r="K477">
        <v>54.117280178300156</v>
      </c>
      <c r="L477">
        <f t="shared" si="125"/>
        <v>7.7598769757965674E-2</v>
      </c>
      <c r="M477">
        <f t="shared" si="126"/>
        <v>8.2734969739151648E-2</v>
      </c>
      <c r="N477">
        <v>0.85877726354475703</v>
      </c>
    </row>
    <row r="478" spans="2:14" x14ac:dyDescent="0.35">
      <c r="B478" s="3">
        <v>0.48149999999999998</v>
      </c>
      <c r="C478" s="4">
        <f t="shared" si="122"/>
        <v>0.51849999999999996</v>
      </c>
      <c r="D478" s="6">
        <v>0.8</v>
      </c>
      <c r="E478" s="7">
        <f t="shared" si="123"/>
        <v>9.6299999999999997E-2</v>
      </c>
      <c r="F478" s="14">
        <f t="shared" si="124"/>
        <v>0.1037</v>
      </c>
      <c r="G478" s="11">
        <v>281</v>
      </c>
      <c r="H478" s="12">
        <v>7.4489999999999998</v>
      </c>
      <c r="I478" s="21"/>
      <c r="J478" s="68">
        <v>66.93060925025722</v>
      </c>
      <c r="K478">
        <v>67.348891525242209</v>
      </c>
      <c r="L478">
        <f t="shared" si="125"/>
        <v>9.5866673040109901E-2</v>
      </c>
      <c r="M478">
        <f t="shared" si="126"/>
        <v>0.10148195395009767</v>
      </c>
      <c r="N478">
        <v>0.84542797267528147</v>
      </c>
    </row>
    <row r="479" spans="2:14" x14ac:dyDescent="0.35">
      <c r="B479" s="3">
        <v>0.48149999999999998</v>
      </c>
      <c r="C479" s="4">
        <f t="shared" si="122"/>
        <v>0.51849999999999996</v>
      </c>
      <c r="D479" s="6">
        <v>0.8</v>
      </c>
      <c r="E479" s="7">
        <f t="shared" si="123"/>
        <v>9.6299999999999997E-2</v>
      </c>
      <c r="F479" s="14">
        <f t="shared" si="124"/>
        <v>0.1037</v>
      </c>
      <c r="G479" s="11">
        <v>282</v>
      </c>
      <c r="H479" s="12">
        <v>8.9749999999999996</v>
      </c>
      <c r="I479" s="21"/>
      <c r="J479" s="68">
        <v>75.034214122204119</v>
      </c>
      <c r="K479">
        <v>75.521487384783143</v>
      </c>
      <c r="L479">
        <f t="shared" si="125"/>
        <v>0.15853495950102348</v>
      </c>
      <c r="M479">
        <f t="shared" si="126"/>
        <v>0.16396418805343599</v>
      </c>
      <c r="N479">
        <v>0.83699262280336462</v>
      </c>
    </row>
    <row r="480" spans="2:14" x14ac:dyDescent="0.35">
      <c r="B480" s="3">
        <v>0.17610000000000001</v>
      </c>
      <c r="C480" s="4">
        <f t="shared" si="122"/>
        <v>0.82389999999999997</v>
      </c>
      <c r="D480" s="6">
        <v>0.8</v>
      </c>
      <c r="E480" s="7">
        <f t="shared" si="123"/>
        <v>3.5220000000000001E-2</v>
      </c>
      <c r="F480" s="14">
        <f t="shared" si="124"/>
        <v>0.16478000000000001</v>
      </c>
      <c r="G480" s="11">
        <v>272.85000000000002</v>
      </c>
      <c r="H480" s="12">
        <v>7.24</v>
      </c>
      <c r="I480" s="21"/>
      <c r="J480" s="68">
        <v>66.949267708630899</v>
      </c>
      <c r="K480">
        <v>68.083266203027776</v>
      </c>
      <c r="L480">
        <f t="shared" si="125"/>
        <v>5.9623394985804282E-2</v>
      </c>
      <c r="M480">
        <f t="shared" si="126"/>
        <v>7.5286357615595406E-2</v>
      </c>
      <c r="N480">
        <v>0.62058287413133695</v>
      </c>
    </row>
    <row r="481" spans="2:19" x14ac:dyDescent="0.35">
      <c r="B481" s="3">
        <v>0.17610000000000001</v>
      </c>
      <c r="C481" s="4">
        <f t="shared" si="122"/>
        <v>0.82389999999999997</v>
      </c>
      <c r="D481" s="6">
        <v>0.8</v>
      </c>
      <c r="E481" s="7">
        <f t="shared" si="123"/>
        <v>3.5220000000000001E-2</v>
      </c>
      <c r="F481" s="14">
        <f t="shared" si="124"/>
        <v>0.16478000000000001</v>
      </c>
      <c r="G481" s="11">
        <v>274.05</v>
      </c>
      <c r="H481" s="12">
        <v>8.120000000000001</v>
      </c>
      <c r="I481" s="21"/>
      <c r="J481" s="68">
        <v>76.548496281763988</v>
      </c>
      <c r="K481">
        <v>77.934728624895897</v>
      </c>
      <c r="L481">
        <f t="shared" si="125"/>
        <v>4.0212701663843844E-2</v>
      </c>
      <c r="M481">
        <f t="shared" si="126"/>
        <v>5.7284528549704783E-2</v>
      </c>
      <c r="N481">
        <v>0.60747121076227351</v>
      </c>
    </row>
    <row r="482" spans="2:19" x14ac:dyDescent="0.35">
      <c r="B482" s="3">
        <v>0.17610000000000001</v>
      </c>
      <c r="C482" s="4">
        <f t="shared" si="122"/>
        <v>0.82389999999999997</v>
      </c>
      <c r="D482" s="6">
        <v>0.8</v>
      </c>
      <c r="E482" s="7">
        <f t="shared" si="123"/>
        <v>3.5220000000000001E-2</v>
      </c>
      <c r="F482" s="14">
        <f t="shared" si="124"/>
        <v>0.16478000000000001</v>
      </c>
      <c r="G482" s="11">
        <v>277.45</v>
      </c>
      <c r="H482" s="12">
        <v>10.65</v>
      </c>
      <c r="I482" s="21"/>
      <c r="J482" s="68">
        <v>115.72522799142814</v>
      </c>
      <c r="K482">
        <v>118.27165698008262</v>
      </c>
      <c r="L482">
        <f t="shared" si="125"/>
        <v>0.11053199042331104</v>
      </c>
      <c r="M482">
        <f t="shared" si="126"/>
        <v>8.6621859074442642E-2</v>
      </c>
      <c r="N482">
        <v>0.55906945609400316</v>
      </c>
    </row>
    <row r="483" spans="2:19" x14ac:dyDescent="0.35">
      <c r="B483" s="3">
        <v>0.17610000000000001</v>
      </c>
      <c r="C483" s="4">
        <f t="shared" si="122"/>
        <v>0.82389999999999997</v>
      </c>
      <c r="D483" s="6">
        <v>0.8</v>
      </c>
      <c r="E483" s="7">
        <f t="shared" si="123"/>
        <v>3.5220000000000001E-2</v>
      </c>
      <c r="F483" s="14">
        <f t="shared" si="124"/>
        <v>0.16478000000000001</v>
      </c>
      <c r="G483" s="11">
        <v>278.64999999999998</v>
      </c>
      <c r="H483" s="12">
        <v>11.748000000000001</v>
      </c>
      <c r="I483" s="21"/>
      <c r="J483" s="68">
        <v>136.61719479961567</v>
      </c>
      <c r="K483">
        <v>139.80639000088161</v>
      </c>
      <c r="L483">
        <f t="shared" si="125"/>
        <v>0.19004417773988411</v>
      </c>
      <c r="M483">
        <f t="shared" si="126"/>
        <v>0.16289747020442336</v>
      </c>
      <c r="N483">
        <v>0.53602030496460351</v>
      </c>
    </row>
    <row r="484" spans="2:19" x14ac:dyDescent="0.35">
      <c r="B484" s="3">
        <v>0.17610000000000001</v>
      </c>
      <c r="C484" s="4">
        <f t="shared" si="122"/>
        <v>0.82389999999999997</v>
      </c>
      <c r="D484" s="6">
        <v>0.8</v>
      </c>
      <c r="E484" s="7">
        <f t="shared" si="123"/>
        <v>3.5220000000000001E-2</v>
      </c>
      <c r="F484" s="14">
        <f t="shared" si="124"/>
        <v>0.16478000000000001</v>
      </c>
      <c r="G484" s="11">
        <v>280.55</v>
      </c>
      <c r="H484" s="12">
        <v>14.219999999999999</v>
      </c>
      <c r="I484" s="21"/>
      <c r="J484" s="68">
        <v>185.63697125714441</v>
      </c>
      <c r="K484">
        <v>190.0741724606734</v>
      </c>
      <c r="L484">
        <f t="shared" si="125"/>
        <v>0.33666787947027715</v>
      </c>
      <c r="M484">
        <f t="shared" si="126"/>
        <v>0.30546393289131102</v>
      </c>
      <c r="N484">
        <v>0.48836517807370855</v>
      </c>
    </row>
    <row r="485" spans="2:19" x14ac:dyDescent="0.35">
      <c r="B485" s="3">
        <v>0.1159</v>
      </c>
      <c r="C485" s="4">
        <f t="shared" si="122"/>
        <v>0.8841</v>
      </c>
      <c r="D485" s="6">
        <v>0.8</v>
      </c>
      <c r="E485" s="7">
        <f t="shared" si="123"/>
        <v>2.3180000000000003E-2</v>
      </c>
      <c r="F485" s="14">
        <f t="shared" si="124"/>
        <v>0.17682</v>
      </c>
      <c r="G485" s="11">
        <v>274.25</v>
      </c>
      <c r="H485" s="12">
        <v>11.02</v>
      </c>
      <c r="I485" s="21"/>
      <c r="J485" s="68">
        <v>104.89567444268211</v>
      </c>
      <c r="K485">
        <v>107.56018499652815</v>
      </c>
      <c r="L485">
        <f t="shared" si="125"/>
        <v>2.395476409684064E-2</v>
      </c>
      <c r="M485">
        <f t="shared" si="126"/>
        <v>4.8133625746986222E-2</v>
      </c>
      <c r="N485">
        <v>0.46911359663839275</v>
      </c>
    </row>
    <row r="486" spans="2:19" x14ac:dyDescent="0.35">
      <c r="B486" s="3">
        <v>0.1159</v>
      </c>
      <c r="C486" s="4">
        <f t="shared" si="122"/>
        <v>0.8841</v>
      </c>
      <c r="D486" s="6">
        <v>0.8</v>
      </c>
      <c r="E486" s="7">
        <f t="shared" si="123"/>
        <v>2.3180000000000003E-2</v>
      </c>
      <c r="F486" s="14">
        <f t="shared" si="124"/>
        <v>0.17682</v>
      </c>
      <c r="G486" s="11">
        <v>275.64999999999998</v>
      </c>
      <c r="H486" s="12">
        <v>13.87</v>
      </c>
      <c r="I486" s="21"/>
      <c r="J486" s="68">
        <v>124.84376667203563</v>
      </c>
      <c r="K486">
        <v>128.25965226507503</v>
      </c>
      <c r="L486">
        <f t="shared" si="125"/>
        <v>7.5272874801189299E-2</v>
      </c>
      <c r="M486">
        <f t="shared" si="126"/>
        <v>9.9900744974508737E-2</v>
      </c>
      <c r="N486">
        <v>0.44710142103254774</v>
      </c>
    </row>
    <row r="487" spans="2:19" x14ac:dyDescent="0.35">
      <c r="B487" s="3">
        <v>0.1159</v>
      </c>
      <c r="C487" s="4">
        <f t="shared" si="122"/>
        <v>0.8841</v>
      </c>
      <c r="D487" s="6">
        <v>0.8</v>
      </c>
      <c r="E487" s="7">
        <f t="shared" si="123"/>
        <v>2.3180000000000003E-2</v>
      </c>
      <c r="F487" s="14">
        <f t="shared" si="124"/>
        <v>0.17682</v>
      </c>
      <c r="G487" s="11">
        <v>277.60000000000002</v>
      </c>
      <c r="H487" s="12">
        <v>18.100000000000001</v>
      </c>
      <c r="I487" s="21"/>
      <c r="J487" s="68">
        <v>163.40214791986389</v>
      </c>
      <c r="K487">
        <v>168.33275786613149</v>
      </c>
      <c r="L487">
        <f t="shared" si="125"/>
        <v>6.9984763170544265E-2</v>
      </c>
      <c r="M487">
        <f t="shared" si="126"/>
        <v>9.7225702100199485E-2</v>
      </c>
      <c r="N487">
        <v>0.41017292217205215</v>
      </c>
    </row>
    <row r="488" spans="2:19" x14ac:dyDescent="0.35">
      <c r="B488" s="3">
        <v>0.1159</v>
      </c>
      <c r="C488" s="4">
        <f t="shared" si="122"/>
        <v>0.8841</v>
      </c>
      <c r="D488" s="6">
        <v>0.8</v>
      </c>
      <c r="E488" s="7">
        <f t="shared" si="123"/>
        <v>2.3180000000000003E-2</v>
      </c>
      <c r="F488" s="14">
        <f t="shared" si="124"/>
        <v>0.17682</v>
      </c>
      <c r="G488" s="11">
        <v>278.95</v>
      </c>
      <c r="H488" s="12">
        <v>22.23</v>
      </c>
      <c r="I488" s="21"/>
      <c r="J488" s="68">
        <v>202.93407641809435</v>
      </c>
      <c r="K488">
        <v>209.34998294029052</v>
      </c>
      <c r="L488">
        <f t="shared" si="125"/>
        <v>5.8254687628022918E-2</v>
      </c>
      <c r="M488">
        <f t="shared" si="126"/>
        <v>8.7116165460664238E-2</v>
      </c>
      <c r="N488">
        <v>0.37866839682296705</v>
      </c>
    </row>
    <row r="489" spans="2:19" x14ac:dyDescent="0.35">
      <c r="B489" s="3">
        <v>6.6299999999999998E-2</v>
      </c>
      <c r="C489" s="4">
        <f t="shared" si="122"/>
        <v>0.93369999999999997</v>
      </c>
      <c r="D489" s="6">
        <v>0.8</v>
      </c>
      <c r="E489" s="7">
        <f t="shared" si="123"/>
        <v>1.3260000000000001E-2</v>
      </c>
      <c r="F489" s="14">
        <f t="shared" si="124"/>
        <v>0.18674000000000002</v>
      </c>
      <c r="G489" s="11">
        <v>273.95</v>
      </c>
      <c r="H489" s="12">
        <v>14.084999999999999</v>
      </c>
      <c r="I489" s="21"/>
      <c r="J489" s="68">
        <v>137.35979718561879</v>
      </c>
      <c r="K489">
        <v>141.94966478533317</v>
      </c>
      <c r="L489">
        <f t="shared" si="125"/>
        <v>7.8073467187303892E-3</v>
      </c>
      <c r="M489">
        <f t="shared" si="126"/>
        <v>2.4779572697062168E-2</v>
      </c>
      <c r="N489">
        <v>0.30997511024360813</v>
      </c>
    </row>
    <row r="490" spans="2:19" x14ac:dyDescent="0.35">
      <c r="B490" s="3">
        <v>6.6299999999999998E-2</v>
      </c>
      <c r="C490" s="4">
        <f t="shared" si="122"/>
        <v>0.93369999999999997</v>
      </c>
      <c r="D490" s="6">
        <v>0.8</v>
      </c>
      <c r="E490" s="7">
        <f t="shared" si="123"/>
        <v>1.3260000000000001E-2</v>
      </c>
      <c r="F490" s="14">
        <f t="shared" si="124"/>
        <v>0.18674000000000002</v>
      </c>
      <c r="G490" s="11">
        <v>274.55</v>
      </c>
      <c r="H490" s="12">
        <v>15.4</v>
      </c>
      <c r="I490" s="21"/>
      <c r="J490" s="68">
        <v>148.21516829814982</v>
      </c>
      <c r="K490">
        <v>153.32446596656951</v>
      </c>
      <c r="L490">
        <f t="shared" si="125"/>
        <v>4.3865846326655491E-3</v>
      </c>
      <c r="M490">
        <f t="shared" si="126"/>
        <v>3.7563842219806368E-2</v>
      </c>
      <c r="N490">
        <v>0.30126892875572209</v>
      </c>
    </row>
    <row r="491" spans="2:19" x14ac:dyDescent="0.35">
      <c r="B491" s="3">
        <v>6.6299999999999998E-2</v>
      </c>
      <c r="C491" s="4">
        <f t="shared" si="122"/>
        <v>0.93369999999999997</v>
      </c>
      <c r="D491" s="6">
        <v>0.8</v>
      </c>
      <c r="E491" s="7">
        <f t="shared" si="123"/>
        <v>1.3260000000000001E-2</v>
      </c>
      <c r="F491" s="14">
        <f t="shared" si="124"/>
        <v>0.18674000000000002</v>
      </c>
      <c r="G491" s="11">
        <v>277</v>
      </c>
      <c r="H491" s="12">
        <v>20.68</v>
      </c>
      <c r="I491" s="21"/>
      <c r="J491" s="68">
        <v>209.55540455264435</v>
      </c>
      <c r="K491">
        <v>217.85350172825719</v>
      </c>
      <c r="L491">
        <f t="shared" si="125"/>
        <v>5.345020178074069E-2</v>
      </c>
      <c r="M491">
        <f t="shared" si="126"/>
        <v>1.3324006540833346E-2</v>
      </c>
      <c r="N491">
        <v>0.26117972103993958</v>
      </c>
    </row>
    <row r="492" spans="2:19" x14ac:dyDescent="0.35">
      <c r="B492" s="3">
        <v>6.6299999999999998E-2</v>
      </c>
      <c r="C492" s="4">
        <f t="shared" si="122"/>
        <v>0.93369999999999997</v>
      </c>
      <c r="D492" s="6">
        <v>0.8</v>
      </c>
      <c r="E492" s="7">
        <f t="shared" si="123"/>
        <v>1.3260000000000001E-2</v>
      </c>
      <c r="F492" s="14">
        <f t="shared" si="124"/>
        <v>0.18674000000000002</v>
      </c>
      <c r="G492" s="11">
        <v>278.25</v>
      </c>
      <c r="H492" s="12">
        <v>24.119999999999997</v>
      </c>
      <c r="I492" s="21"/>
      <c r="J492" s="68">
        <v>259.1616125314336</v>
      </c>
      <c r="K492">
        <v>270.21954396085675</v>
      </c>
      <c r="L492">
        <f t="shared" si="125"/>
        <v>0.12031320050106456</v>
      </c>
      <c r="M492">
        <f t="shared" si="126"/>
        <v>7.4467713646076364E-2</v>
      </c>
      <c r="N492">
        <v>0.23718611280417468</v>
      </c>
    </row>
    <row r="493" spans="2:19" x14ac:dyDescent="0.35">
      <c r="B493" s="3">
        <v>1</v>
      </c>
      <c r="C493" s="4">
        <f t="shared" si="122"/>
        <v>0</v>
      </c>
      <c r="D493" s="6">
        <v>0.05</v>
      </c>
      <c r="E493" s="7">
        <f>0.95*B493</f>
        <v>0.95</v>
      </c>
      <c r="F493" s="14">
        <f>0.95*C493</f>
        <v>0</v>
      </c>
      <c r="G493" s="11">
        <v>274</v>
      </c>
      <c r="H493" s="12">
        <v>1.3939999999999999</v>
      </c>
      <c r="I493" s="22"/>
      <c r="J493" s="68">
        <v>15.921145606183948</v>
      </c>
      <c r="K493">
        <v>15.921145866990875</v>
      </c>
      <c r="L493">
        <f t="shared" si="125"/>
        <v>0.14211950265357787</v>
      </c>
      <c r="M493">
        <f t="shared" si="126"/>
        <v>0.14211948394432922</v>
      </c>
      <c r="N493">
        <v>0.99999999999999989</v>
      </c>
      <c r="P493" s="89">
        <v>15.921145623461307</v>
      </c>
      <c r="Q493" s="90">
        <f t="shared" ref="Q493:Q518" si="127">ABS(P493-K493*10)/K493/10</f>
        <v>0.90000000152959814</v>
      </c>
      <c r="R493" s="91">
        <v>0.99999999999999989</v>
      </c>
      <c r="S493" s="86">
        <f>ABS(R493-L493)/L493</f>
        <v>6.0363319694239363</v>
      </c>
    </row>
    <row r="494" spans="2:19" x14ac:dyDescent="0.35">
      <c r="B494" s="3">
        <v>0.82050000000000001</v>
      </c>
      <c r="C494" s="4">
        <f t="shared" si="122"/>
        <v>0.17949999999999999</v>
      </c>
      <c r="D494" s="6">
        <v>0.05</v>
      </c>
      <c r="E494" s="7">
        <f t="shared" ref="E494:E518" si="128">0.95*B494</f>
        <v>0.77947499999999992</v>
      </c>
      <c r="F494" s="14">
        <f t="shared" ref="F494:F518" si="129">0.95*C494</f>
        <v>0.17052499999999998</v>
      </c>
      <c r="G494" s="11">
        <v>274</v>
      </c>
      <c r="H494" s="12">
        <v>1.7690000000000001</v>
      </c>
      <c r="I494" s="22"/>
      <c r="J494" s="68">
        <v>19.356546839137753</v>
      </c>
      <c r="K494">
        <v>19.362173581748607</v>
      </c>
      <c r="L494">
        <f t="shared" si="125"/>
        <v>9.4526488510379064E-2</v>
      </c>
      <c r="M494">
        <f t="shared" si="126"/>
        <v>9.4208413744361313E-2</v>
      </c>
      <c r="N494">
        <v>0.9737852200851741</v>
      </c>
      <c r="P494" s="89">
        <v>19.363360971864726</v>
      </c>
      <c r="Q494" s="90">
        <f t="shared" si="127"/>
        <v>0.8999938674750998</v>
      </c>
      <c r="R494" s="91">
        <v>0.97459425509598607</v>
      </c>
      <c r="S494" s="86">
        <f t="shared" ref="S494:S500" si="130">ABS(R494-L494)/L494</f>
        <v>9.3102767325264075</v>
      </c>
    </row>
    <row r="495" spans="2:19" x14ac:dyDescent="0.35">
      <c r="B495" s="3">
        <v>0.59989999999999999</v>
      </c>
      <c r="C495" s="4">
        <f t="shared" si="122"/>
        <v>0.40010000000000001</v>
      </c>
      <c r="D495" s="6">
        <v>0.05</v>
      </c>
      <c r="E495" s="7">
        <f t="shared" si="128"/>
        <v>0.56990499999999999</v>
      </c>
      <c r="F495" s="14">
        <f t="shared" si="129"/>
        <v>0.38009500000000002</v>
      </c>
      <c r="G495" s="11">
        <v>274</v>
      </c>
      <c r="H495" s="12">
        <v>2.3540000000000001</v>
      </c>
      <c r="I495" s="22"/>
      <c r="J495" s="68">
        <v>26.217750404831229</v>
      </c>
      <c r="K495">
        <v>26.253184916687918</v>
      </c>
      <c r="L495">
        <f t="shared" si="125"/>
        <v>0.11525849263754964</v>
      </c>
      <c r="M495">
        <f t="shared" si="126"/>
        <v>0.11375320326385852</v>
      </c>
      <c r="N495">
        <v>0.92366331388673351</v>
      </c>
      <c r="P495" s="89">
        <v>26.259175903191554</v>
      </c>
      <c r="Q495" s="90">
        <f t="shared" si="127"/>
        <v>0.89997717996303062</v>
      </c>
      <c r="R495" s="91">
        <v>0.92580002233604253</v>
      </c>
      <c r="S495" s="86">
        <f t="shared" si="130"/>
        <v>7.0323800975549942</v>
      </c>
    </row>
    <row r="496" spans="2:19" x14ac:dyDescent="0.35">
      <c r="B496" s="3">
        <v>0.50480000000000003</v>
      </c>
      <c r="C496" s="4">
        <f t="shared" si="122"/>
        <v>0.49519999999999997</v>
      </c>
      <c r="D496" s="6">
        <v>0.05</v>
      </c>
      <c r="E496" s="7">
        <f t="shared" si="128"/>
        <v>0.47955999999999999</v>
      </c>
      <c r="F496" s="14">
        <f t="shared" si="129"/>
        <v>0.47043999999999997</v>
      </c>
      <c r="G496" s="11">
        <v>274</v>
      </c>
      <c r="H496" s="12">
        <v>2.835</v>
      </c>
      <c r="I496" s="22"/>
      <c r="J496" s="68">
        <v>30.86906101832972</v>
      </c>
      <c r="K496">
        <v>30.935901008315941</v>
      </c>
      <c r="L496">
        <f t="shared" si="125"/>
        <v>9.1213439446770364E-2</v>
      </c>
      <c r="M496">
        <f t="shared" si="126"/>
        <v>8.885576784231812E-2</v>
      </c>
      <c r="N496">
        <v>0.89110688344737177</v>
      </c>
      <c r="P496" s="89">
        <v>30.947269147718895</v>
      </c>
      <c r="Q496" s="90">
        <f t="shared" si="127"/>
        <v>0.89996325259962562</v>
      </c>
      <c r="R496" s="91">
        <v>0.89396609741858679</v>
      </c>
      <c r="S496" s="86">
        <f t="shared" si="130"/>
        <v>8.8008155688535421</v>
      </c>
    </row>
    <row r="497" spans="2:19" x14ac:dyDescent="0.35">
      <c r="B497" s="3">
        <v>0.39939999999999998</v>
      </c>
      <c r="C497" s="4">
        <f t="shared" si="122"/>
        <v>0.60060000000000002</v>
      </c>
      <c r="D497" s="6">
        <v>0.05</v>
      </c>
      <c r="E497" s="7">
        <f t="shared" si="128"/>
        <v>0.37942999999999993</v>
      </c>
      <c r="F497" s="14">
        <f t="shared" si="129"/>
        <v>0.57057000000000002</v>
      </c>
      <c r="G497" s="11">
        <v>274</v>
      </c>
      <c r="H497" s="12">
        <v>3.56</v>
      </c>
      <c r="I497" s="22"/>
      <c r="J497" s="68">
        <v>38.317466172907601</v>
      </c>
      <c r="K497">
        <v>38.450455171607757</v>
      </c>
      <c r="L497">
        <f t="shared" si="125"/>
        <v>8.0068965494599881E-2</v>
      </c>
      <c r="M497">
        <f t="shared" si="126"/>
        <v>7.6333319463696606E-2</v>
      </c>
      <c r="N497">
        <v>0.84103456289099698</v>
      </c>
      <c r="P497" s="89">
        <v>38.474315076083066</v>
      </c>
      <c r="Q497" s="90">
        <f t="shared" si="127"/>
        <v>0.89993794636664559</v>
      </c>
      <c r="R497" s="91">
        <v>0.8448036920132469</v>
      </c>
      <c r="S497" s="86">
        <f t="shared" si="130"/>
        <v>9.5509505061636304</v>
      </c>
    </row>
    <row r="498" spans="2:19" x14ac:dyDescent="0.35">
      <c r="B498" s="3">
        <v>0.20569999999999999</v>
      </c>
      <c r="C498" s="4">
        <f t="shared" si="122"/>
        <v>0.79430000000000001</v>
      </c>
      <c r="D498" s="6">
        <v>0.05</v>
      </c>
      <c r="E498" s="7">
        <f t="shared" si="128"/>
        <v>0.19541499999999998</v>
      </c>
      <c r="F498" s="14">
        <f t="shared" si="129"/>
        <v>0.75458499999999995</v>
      </c>
      <c r="G498" s="11">
        <v>274</v>
      </c>
      <c r="H498" s="12">
        <v>7.2349999999999994</v>
      </c>
      <c r="I498" s="22"/>
      <c r="J498" s="68">
        <v>67.522202100648585</v>
      </c>
      <c r="K498">
        <v>68.084183990230002</v>
      </c>
      <c r="L498">
        <f t="shared" si="125"/>
        <v>5.8960829437042048E-2</v>
      </c>
      <c r="M498">
        <f t="shared" si="126"/>
        <v>6.6728374559107267E-2</v>
      </c>
      <c r="N498">
        <v>0.66462067979869477</v>
      </c>
      <c r="P498" s="89">
        <v>68.199162331471641</v>
      </c>
      <c r="Q498" s="90">
        <f t="shared" si="127"/>
        <v>0.89983112327341974</v>
      </c>
      <c r="R498" s="91">
        <v>0.6698231070050652</v>
      </c>
      <c r="S498" s="86">
        <f t="shared" si="130"/>
        <v>10.360476326410868</v>
      </c>
    </row>
    <row r="499" spans="2:19" x14ac:dyDescent="0.35">
      <c r="B499" s="3">
        <v>0.1159</v>
      </c>
      <c r="C499" s="4">
        <f t="shared" si="122"/>
        <v>0.8841</v>
      </c>
      <c r="D499" s="6">
        <v>0.05</v>
      </c>
      <c r="E499" s="7">
        <f t="shared" si="128"/>
        <v>0.11010499999999999</v>
      </c>
      <c r="F499" s="14">
        <f t="shared" si="129"/>
        <v>0.83989499999999995</v>
      </c>
      <c r="G499" s="11">
        <v>274</v>
      </c>
      <c r="H499" s="12">
        <v>11.2</v>
      </c>
      <c r="I499" s="22"/>
      <c r="J499" s="68">
        <v>101.80511947042196</v>
      </c>
      <c r="K499">
        <v>103.2767134955897</v>
      </c>
      <c r="L499">
        <f t="shared" si="125"/>
        <v>7.7886486646520509E-2</v>
      </c>
      <c r="M499">
        <f t="shared" si="126"/>
        <v>9.1025719014089679E-2</v>
      </c>
      <c r="N499">
        <v>0.48895141786852975</v>
      </c>
      <c r="P499" s="89">
        <v>103.53494875474416</v>
      </c>
      <c r="Q499" s="90">
        <f t="shared" si="127"/>
        <v>0.8997499579039514</v>
      </c>
      <c r="R499" s="91">
        <v>0.49339083828739067</v>
      </c>
      <c r="S499" s="86">
        <f t="shared" si="130"/>
        <v>5.3347425147906886</v>
      </c>
    </row>
    <row r="500" spans="2:19" x14ac:dyDescent="0.35">
      <c r="B500" s="3">
        <v>4.9799999999999997E-2</v>
      </c>
      <c r="C500" s="4">
        <f t="shared" si="122"/>
        <v>0.95020000000000004</v>
      </c>
      <c r="D500" s="6">
        <v>0.05</v>
      </c>
      <c r="E500" s="7">
        <f t="shared" si="128"/>
        <v>4.7309999999999998E-2</v>
      </c>
      <c r="F500" s="14">
        <f t="shared" si="129"/>
        <v>0.90268999999999999</v>
      </c>
      <c r="G500" s="11">
        <v>274</v>
      </c>
      <c r="H500" s="12">
        <v>14.928000000000001</v>
      </c>
      <c r="I500" s="22"/>
      <c r="J500" s="68">
        <v>155.75561897899897</v>
      </c>
      <c r="K500">
        <v>160.0565636335358</v>
      </c>
      <c r="L500">
        <f t="shared" si="125"/>
        <v>7.2190270857019026E-2</v>
      </c>
      <c r="M500">
        <f t="shared" si="126"/>
        <v>4.3379012453101322E-2</v>
      </c>
      <c r="N500">
        <v>0.26314153131162771</v>
      </c>
      <c r="P500" s="89">
        <v>160.42110667034601</v>
      </c>
      <c r="Q500" s="90">
        <f t="shared" si="127"/>
        <v>0.89977224111993004</v>
      </c>
      <c r="R500" s="91">
        <v>0.26516043488269719</v>
      </c>
      <c r="S500" s="86">
        <f t="shared" si="130"/>
        <v>2.6730771575560004</v>
      </c>
    </row>
    <row r="501" spans="2:19" x14ac:dyDescent="0.35">
      <c r="B501" s="3">
        <v>0</v>
      </c>
      <c r="C501" s="4">
        <f t="shared" si="122"/>
        <v>1</v>
      </c>
      <c r="D501" s="6">
        <v>0.05</v>
      </c>
      <c r="E501" s="7">
        <f t="shared" si="128"/>
        <v>0</v>
      </c>
      <c r="F501" s="14">
        <f t="shared" si="129"/>
        <v>0.95</v>
      </c>
      <c r="G501" s="11">
        <v>274</v>
      </c>
      <c r="H501" s="12">
        <v>17.925999999999998</v>
      </c>
      <c r="I501" s="22"/>
      <c r="J501" s="68">
        <v>172.73281882303783</v>
      </c>
      <c r="K501">
        <v>180.78961911077374</v>
      </c>
      <c r="L501">
        <f t="shared" si="125"/>
        <v>8.532963911490301E-3</v>
      </c>
      <c r="M501">
        <f t="shared" si="126"/>
        <v>3.6411810649125069E-2</v>
      </c>
      <c r="N501">
        <v>0</v>
      </c>
      <c r="P501" s="89">
        <v>180.78961901828521</v>
      </c>
      <c r="Q501" s="90">
        <f t="shared" si="127"/>
        <v>0.90000000005115799</v>
      </c>
      <c r="R501" s="91">
        <v>0</v>
      </c>
      <c r="S501" s="86">
        <v>0</v>
      </c>
    </row>
    <row r="502" spans="2:19" x14ac:dyDescent="0.35">
      <c r="B502" s="3">
        <v>1</v>
      </c>
      <c r="C502" s="4">
        <f t="shared" si="122"/>
        <v>0</v>
      </c>
      <c r="D502" s="6">
        <v>0.05</v>
      </c>
      <c r="E502" s="7">
        <f t="shared" si="128"/>
        <v>0.95</v>
      </c>
      <c r="F502" s="14">
        <f t="shared" si="129"/>
        <v>0</v>
      </c>
      <c r="G502" s="11">
        <v>277</v>
      </c>
      <c r="H502" s="12">
        <v>1.9530000000000001</v>
      </c>
      <c r="I502" s="22"/>
      <c r="J502" s="68">
        <v>20.769463929059231</v>
      </c>
      <c r="K502">
        <v>20.769464073661283</v>
      </c>
      <c r="L502">
        <f t="shared" si="125"/>
        <v>6.3464622307285265E-2</v>
      </c>
      <c r="M502">
        <f t="shared" si="126"/>
        <v>6.3464614903186389E-2</v>
      </c>
      <c r="N502">
        <v>1</v>
      </c>
      <c r="P502" s="89">
        <v>20.769463929059231</v>
      </c>
      <c r="Q502" s="90">
        <f t="shared" si="127"/>
        <v>0.90000000069622421</v>
      </c>
      <c r="R502" s="91">
        <v>1</v>
      </c>
      <c r="S502" s="86">
        <f t="shared" ref="S502:S508" si="131">ABS(R502-L502)/L502</f>
        <v>14.756810072203132</v>
      </c>
    </row>
    <row r="503" spans="2:19" x14ac:dyDescent="0.35">
      <c r="B503" s="3">
        <v>0.84909999999999997</v>
      </c>
      <c r="C503" s="4">
        <f t="shared" si="122"/>
        <v>0.15090000000000003</v>
      </c>
      <c r="D503" s="6">
        <v>0.05</v>
      </c>
      <c r="E503" s="7">
        <f t="shared" si="128"/>
        <v>0.80664499999999995</v>
      </c>
      <c r="F503" s="14">
        <f t="shared" si="129"/>
        <v>0.14335500000000004</v>
      </c>
      <c r="G503" s="11">
        <v>277</v>
      </c>
      <c r="H503" s="12">
        <v>2.6</v>
      </c>
      <c r="I503" s="22"/>
      <c r="J503" s="68">
        <v>24.629431084641588</v>
      </c>
      <c r="K503">
        <v>24.634152544258374</v>
      </c>
      <c r="L503">
        <f t="shared" si="125"/>
        <v>5.2532594451601008E-2</v>
      </c>
      <c r="M503">
        <f t="shared" si="126"/>
        <v>5.2714189052246604E-2</v>
      </c>
      <c r="N503">
        <v>0.97672898288094889</v>
      </c>
      <c r="P503" s="89">
        <v>24.636040913968301</v>
      </c>
      <c r="Q503" s="90">
        <f t="shared" si="127"/>
        <v>0.89999233434271164</v>
      </c>
      <c r="R503" s="91">
        <v>0.97743732876670331</v>
      </c>
      <c r="S503" s="86">
        <f t="shared" si="131"/>
        <v>17.606302219990859</v>
      </c>
    </row>
    <row r="504" spans="2:19" x14ac:dyDescent="0.35">
      <c r="B504" s="3">
        <v>0.5867</v>
      </c>
      <c r="C504" s="4">
        <f t="shared" si="122"/>
        <v>0.4133</v>
      </c>
      <c r="D504" s="6">
        <v>0.05</v>
      </c>
      <c r="E504" s="7">
        <f t="shared" si="128"/>
        <v>0.557365</v>
      </c>
      <c r="F504" s="14">
        <f t="shared" si="129"/>
        <v>0.39263499999999996</v>
      </c>
      <c r="G504" s="11">
        <v>277</v>
      </c>
      <c r="H504" s="12">
        <v>3.3770000000000002</v>
      </c>
      <c r="I504" s="22"/>
      <c r="J504" s="68">
        <v>35.89735835458432</v>
      </c>
      <c r="K504">
        <v>35.945868405266744</v>
      </c>
      <c r="L504">
        <f t="shared" si="125"/>
        <v>6.4431993049059527E-2</v>
      </c>
      <c r="M504">
        <f t="shared" si="126"/>
        <v>6.2995509463556892E-2</v>
      </c>
      <c r="N504">
        <v>0.91234890566226334</v>
      </c>
      <c r="P504" s="89">
        <v>35.959621720458223</v>
      </c>
      <c r="Q504" s="90">
        <f t="shared" si="127"/>
        <v>0.89996173881505259</v>
      </c>
      <c r="R504" s="91">
        <v>0.91468172052620633</v>
      </c>
      <c r="S504" s="86">
        <f t="shared" si="131"/>
        <v>13.196079885806936</v>
      </c>
    </row>
    <row r="505" spans="2:19" x14ac:dyDescent="0.35">
      <c r="B505" s="3">
        <v>0.38990000000000002</v>
      </c>
      <c r="C505" s="4">
        <f t="shared" si="122"/>
        <v>0.61009999999999998</v>
      </c>
      <c r="D505" s="6">
        <v>0.05</v>
      </c>
      <c r="E505" s="7">
        <f t="shared" si="128"/>
        <v>0.37040499999999998</v>
      </c>
      <c r="F505" s="14">
        <f t="shared" si="129"/>
        <v>0.57959499999999997</v>
      </c>
      <c r="G505" s="11">
        <v>277</v>
      </c>
      <c r="H505" s="12">
        <v>5.2329999999999997</v>
      </c>
      <c r="I505" s="22"/>
      <c r="J505" s="68">
        <v>53.591400697095679</v>
      </c>
      <c r="K505">
        <v>53.772800427605802</v>
      </c>
      <c r="L505">
        <f t="shared" si="125"/>
        <v>2.7571191049222309E-2</v>
      </c>
      <c r="M505">
        <f t="shared" si="126"/>
        <v>2.4104733367010907E-2</v>
      </c>
      <c r="N505">
        <v>0.82005631495627007</v>
      </c>
      <c r="P505" s="89">
        <v>53.826940192777919</v>
      </c>
      <c r="Q505" s="90">
        <f t="shared" si="127"/>
        <v>0.89989931756437913</v>
      </c>
      <c r="R505" s="91">
        <v>0.82393838939671205</v>
      </c>
      <c r="S505" s="86">
        <f t="shared" si="131"/>
        <v>28.884033226049279</v>
      </c>
    </row>
    <row r="506" spans="2:19" x14ac:dyDescent="0.35">
      <c r="B506" s="3">
        <v>0.17610000000000001</v>
      </c>
      <c r="C506" s="4">
        <f t="shared" si="122"/>
        <v>0.82389999999999997</v>
      </c>
      <c r="D506" s="6">
        <v>0.05</v>
      </c>
      <c r="E506" s="7">
        <f t="shared" si="128"/>
        <v>0.167295</v>
      </c>
      <c r="F506" s="14">
        <f t="shared" si="129"/>
        <v>0.78270499999999998</v>
      </c>
      <c r="G506" s="11">
        <v>277</v>
      </c>
      <c r="H506" s="12">
        <v>11.98</v>
      </c>
      <c r="I506" s="22"/>
      <c r="J506" s="68">
        <v>109.12387805641784</v>
      </c>
      <c r="K506">
        <v>110.18114850158295</v>
      </c>
      <c r="L506">
        <f t="shared" si="125"/>
        <v>8.0290914010159073E-2</v>
      </c>
      <c r="M506">
        <f t="shared" si="126"/>
        <v>8.9116209879650868E-2</v>
      </c>
      <c r="N506">
        <v>0.58332782207128853</v>
      </c>
      <c r="P506" s="89">
        <v>110.48728071720342</v>
      </c>
      <c r="Q506" s="90">
        <f t="shared" si="127"/>
        <v>0.89972215554132107</v>
      </c>
      <c r="R506" s="91">
        <v>0.58760677633943814</v>
      </c>
      <c r="S506" s="86">
        <f t="shared" si="131"/>
        <v>6.318471630116071</v>
      </c>
    </row>
    <row r="507" spans="2:19" x14ac:dyDescent="0.35">
      <c r="B507" s="3">
        <v>0.1159</v>
      </c>
      <c r="C507" s="4">
        <f t="shared" si="122"/>
        <v>0.8841</v>
      </c>
      <c r="D507" s="6">
        <v>0.05</v>
      </c>
      <c r="E507" s="7">
        <f t="shared" si="128"/>
        <v>0.11010499999999999</v>
      </c>
      <c r="F507" s="14">
        <f t="shared" si="129"/>
        <v>0.83989499999999995</v>
      </c>
      <c r="G507" s="11">
        <v>277</v>
      </c>
      <c r="H507" s="12">
        <v>15.5</v>
      </c>
      <c r="I507" s="22"/>
      <c r="J507" s="68">
        <v>149.7684083624298</v>
      </c>
      <c r="K507">
        <v>152.11979482753318</v>
      </c>
      <c r="L507">
        <f t="shared" si="125"/>
        <v>1.8581968854624618E-2</v>
      </c>
      <c r="M507">
        <f t="shared" si="126"/>
        <v>3.3752204113356159E-2</v>
      </c>
      <c r="N507">
        <v>0.44844722535859938</v>
      </c>
      <c r="P507" s="89">
        <v>152.60903843941253</v>
      </c>
      <c r="Q507" s="90">
        <f t="shared" si="127"/>
        <v>0.89967838267699884</v>
      </c>
      <c r="R507" s="91">
        <v>0.45144565969120537</v>
      </c>
      <c r="S507" s="86">
        <f t="shared" si="131"/>
        <v>23.294823827500448</v>
      </c>
    </row>
    <row r="508" spans="2:19" x14ac:dyDescent="0.35">
      <c r="B508" s="3">
        <v>6.6299999999999998E-2</v>
      </c>
      <c r="C508" s="4">
        <f t="shared" si="122"/>
        <v>0.93369999999999997</v>
      </c>
      <c r="D508" s="6">
        <v>0.05</v>
      </c>
      <c r="E508" s="7">
        <f t="shared" si="128"/>
        <v>6.2984999999999999E-2</v>
      </c>
      <c r="F508" s="14">
        <f t="shared" si="129"/>
        <v>0.88701499999999989</v>
      </c>
      <c r="G508" s="11">
        <v>277</v>
      </c>
      <c r="H508" s="12">
        <v>19.173999999999999</v>
      </c>
      <c r="I508" s="22"/>
      <c r="J508" s="68">
        <v>209.55540455505306</v>
      </c>
      <c r="K508">
        <v>215.44133936038608</v>
      </c>
      <c r="L508">
        <f t="shared" si="125"/>
        <v>0.12361186690511146</v>
      </c>
      <c r="M508">
        <f t="shared" si="126"/>
        <v>9.2914386956571657E-2</v>
      </c>
      <c r="N508">
        <v>0.29182520297867393</v>
      </c>
      <c r="P508" s="89">
        <v>216.02540313657073</v>
      </c>
      <c r="Q508" s="90">
        <f t="shared" si="127"/>
        <v>0.89972889893002017</v>
      </c>
      <c r="R508" s="91">
        <v>0.29311542537307705</v>
      </c>
      <c r="S508" s="86">
        <f t="shared" si="131"/>
        <v>1.3712563584051531</v>
      </c>
    </row>
    <row r="509" spans="2:19" x14ac:dyDescent="0.35">
      <c r="B509" s="3">
        <v>0</v>
      </c>
      <c r="C509" s="4">
        <f t="shared" si="122"/>
        <v>1</v>
      </c>
      <c r="D509" s="6">
        <v>0.05</v>
      </c>
      <c r="E509" s="7">
        <f t="shared" si="128"/>
        <v>0</v>
      </c>
      <c r="F509" s="14">
        <f t="shared" si="129"/>
        <v>0.95</v>
      </c>
      <c r="G509" s="11">
        <v>277</v>
      </c>
      <c r="H509" s="12">
        <v>24.041</v>
      </c>
      <c r="I509" s="22"/>
      <c r="J509" s="68">
        <v>260.98376477541314</v>
      </c>
      <c r="K509">
        <v>277.34112633211095</v>
      </c>
      <c r="L509">
        <f t="shared" si="125"/>
        <v>0.15361726355854977</v>
      </c>
      <c r="M509">
        <f t="shared" si="126"/>
        <v>8.5577824447457013E-2</v>
      </c>
      <c r="N509">
        <v>0</v>
      </c>
      <c r="P509" s="89">
        <v>277.34112442901522</v>
      </c>
      <c r="Q509" s="90">
        <f t="shared" si="127"/>
        <v>0.90000000068619312</v>
      </c>
      <c r="R509" s="91">
        <v>0</v>
      </c>
      <c r="S509" s="86">
        <v>0</v>
      </c>
    </row>
    <row r="510" spans="2:19" x14ac:dyDescent="0.35">
      <c r="B510" s="3">
        <v>1</v>
      </c>
      <c r="C510" s="4">
        <f t="shared" si="122"/>
        <v>0</v>
      </c>
      <c r="D510" s="6">
        <v>0.05</v>
      </c>
      <c r="E510" s="7">
        <f t="shared" si="128"/>
        <v>0.95</v>
      </c>
      <c r="F510" s="14">
        <f t="shared" si="129"/>
        <v>0</v>
      </c>
      <c r="G510" s="11">
        <v>280</v>
      </c>
      <c r="H510" s="12">
        <v>2.8010000000000002</v>
      </c>
      <c r="I510" s="22"/>
      <c r="J510" s="68">
        <v>26.966175837924119</v>
      </c>
      <c r="K510">
        <v>26.966175844674783</v>
      </c>
      <c r="L510">
        <f t="shared" si="125"/>
        <v>3.7266124788476199E-2</v>
      </c>
      <c r="M510">
        <f t="shared" si="126"/>
        <v>3.7266125029485266E-2</v>
      </c>
      <c r="N510">
        <v>1</v>
      </c>
      <c r="P510" s="89">
        <v>26.966175837924119</v>
      </c>
      <c r="Q510" s="90">
        <f t="shared" si="127"/>
        <v>0.90000000002503389</v>
      </c>
      <c r="R510" s="91">
        <v>0.99999999999999989</v>
      </c>
      <c r="S510" s="86">
        <f t="shared" ref="S510:S517" si="132">ABS(R510-L510)/L510</f>
        <v>25.834021666487569</v>
      </c>
    </row>
    <row r="511" spans="2:19" x14ac:dyDescent="0.35">
      <c r="B511" s="3">
        <v>0.82499999999999996</v>
      </c>
      <c r="C511" s="4">
        <f t="shared" si="122"/>
        <v>0.17500000000000004</v>
      </c>
      <c r="D511" s="6">
        <v>0.05</v>
      </c>
      <c r="E511" s="7">
        <f t="shared" si="128"/>
        <v>0.78374999999999995</v>
      </c>
      <c r="F511" s="14">
        <f t="shared" si="129"/>
        <v>0.16625000000000004</v>
      </c>
      <c r="G511" s="11">
        <v>280</v>
      </c>
      <c r="H511" s="12">
        <v>3.6</v>
      </c>
      <c r="I511" s="22"/>
      <c r="J511" s="68">
        <v>33.408166174964855</v>
      </c>
      <c r="K511">
        <v>33.413248438787406</v>
      </c>
      <c r="L511">
        <f t="shared" si="125"/>
        <v>7.1854210033683169E-2</v>
      </c>
      <c r="M511">
        <f t="shared" si="126"/>
        <v>7.1995384028754036E-2</v>
      </c>
      <c r="N511">
        <v>0.96938432787507622</v>
      </c>
      <c r="P511" s="89">
        <v>33.418089365571561</v>
      </c>
      <c r="Q511" s="90">
        <f t="shared" si="127"/>
        <v>0.89998551195405907</v>
      </c>
      <c r="R511" s="91">
        <v>0.97028257854354116</v>
      </c>
      <c r="S511" s="86">
        <f t="shared" si="132"/>
        <v>12.50348960887192</v>
      </c>
    </row>
    <row r="512" spans="2:19" x14ac:dyDescent="0.35">
      <c r="B512" s="3">
        <v>0.69989999999999997</v>
      </c>
      <c r="C512" s="4">
        <f t="shared" si="122"/>
        <v>0.30010000000000003</v>
      </c>
      <c r="D512" s="6">
        <v>0.05</v>
      </c>
      <c r="E512" s="7">
        <f t="shared" si="128"/>
        <v>0.66490499999999997</v>
      </c>
      <c r="F512" s="14">
        <f t="shared" si="129"/>
        <v>0.28509500000000004</v>
      </c>
      <c r="G512" s="11">
        <v>280</v>
      </c>
      <c r="H512" s="12">
        <v>4.2329999999999997</v>
      </c>
      <c r="I512" s="22"/>
      <c r="J512" s="68">
        <v>40.02378833736249</v>
      </c>
      <c r="K512">
        <v>40.043952659433323</v>
      </c>
      <c r="L512">
        <f t="shared" si="125"/>
        <v>5.4005370672494099E-2</v>
      </c>
      <c r="M512">
        <f t="shared" si="126"/>
        <v>5.4481730749763965E-2</v>
      </c>
      <c r="N512">
        <v>0.93924014688152568</v>
      </c>
      <c r="P512" s="89">
        <v>40.056987731841744</v>
      </c>
      <c r="Q512" s="90">
        <f t="shared" si="127"/>
        <v>0.89996744808755713</v>
      </c>
      <c r="R512" s="91">
        <v>0.94090682137482817</v>
      </c>
      <c r="S512" s="86">
        <f t="shared" si="132"/>
        <v>16.422467611245352</v>
      </c>
    </row>
    <row r="513" spans="2:19" x14ac:dyDescent="0.35">
      <c r="B513" s="3">
        <v>0.5917</v>
      </c>
      <c r="C513" s="4">
        <f t="shared" si="122"/>
        <v>0.4083</v>
      </c>
      <c r="D513" s="6">
        <v>0.05</v>
      </c>
      <c r="E513" s="7">
        <f t="shared" si="128"/>
        <v>0.56211500000000003</v>
      </c>
      <c r="F513" s="14">
        <f t="shared" si="129"/>
        <v>0.38788499999999998</v>
      </c>
      <c r="G513" s="11">
        <v>280</v>
      </c>
      <c r="H513" s="12">
        <v>5.0679999999999996</v>
      </c>
      <c r="I513" s="22"/>
      <c r="J513" s="68">
        <v>48.033137716819489</v>
      </c>
      <c r="K513">
        <v>48.08198629265388</v>
      </c>
      <c r="L513">
        <f t="shared" si="125"/>
        <v>5.1263096040767807E-2</v>
      </c>
      <c r="M513">
        <f t="shared" si="126"/>
        <v>5.2226959020925487E-2</v>
      </c>
      <c r="N513">
        <v>0.90434963637057031</v>
      </c>
      <c r="P513" s="89">
        <v>48.109642494603193</v>
      </c>
      <c r="Q513" s="90">
        <f t="shared" si="127"/>
        <v>0.89994248115753595</v>
      </c>
      <c r="R513" s="91">
        <v>0.90676777752659354</v>
      </c>
      <c r="S513" s="86">
        <f t="shared" si="132"/>
        <v>16.688509816213045</v>
      </c>
    </row>
    <row r="514" spans="2:19" x14ac:dyDescent="0.35">
      <c r="B514" s="3">
        <v>0.39240000000000003</v>
      </c>
      <c r="C514" s="4">
        <f t="shared" si="122"/>
        <v>0.60759999999999992</v>
      </c>
      <c r="D514" s="6">
        <v>0.05</v>
      </c>
      <c r="E514" s="7">
        <f t="shared" si="128"/>
        <v>0.37278</v>
      </c>
      <c r="F514" s="14">
        <f t="shared" si="129"/>
        <v>0.57721999999999984</v>
      </c>
      <c r="G514" s="11">
        <v>280</v>
      </c>
      <c r="H514" s="12">
        <v>8.2750000000000004</v>
      </c>
      <c r="I514" s="22"/>
      <c r="J514" s="68">
        <v>74.459655215545084</v>
      </c>
      <c r="K514">
        <v>74.664021086848464</v>
      </c>
      <c r="L514">
        <f t="shared" si="125"/>
        <v>9.7715757258628827E-2</v>
      </c>
      <c r="M514">
        <f t="shared" si="126"/>
        <v>0.10018543546169083</v>
      </c>
      <c r="N514">
        <v>0.80029313025190407</v>
      </c>
      <c r="P514" s="89">
        <v>74.775736487732289</v>
      </c>
      <c r="Q514" s="90">
        <f t="shared" si="127"/>
        <v>0.89985037585806715</v>
      </c>
      <c r="R514" s="91">
        <v>0.80410685230118972</v>
      </c>
      <c r="S514" s="86">
        <f t="shared" si="132"/>
        <v>7.2290397665641875</v>
      </c>
    </row>
    <row r="515" spans="2:19" x14ac:dyDescent="0.35">
      <c r="B515" s="3">
        <v>0.251</v>
      </c>
      <c r="C515" s="4">
        <f t="shared" si="122"/>
        <v>0.749</v>
      </c>
      <c r="D515" s="6">
        <v>0.05</v>
      </c>
      <c r="E515" s="7">
        <f t="shared" si="128"/>
        <v>0.23845</v>
      </c>
      <c r="F515" s="14">
        <f t="shared" si="129"/>
        <v>0.71155000000000002</v>
      </c>
      <c r="G515" s="11">
        <v>280</v>
      </c>
      <c r="H515" s="12">
        <v>14.974</v>
      </c>
      <c r="I515" s="22"/>
      <c r="J515" s="68">
        <v>118.43600788896492</v>
      </c>
      <c r="K515">
        <v>119.11356053939504</v>
      </c>
      <c r="L515">
        <f t="shared" si="125"/>
        <v>0.20453078309473066</v>
      </c>
      <c r="M515">
        <f t="shared" si="126"/>
        <v>0.20905564385625142</v>
      </c>
      <c r="N515">
        <v>0.65860928131264695</v>
      </c>
      <c r="P515" s="89">
        <v>119.44316347665324</v>
      </c>
      <c r="Q515" s="90">
        <f t="shared" si="127"/>
        <v>0.89972328680650138</v>
      </c>
      <c r="R515" s="91">
        <v>0.6624998601138592</v>
      </c>
      <c r="S515" s="86">
        <f t="shared" si="132"/>
        <v>2.2391205376992822</v>
      </c>
    </row>
    <row r="516" spans="2:19" x14ac:dyDescent="0.35">
      <c r="B516" s="3">
        <v>0.1709</v>
      </c>
      <c r="C516" s="4">
        <f t="shared" si="122"/>
        <v>0.82909999999999995</v>
      </c>
      <c r="D516" s="6">
        <v>0.05</v>
      </c>
      <c r="E516" s="7">
        <f t="shared" si="128"/>
        <v>0.162355</v>
      </c>
      <c r="F516" s="14">
        <f t="shared" si="129"/>
        <v>0.78764499999999993</v>
      </c>
      <c r="G516" s="11">
        <v>280</v>
      </c>
      <c r="H516" s="12">
        <v>20.753</v>
      </c>
      <c r="I516" s="22"/>
      <c r="J516" s="68">
        <v>173.51319504506839</v>
      </c>
      <c r="K516">
        <v>175.40436880065099</v>
      </c>
      <c r="L516">
        <f t="shared" si="125"/>
        <v>0.15479993831903346</v>
      </c>
      <c r="M516">
        <f t="shared" si="126"/>
        <v>0.16391271119805145</v>
      </c>
      <c r="N516">
        <v>0.52340859124811867</v>
      </c>
      <c r="P516" s="89">
        <v>175.97886608818069</v>
      </c>
      <c r="Q516" s="90">
        <f t="shared" si="127"/>
        <v>0.89967247264623007</v>
      </c>
      <c r="R516" s="91">
        <v>0.52599858067952732</v>
      </c>
      <c r="S516" s="86">
        <f t="shared" si="132"/>
        <v>2.3979250017236797</v>
      </c>
    </row>
    <row r="517" spans="2:19" x14ac:dyDescent="0.35">
      <c r="B517" s="3">
        <v>9.0499999999999997E-2</v>
      </c>
      <c r="C517" s="4">
        <f t="shared" si="122"/>
        <v>0.90949999999999998</v>
      </c>
      <c r="D517" s="6">
        <v>0.05</v>
      </c>
      <c r="E517" s="7">
        <f t="shared" si="128"/>
        <v>8.5974999999999996E-2</v>
      </c>
      <c r="F517" s="14">
        <f t="shared" si="129"/>
        <v>0.86402499999999993</v>
      </c>
      <c r="G517" s="11">
        <v>280</v>
      </c>
      <c r="H517" s="12">
        <v>26.689999999999998</v>
      </c>
      <c r="I517" s="22"/>
      <c r="J517" s="68">
        <v>303.39543615084756</v>
      </c>
      <c r="K517">
        <v>313.19926445592461</v>
      </c>
      <c r="L517">
        <f t="shared" si="125"/>
        <v>0.17347045506153852</v>
      </c>
      <c r="M517">
        <f t="shared" si="126"/>
        <v>0.13673823960602319</v>
      </c>
      <c r="N517">
        <v>0.31862534153584021</v>
      </c>
      <c r="P517" s="89">
        <v>313.50204002600123</v>
      </c>
      <c r="Q517" s="90">
        <f t="shared" si="127"/>
        <v>0.89990332813501239</v>
      </c>
      <c r="R517" s="91">
        <v>0.31885553410761758</v>
      </c>
      <c r="S517" s="86">
        <f t="shared" si="132"/>
        <v>0.83809706381702753</v>
      </c>
    </row>
    <row r="518" spans="2:19" x14ac:dyDescent="0.35">
      <c r="B518" s="3">
        <v>0</v>
      </c>
      <c r="C518" s="4">
        <f t="shared" si="122"/>
        <v>1</v>
      </c>
      <c r="D518" s="6">
        <v>0.05</v>
      </c>
      <c r="E518" s="7">
        <f t="shared" si="128"/>
        <v>0</v>
      </c>
      <c r="F518" s="14">
        <f t="shared" si="129"/>
        <v>0.95</v>
      </c>
      <c r="G518" s="11">
        <v>280</v>
      </c>
      <c r="H518" s="12">
        <v>32.308</v>
      </c>
      <c r="I518" s="22"/>
      <c r="J518" s="68">
        <v>486.54189713157791</v>
      </c>
      <c r="K518">
        <v>554.69492955086605</v>
      </c>
      <c r="L518">
        <f t="shared" si="125"/>
        <v>0.71689652578576846</v>
      </c>
      <c r="M518">
        <f t="shared" si="126"/>
        <v>0.50594867256276443</v>
      </c>
      <c r="N518">
        <v>0</v>
      </c>
      <c r="P518" s="89">
        <v>554.69492955338069</v>
      </c>
      <c r="Q518" s="90">
        <f t="shared" si="127"/>
        <v>0.89999999999954672</v>
      </c>
      <c r="R518" s="91">
        <v>0</v>
      </c>
      <c r="S518" s="86">
        <v>0</v>
      </c>
    </row>
    <row r="519" spans="2:19" x14ac:dyDescent="0.35">
      <c r="L519">
        <f>SUM(L465:L518)/54</f>
        <v>0.10697747669772306</v>
      </c>
      <c r="M519">
        <f>SUM(M465:M518)/54</f>
        <v>0.10234028343402241</v>
      </c>
    </row>
    <row r="523" spans="2:19" ht="15" thickBot="1" x14ac:dyDescent="0.4"/>
    <row r="524" spans="2:19" x14ac:dyDescent="0.35">
      <c r="E524" s="132">
        <v>1</v>
      </c>
      <c r="G524" s="133">
        <v>270.5</v>
      </c>
      <c r="H524" s="133">
        <v>14.1</v>
      </c>
      <c r="J524" s="133" t="s">
        <v>66</v>
      </c>
      <c r="K524" s="133" t="s">
        <v>71</v>
      </c>
      <c r="L524" s="133">
        <v>2.9</v>
      </c>
    </row>
    <row r="525" spans="2:19" x14ac:dyDescent="0.35">
      <c r="E525" s="132">
        <v>1</v>
      </c>
      <c r="G525" s="134">
        <v>271.10000000000002</v>
      </c>
      <c r="H525" s="134">
        <v>14.1</v>
      </c>
      <c r="J525" s="134" t="s">
        <v>67</v>
      </c>
      <c r="K525" s="134" t="s">
        <v>72</v>
      </c>
      <c r="L525" s="134">
        <v>2.6</v>
      </c>
    </row>
    <row r="526" spans="2:19" x14ac:dyDescent="0.35">
      <c r="E526" s="132">
        <v>1</v>
      </c>
      <c r="G526" s="134">
        <v>271.39999999999998</v>
      </c>
      <c r="H526" s="134">
        <v>14.1</v>
      </c>
      <c r="J526" s="134" t="s">
        <v>68</v>
      </c>
      <c r="K526" s="134" t="s">
        <v>73</v>
      </c>
      <c r="L526" s="134">
        <v>4.2</v>
      </c>
    </row>
    <row r="527" spans="2:19" x14ac:dyDescent="0.35">
      <c r="E527" s="132">
        <v>1</v>
      </c>
      <c r="G527" s="134">
        <v>271.7</v>
      </c>
      <c r="H527" s="134">
        <v>14.1</v>
      </c>
      <c r="J527" s="134" t="s">
        <v>69</v>
      </c>
      <c r="K527" s="134" t="s">
        <v>74</v>
      </c>
      <c r="L527" s="134">
        <v>4.4000000000000004</v>
      </c>
    </row>
    <row r="528" spans="2:19" x14ac:dyDescent="0.35">
      <c r="E528" s="132">
        <v>1</v>
      </c>
      <c r="G528" s="134">
        <v>272.10000000000002</v>
      </c>
      <c r="H528" s="134">
        <v>14.1</v>
      </c>
      <c r="J528" s="134" t="s">
        <v>70</v>
      </c>
      <c r="K528" s="134" t="s">
        <v>75</v>
      </c>
      <c r="L528" s="134">
        <v>4.4000000000000004</v>
      </c>
    </row>
    <row r="529" spans="5:12" ht="23" x14ac:dyDescent="0.35">
      <c r="E529" s="132">
        <v>1</v>
      </c>
      <c r="G529" s="134">
        <v>272.39999999999998</v>
      </c>
      <c r="H529" s="134">
        <v>14.2</v>
      </c>
      <c r="J529" s="134" t="s">
        <v>77</v>
      </c>
      <c r="K529" s="134" t="s">
        <v>76</v>
      </c>
      <c r="L529" s="135" t="s">
        <v>77</v>
      </c>
    </row>
    <row r="530" spans="5:12" x14ac:dyDescent="0.35">
      <c r="E530" s="134">
        <v>2</v>
      </c>
      <c r="G530" s="134">
        <v>272.8</v>
      </c>
      <c r="H530" s="134">
        <v>15.9</v>
      </c>
      <c r="J530" s="134" t="s">
        <v>78</v>
      </c>
      <c r="K530" s="134" t="s">
        <v>79</v>
      </c>
      <c r="L530" s="134">
        <v>7.8</v>
      </c>
    </row>
    <row r="531" spans="5:12" x14ac:dyDescent="0.35">
      <c r="E531" s="134">
        <v>2</v>
      </c>
      <c r="G531" s="134">
        <v>273.10000000000002</v>
      </c>
      <c r="H531" s="134">
        <v>15.9</v>
      </c>
      <c r="J531" s="134" t="s">
        <v>78</v>
      </c>
      <c r="K531" s="134" t="s">
        <v>80</v>
      </c>
      <c r="L531" s="134">
        <v>9.3000000000000007</v>
      </c>
    </row>
    <row r="532" spans="5:12" x14ac:dyDescent="0.35">
      <c r="E532" s="134">
        <v>2</v>
      </c>
      <c r="G532" s="134">
        <v>273.39999999999998</v>
      </c>
      <c r="H532" s="134">
        <v>15.9</v>
      </c>
      <c r="J532" s="134" t="s">
        <v>81</v>
      </c>
      <c r="K532" s="134" t="s">
        <v>82</v>
      </c>
      <c r="L532" s="134">
        <v>6.7</v>
      </c>
    </row>
    <row r="533" spans="5:12" x14ac:dyDescent="0.35">
      <c r="E533" s="134">
        <v>2</v>
      </c>
      <c r="G533" s="134">
        <v>274.10000000000002</v>
      </c>
      <c r="H533" s="134">
        <v>16.399999999999999</v>
      </c>
      <c r="J533" s="134" t="s">
        <v>83</v>
      </c>
      <c r="K533" s="134" t="s">
        <v>84</v>
      </c>
      <c r="L533" s="134">
        <v>7.8</v>
      </c>
    </row>
    <row r="534" spans="5:12" x14ac:dyDescent="0.35">
      <c r="E534" s="134">
        <v>2</v>
      </c>
      <c r="G534" s="134">
        <v>274.7</v>
      </c>
      <c r="H534" s="134">
        <v>16.5</v>
      </c>
      <c r="J534" s="135" t="s">
        <v>77</v>
      </c>
      <c r="K534" s="134" t="s">
        <v>85</v>
      </c>
      <c r="L534" s="135" t="s">
        <v>77</v>
      </c>
    </row>
    <row r="535" spans="5:12" x14ac:dyDescent="0.35">
      <c r="E535" s="134">
        <v>7</v>
      </c>
      <c r="G535" s="134">
        <v>274.39999999999998</v>
      </c>
      <c r="H535" s="134">
        <v>15</v>
      </c>
      <c r="J535" s="134" t="s">
        <v>86</v>
      </c>
      <c r="K535" s="134" t="s">
        <v>87</v>
      </c>
      <c r="L535" s="134">
        <v>7.4</v>
      </c>
    </row>
    <row r="536" spans="5:12" x14ac:dyDescent="0.35">
      <c r="E536" s="134">
        <v>7</v>
      </c>
      <c r="G536" s="134">
        <v>274.89999999999998</v>
      </c>
      <c r="H536" s="134">
        <v>15.1</v>
      </c>
      <c r="J536" s="134" t="s">
        <v>88</v>
      </c>
      <c r="K536" s="134" t="s">
        <v>89</v>
      </c>
      <c r="L536" s="134">
        <v>6.4</v>
      </c>
    </row>
    <row r="537" spans="5:12" x14ac:dyDescent="0.35">
      <c r="E537" s="134">
        <v>7</v>
      </c>
      <c r="G537" s="134">
        <v>275.89999999999998</v>
      </c>
      <c r="H537" s="134">
        <v>15.5</v>
      </c>
      <c r="J537" s="134" t="s">
        <v>90</v>
      </c>
      <c r="K537" s="134" t="s">
        <v>91</v>
      </c>
      <c r="L537" s="134">
        <v>6.2</v>
      </c>
    </row>
    <row r="538" spans="5:12" x14ac:dyDescent="0.35">
      <c r="E538" s="134">
        <v>7</v>
      </c>
      <c r="G538" s="134">
        <v>276.3</v>
      </c>
      <c r="H538" s="134">
        <v>15.7</v>
      </c>
      <c r="J538" s="134" t="s">
        <v>92</v>
      </c>
      <c r="K538" s="134" t="s">
        <v>93</v>
      </c>
      <c r="L538" s="134">
        <v>4.9000000000000004</v>
      </c>
    </row>
    <row r="539" spans="5:12" x14ac:dyDescent="0.35">
      <c r="E539" s="134">
        <v>7</v>
      </c>
      <c r="G539" s="134">
        <v>276.5</v>
      </c>
      <c r="H539" s="134">
        <v>15.7</v>
      </c>
      <c r="J539" s="134" t="s">
        <v>94</v>
      </c>
      <c r="K539" s="134" t="s">
        <v>95</v>
      </c>
      <c r="L539" s="134">
        <v>6.3</v>
      </c>
    </row>
    <row r="540" spans="5:12" x14ac:dyDescent="0.35">
      <c r="E540" s="134">
        <v>7</v>
      </c>
      <c r="G540" s="134">
        <v>276.7</v>
      </c>
      <c r="H540" s="134">
        <v>15.8</v>
      </c>
      <c r="J540" s="134" t="s">
        <v>96</v>
      </c>
      <c r="K540" s="134" t="s">
        <v>97</v>
      </c>
      <c r="L540" s="134">
        <v>5.8</v>
      </c>
    </row>
    <row r="541" spans="5:12" ht="15.5" x14ac:dyDescent="0.35">
      <c r="E541" s="134">
        <v>7</v>
      </c>
      <c r="G541" s="134">
        <v>276.8</v>
      </c>
      <c r="H541" s="134">
        <v>15.9</v>
      </c>
      <c r="J541" s="136"/>
      <c r="K541" s="134" t="s">
        <v>85</v>
      </c>
      <c r="L541" s="136"/>
    </row>
    <row r="542" spans="5:12" x14ac:dyDescent="0.35">
      <c r="E542" s="134">
        <v>10</v>
      </c>
      <c r="G542" s="134">
        <v>272</v>
      </c>
      <c r="H542" s="134">
        <v>9.6</v>
      </c>
      <c r="J542" s="134" t="s">
        <v>98</v>
      </c>
      <c r="K542" s="134" t="s">
        <v>99</v>
      </c>
      <c r="L542" s="134">
        <v>7.7</v>
      </c>
    </row>
    <row r="543" spans="5:12" x14ac:dyDescent="0.35">
      <c r="E543" s="134">
        <v>10</v>
      </c>
      <c r="G543" s="134">
        <v>272.60000000000002</v>
      </c>
      <c r="H543" s="134">
        <v>9.6</v>
      </c>
      <c r="J543" s="134" t="s">
        <v>100</v>
      </c>
      <c r="K543" s="134" t="s">
        <v>99</v>
      </c>
      <c r="L543" s="134">
        <v>6.8</v>
      </c>
    </row>
    <row r="544" spans="5:12" x14ac:dyDescent="0.35">
      <c r="E544" s="134">
        <v>10</v>
      </c>
      <c r="G544" s="134">
        <v>273.3</v>
      </c>
      <c r="H544" s="134">
        <v>9.6999999999999993</v>
      </c>
      <c r="J544" s="134" t="s">
        <v>101</v>
      </c>
      <c r="K544" s="134" t="s">
        <v>102</v>
      </c>
      <c r="L544" s="134">
        <v>7</v>
      </c>
    </row>
    <row r="545" spans="5:12" x14ac:dyDescent="0.35">
      <c r="E545" s="134">
        <v>10</v>
      </c>
      <c r="G545" s="134">
        <v>273.60000000000002</v>
      </c>
      <c r="H545" s="134">
        <v>9.6999999999999993</v>
      </c>
      <c r="J545" s="134" t="s">
        <v>103</v>
      </c>
      <c r="K545" s="134" t="s">
        <v>104</v>
      </c>
      <c r="L545" s="134">
        <v>6.4</v>
      </c>
    </row>
    <row r="546" spans="5:12" x14ac:dyDescent="0.35">
      <c r="E546" s="134">
        <v>10</v>
      </c>
      <c r="G546" s="134">
        <v>273.8</v>
      </c>
      <c r="H546" s="134">
        <v>9.74</v>
      </c>
      <c r="J546" s="135" t="s">
        <v>77</v>
      </c>
      <c r="K546" s="134" t="s">
        <v>85</v>
      </c>
      <c r="L546" s="135" t="s">
        <v>77</v>
      </c>
    </row>
    <row r="547" spans="5:12" x14ac:dyDescent="0.35">
      <c r="E547" s="134">
        <v>10</v>
      </c>
      <c r="G547" s="134">
        <v>271.2</v>
      </c>
      <c r="H547" s="134">
        <v>10.5</v>
      </c>
      <c r="J547" s="134" t="s">
        <v>105</v>
      </c>
      <c r="K547" s="134" t="s">
        <v>106</v>
      </c>
      <c r="L547" s="134">
        <v>7.1</v>
      </c>
    </row>
    <row r="548" spans="5:12" x14ac:dyDescent="0.35">
      <c r="E548" s="134">
        <v>10</v>
      </c>
      <c r="G548" s="134">
        <v>273.2</v>
      </c>
      <c r="H548" s="134">
        <v>10.8</v>
      </c>
      <c r="J548" s="134" t="s">
        <v>107</v>
      </c>
      <c r="K548" s="134" t="s">
        <v>108</v>
      </c>
      <c r="L548" s="134">
        <v>6.1</v>
      </c>
    </row>
    <row r="549" spans="5:12" x14ac:dyDescent="0.35">
      <c r="E549" s="134">
        <v>10</v>
      </c>
      <c r="G549" s="134">
        <v>273.39999999999998</v>
      </c>
      <c r="H549" s="134">
        <v>10.8</v>
      </c>
      <c r="J549" s="134" t="s">
        <v>109</v>
      </c>
      <c r="K549" s="134" t="s">
        <v>110</v>
      </c>
      <c r="L549" s="134">
        <v>6.4</v>
      </c>
    </row>
    <row r="550" spans="5:12" x14ac:dyDescent="0.35">
      <c r="E550" s="134">
        <v>10</v>
      </c>
      <c r="G550" s="134">
        <v>273.60000000000002</v>
      </c>
      <c r="H550" s="134">
        <v>10.8</v>
      </c>
      <c r="J550" s="134" t="s">
        <v>111</v>
      </c>
      <c r="K550" s="134" t="s">
        <v>112</v>
      </c>
      <c r="L550" s="134">
        <v>6.7</v>
      </c>
    </row>
    <row r="551" spans="5:12" x14ac:dyDescent="0.35">
      <c r="E551" s="134">
        <v>10</v>
      </c>
      <c r="G551" s="134">
        <v>274</v>
      </c>
      <c r="H551" s="134">
        <v>11</v>
      </c>
      <c r="J551" s="134" t="s">
        <v>103</v>
      </c>
      <c r="K551" s="134" t="s">
        <v>113</v>
      </c>
      <c r="L551" s="134">
        <v>6.3</v>
      </c>
    </row>
    <row r="552" spans="5:12" x14ac:dyDescent="0.35">
      <c r="E552" s="134">
        <v>10</v>
      </c>
      <c r="G552" s="134">
        <v>274.2</v>
      </c>
      <c r="H552" s="134">
        <v>11</v>
      </c>
      <c r="J552" s="134" t="s">
        <v>114</v>
      </c>
      <c r="K552" s="134" t="s">
        <v>115</v>
      </c>
      <c r="L552" s="134">
        <v>7.4</v>
      </c>
    </row>
    <row r="553" spans="5:12" x14ac:dyDescent="0.35">
      <c r="E553" s="134">
        <v>10</v>
      </c>
      <c r="G553" s="134">
        <v>274.7</v>
      </c>
      <c r="H553" s="134">
        <v>11.1</v>
      </c>
      <c r="J553" s="134" t="s">
        <v>116</v>
      </c>
      <c r="K553" s="134" t="s">
        <v>117</v>
      </c>
      <c r="L553" s="134">
        <v>7.2</v>
      </c>
    </row>
    <row r="554" spans="5:12" x14ac:dyDescent="0.35">
      <c r="E554" s="134">
        <v>10</v>
      </c>
      <c r="G554" s="134">
        <v>275</v>
      </c>
      <c r="H554" s="134">
        <v>11.1</v>
      </c>
      <c r="J554" s="135" t="s">
        <v>77</v>
      </c>
      <c r="K554" s="134" t="s">
        <v>85</v>
      </c>
      <c r="L554" s="135" t="s">
        <v>77</v>
      </c>
    </row>
    <row r="555" spans="5:12" x14ac:dyDescent="0.35">
      <c r="E555" s="134">
        <v>10</v>
      </c>
      <c r="G555" s="134">
        <v>271.5</v>
      </c>
      <c r="H555" s="134">
        <v>12.4</v>
      </c>
      <c r="J555" s="134" t="s">
        <v>118</v>
      </c>
      <c r="K555" s="134" t="s">
        <v>119</v>
      </c>
      <c r="L555" s="134">
        <v>7.4</v>
      </c>
    </row>
    <row r="556" spans="5:12" x14ac:dyDescent="0.35">
      <c r="E556" s="137">
        <v>10</v>
      </c>
      <c r="G556" s="139">
        <v>272.3</v>
      </c>
      <c r="H556" s="138">
        <v>12.4</v>
      </c>
      <c r="J556" s="134" t="s">
        <v>120</v>
      </c>
      <c r="K556" s="140" t="s">
        <v>121</v>
      </c>
      <c r="L556" s="140">
        <v>5.7</v>
      </c>
    </row>
    <row r="557" spans="5:12" x14ac:dyDescent="0.35">
      <c r="E557" s="137">
        <v>10</v>
      </c>
      <c r="G557" s="139">
        <v>273.5</v>
      </c>
      <c r="H557" s="138">
        <v>12.4</v>
      </c>
      <c r="J557" s="134" t="s">
        <v>122</v>
      </c>
      <c r="K557" s="134" t="s">
        <v>123</v>
      </c>
      <c r="L557" s="140">
        <v>6.7</v>
      </c>
    </row>
    <row r="558" spans="5:12" x14ac:dyDescent="0.35">
      <c r="E558" s="137">
        <v>10</v>
      </c>
      <c r="G558" s="139">
        <v>274.5</v>
      </c>
      <c r="H558" s="138">
        <v>12.6</v>
      </c>
      <c r="J558" s="134" t="s">
        <v>124</v>
      </c>
      <c r="K558" s="134" t="s">
        <v>125</v>
      </c>
      <c r="L558" s="140">
        <v>7.4</v>
      </c>
    </row>
    <row r="559" spans="5:12" x14ac:dyDescent="0.35">
      <c r="E559" s="137">
        <v>10</v>
      </c>
      <c r="G559" s="139">
        <v>275.3</v>
      </c>
      <c r="H559" s="138">
        <v>12.8</v>
      </c>
      <c r="J559" s="134" t="s">
        <v>126</v>
      </c>
      <c r="K559" s="140" t="s">
        <v>127</v>
      </c>
      <c r="L559" s="140">
        <v>6.7</v>
      </c>
    </row>
    <row r="560" spans="5:12" x14ac:dyDescent="0.35">
      <c r="E560" s="137">
        <v>10</v>
      </c>
      <c r="G560" s="139">
        <v>275.7</v>
      </c>
      <c r="H560" s="138">
        <v>12.9</v>
      </c>
      <c r="J560" s="135" t="s">
        <v>77</v>
      </c>
      <c r="K560" s="140" t="s">
        <v>85</v>
      </c>
      <c r="L560" s="141" t="s">
        <v>77</v>
      </c>
    </row>
    <row r="561" spans="5:12" x14ac:dyDescent="0.35">
      <c r="E561" s="137">
        <v>20</v>
      </c>
      <c r="G561" s="139">
        <v>276.8</v>
      </c>
      <c r="H561" s="138">
        <v>11.2</v>
      </c>
      <c r="J561" s="134" t="s">
        <v>128</v>
      </c>
      <c r="K561" s="134" t="s">
        <v>129</v>
      </c>
      <c r="L561" s="140">
        <v>6.9</v>
      </c>
    </row>
    <row r="562" spans="5:12" x14ac:dyDescent="0.35">
      <c r="E562" s="137">
        <v>20</v>
      </c>
      <c r="G562" s="139">
        <v>276.89999999999998</v>
      </c>
      <c r="H562" s="138">
        <v>11.2</v>
      </c>
      <c r="J562" s="134" t="s">
        <v>130</v>
      </c>
      <c r="K562" s="140" t="s">
        <v>131</v>
      </c>
      <c r="L562" s="140">
        <v>6.9</v>
      </c>
    </row>
    <row r="563" spans="5:12" x14ac:dyDescent="0.35">
      <c r="E563" s="137">
        <v>20</v>
      </c>
      <c r="G563" s="139">
        <v>277.2</v>
      </c>
      <c r="H563" s="138">
        <v>11.2</v>
      </c>
      <c r="J563" s="134" t="s">
        <v>132</v>
      </c>
      <c r="K563" s="140" t="s">
        <v>133</v>
      </c>
      <c r="L563" s="140">
        <v>7.4</v>
      </c>
    </row>
    <row r="564" spans="5:12" x14ac:dyDescent="0.35">
      <c r="E564" s="137">
        <v>20</v>
      </c>
      <c r="G564" s="139">
        <v>277.5</v>
      </c>
      <c r="H564" s="138">
        <v>11.1</v>
      </c>
      <c r="J564" s="134" t="s">
        <v>134</v>
      </c>
      <c r="K564" s="134" t="s">
        <v>135</v>
      </c>
      <c r="L564" s="140">
        <v>7.1</v>
      </c>
    </row>
    <row r="565" spans="5:12" x14ac:dyDescent="0.35">
      <c r="E565" s="137">
        <v>20</v>
      </c>
      <c r="G565" s="139">
        <v>278.10000000000002</v>
      </c>
      <c r="H565" s="138">
        <v>11.3</v>
      </c>
      <c r="J565" s="134" t="s">
        <v>136</v>
      </c>
      <c r="K565" s="140" t="s">
        <v>137</v>
      </c>
      <c r="L565" s="140">
        <v>7.9</v>
      </c>
    </row>
    <row r="566" spans="5:12" x14ac:dyDescent="0.35">
      <c r="E566" s="137">
        <v>20</v>
      </c>
      <c r="G566" s="139">
        <v>278.3</v>
      </c>
      <c r="H566" s="138">
        <v>11.4</v>
      </c>
      <c r="J566" s="135" t="s">
        <v>77</v>
      </c>
      <c r="K566" s="140" t="s">
        <v>85</v>
      </c>
      <c r="L566" s="141" t="s">
        <v>77</v>
      </c>
    </row>
    <row r="567" spans="5:12" x14ac:dyDescent="0.35">
      <c r="E567" s="137">
        <v>47</v>
      </c>
      <c r="G567" s="139">
        <v>276.7</v>
      </c>
      <c r="H567" s="138">
        <v>5.93</v>
      </c>
      <c r="J567" s="134" t="s">
        <v>138</v>
      </c>
      <c r="K567" s="134" t="s">
        <v>139</v>
      </c>
      <c r="L567" s="140">
        <v>6.5</v>
      </c>
    </row>
    <row r="568" spans="5:12" x14ac:dyDescent="0.35">
      <c r="E568" s="137">
        <v>47</v>
      </c>
      <c r="G568" s="139">
        <v>276.8</v>
      </c>
      <c r="H568" s="138">
        <v>5.93</v>
      </c>
      <c r="J568" s="134" t="s">
        <v>140</v>
      </c>
      <c r="K568" s="140" t="s">
        <v>141</v>
      </c>
      <c r="L568" s="140">
        <v>5.9</v>
      </c>
    </row>
    <row r="569" spans="5:12" x14ac:dyDescent="0.35">
      <c r="E569" s="137">
        <v>47</v>
      </c>
      <c r="G569" s="139">
        <v>278.8</v>
      </c>
      <c r="H569" s="138">
        <v>6.3</v>
      </c>
      <c r="J569" s="135" t="s">
        <v>77</v>
      </c>
      <c r="K569" s="140" t="s">
        <v>85</v>
      </c>
      <c r="L569" s="141" t="s">
        <v>77</v>
      </c>
    </row>
    <row r="570" spans="5:12" x14ac:dyDescent="0.35">
      <c r="E570" s="137">
        <v>70</v>
      </c>
      <c r="G570" s="139">
        <v>273.2</v>
      </c>
      <c r="H570" s="138">
        <v>3.6</v>
      </c>
      <c r="J570" s="134" t="s">
        <v>142</v>
      </c>
      <c r="K570" s="134" t="s">
        <v>143</v>
      </c>
      <c r="L570" s="140">
        <v>4</v>
      </c>
    </row>
    <row r="571" spans="5:12" x14ac:dyDescent="0.35">
      <c r="E571" s="137">
        <v>70</v>
      </c>
      <c r="G571" s="139">
        <v>274.10000000000002</v>
      </c>
      <c r="H571" s="138">
        <v>3.7</v>
      </c>
      <c r="J571" s="134" t="s">
        <v>117</v>
      </c>
      <c r="K571" s="134" t="s">
        <v>144</v>
      </c>
      <c r="L571" s="140">
        <v>3.8</v>
      </c>
    </row>
    <row r="572" spans="5:12" x14ac:dyDescent="0.35">
      <c r="E572" s="137">
        <v>70</v>
      </c>
      <c r="G572" s="139">
        <v>274.8</v>
      </c>
      <c r="H572" s="138">
        <v>3.7</v>
      </c>
      <c r="J572" s="134" t="s">
        <v>145</v>
      </c>
      <c r="K572" s="134" t="s">
        <v>146</v>
      </c>
      <c r="L572" s="140">
        <v>3.5</v>
      </c>
    </row>
  </sheetData>
  <sortState ref="S327:T334">
    <sortCondition ref="S327"/>
  </sortState>
  <mergeCells count="33">
    <mergeCell ref="A350:J350"/>
    <mergeCell ref="A346:J346"/>
    <mergeCell ref="B1:C1"/>
    <mergeCell ref="D1:F1"/>
    <mergeCell ref="G1:H1"/>
    <mergeCell ref="A290:J290"/>
    <mergeCell ref="B464:N464"/>
    <mergeCell ref="B406:N406"/>
    <mergeCell ref="A251:J251"/>
    <mergeCell ref="A3:J3"/>
    <mergeCell ref="B418:O418"/>
    <mergeCell ref="B436:O436"/>
    <mergeCell ref="A58:J58"/>
    <mergeCell ref="A204:J204"/>
    <mergeCell ref="A69:J69"/>
    <mergeCell ref="A96:J96"/>
    <mergeCell ref="A299:J299"/>
    <mergeCell ref="A194:J194"/>
    <mergeCell ref="A106:J106"/>
    <mergeCell ref="A338:J338"/>
    <mergeCell ref="A320:J320"/>
    <mergeCell ref="A315:J315"/>
    <mergeCell ref="W2:X2"/>
    <mergeCell ref="A141:J141"/>
    <mergeCell ref="A150:J150"/>
    <mergeCell ref="A177:J177"/>
    <mergeCell ref="A262:J262"/>
    <mergeCell ref="K2:L2"/>
    <mergeCell ref="M2:N2"/>
    <mergeCell ref="A240:J240"/>
    <mergeCell ref="S2:T2"/>
    <mergeCell ref="S3:T3"/>
    <mergeCell ref="A123:J123"/>
  </mergeCells>
  <pageMargins left="0.7" right="0.7" top="0.75" bottom="0.75" header="0.3" footer="0.3"/>
  <pageSetup orientation="portrait" r:id="rId1"/>
  <ignoredErrors>
    <ignoredError sqref="C4:C57 B59:B68 B70:C95 C102:C105 C124:C140 C142:C149 C151:C176 C300:C314 C316:C319 E316:F319 E321:F337 C351:F399" unlockedFormula="1"/>
    <ignoredError sqref="L150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90" zoomScaleNormal="90" workbookViewId="0">
      <selection activeCell="R16" sqref="R16"/>
    </sheetView>
  </sheetViews>
  <sheetFormatPr defaultRowHeight="14.5" x14ac:dyDescent="0.35"/>
  <cols>
    <col min="2" max="2" width="10.453125" bestFit="1" customWidth="1"/>
    <col min="4" max="4" width="10.453125" bestFit="1" customWidth="1"/>
    <col min="6" max="6" width="10.453125" bestFit="1" customWidth="1"/>
    <col min="8" max="8" width="10.453125" bestFit="1" customWidth="1"/>
    <col min="10" max="10" width="10.453125" bestFit="1" customWidth="1"/>
    <col min="12" max="12" width="10.453125" bestFit="1" customWidth="1"/>
  </cols>
  <sheetData>
    <row r="1" spans="1:6" ht="15" thickBot="1" x14ac:dyDescent="0.4">
      <c r="A1" s="175" t="s">
        <v>57</v>
      </c>
      <c r="B1" s="176"/>
      <c r="C1" s="175" t="s">
        <v>58</v>
      </c>
      <c r="D1" s="176"/>
      <c r="E1" s="175" t="s">
        <v>59</v>
      </c>
      <c r="F1" s="176"/>
    </row>
    <row r="2" spans="1:6" ht="15" thickBot="1" x14ac:dyDescent="0.4">
      <c r="A2" s="106" t="s">
        <v>34</v>
      </c>
      <c r="B2" s="107" t="s">
        <v>36</v>
      </c>
      <c r="C2" s="106" t="s">
        <v>34</v>
      </c>
      <c r="D2" s="107" t="s">
        <v>36</v>
      </c>
      <c r="E2" s="106" t="s">
        <v>34</v>
      </c>
      <c r="F2" s="107" t="s">
        <v>36</v>
      </c>
    </row>
    <row r="3" spans="1:6" x14ac:dyDescent="0.35">
      <c r="A3" s="24">
        <v>274.10000000000002</v>
      </c>
      <c r="B3" s="13">
        <v>1.986</v>
      </c>
      <c r="C3" s="97">
        <v>274.39999999999998</v>
      </c>
      <c r="D3" s="12">
        <v>3.0739999999999998</v>
      </c>
      <c r="E3" s="97">
        <v>273.39999999999998</v>
      </c>
      <c r="F3" s="97">
        <v>6.2430000000000003</v>
      </c>
    </row>
    <row r="4" spans="1:6" x14ac:dyDescent="0.35">
      <c r="A4" s="29">
        <v>277.5</v>
      </c>
      <c r="B4" s="14">
        <v>2.8029999999999999</v>
      </c>
      <c r="C4" s="22">
        <v>276</v>
      </c>
      <c r="D4" s="12">
        <v>3.7530000000000001</v>
      </c>
      <c r="E4" s="22">
        <v>274</v>
      </c>
      <c r="F4" s="22">
        <v>6.51</v>
      </c>
    </row>
    <row r="5" spans="1:6" x14ac:dyDescent="0.35">
      <c r="A5" s="29">
        <v>279.7</v>
      </c>
      <c r="B5" s="14">
        <v>3.7770000000000001</v>
      </c>
      <c r="C5" s="22">
        <v>278.10000000000002</v>
      </c>
      <c r="D5" s="12">
        <v>4.8220000000000001</v>
      </c>
      <c r="E5" s="22">
        <v>275.10000000000002</v>
      </c>
      <c r="F5" s="22">
        <v>7.3239999999999998</v>
      </c>
    </row>
    <row r="6" spans="1:6" x14ac:dyDescent="0.35">
      <c r="A6" s="29">
        <v>281.3</v>
      </c>
      <c r="B6" s="14">
        <v>4.8520000000000003</v>
      </c>
      <c r="C6" s="22">
        <v>280.2</v>
      </c>
      <c r="D6" s="12">
        <v>6.5609999999999999</v>
      </c>
      <c r="E6" s="22">
        <v>276.3</v>
      </c>
      <c r="F6" s="22">
        <v>8.4580000000000002</v>
      </c>
    </row>
    <row r="7" spans="1:6" ht="15" thickBot="1" x14ac:dyDescent="0.4">
      <c r="A7" s="30">
        <v>281.89999999999998</v>
      </c>
      <c r="B7" s="15">
        <v>5.4530000000000003</v>
      </c>
      <c r="C7" s="98">
        <v>281.10000000000002</v>
      </c>
      <c r="D7" s="55">
        <v>7.266</v>
      </c>
      <c r="E7" s="98">
        <v>277.2</v>
      </c>
      <c r="F7" s="98">
        <v>9.5500000000000007</v>
      </c>
    </row>
    <row r="8" spans="1:6" ht="15" thickBot="1" x14ac:dyDescent="0.4"/>
    <row r="9" spans="1:6" ht="15" thickBot="1" x14ac:dyDescent="0.4">
      <c r="A9" s="175" t="s">
        <v>57</v>
      </c>
      <c r="B9" s="176"/>
      <c r="C9" s="175" t="s">
        <v>58</v>
      </c>
      <c r="D9" s="176"/>
      <c r="E9" s="175" t="s">
        <v>59</v>
      </c>
      <c r="F9" s="176"/>
    </row>
    <row r="10" spans="1:6" ht="15" thickBot="1" x14ac:dyDescent="0.4">
      <c r="A10" s="106" t="s">
        <v>34</v>
      </c>
      <c r="B10" s="107" t="s">
        <v>35</v>
      </c>
      <c r="C10" s="99" t="s">
        <v>34</v>
      </c>
      <c r="D10" s="107" t="s">
        <v>35</v>
      </c>
      <c r="E10" s="106" t="s">
        <v>34</v>
      </c>
      <c r="F10" s="107" t="s">
        <v>35</v>
      </c>
    </row>
    <row r="11" spans="1:6" x14ac:dyDescent="0.35">
      <c r="A11" s="24">
        <v>274.10000000000002</v>
      </c>
      <c r="B11" s="13">
        <v>2.1346216040309507</v>
      </c>
      <c r="C11" s="97">
        <v>274.39999999999998</v>
      </c>
      <c r="D11" s="12">
        <v>3.2490320827105088</v>
      </c>
      <c r="E11" s="97">
        <v>273.39999999999998</v>
      </c>
      <c r="F11" s="97">
        <v>6.5253834742311074</v>
      </c>
    </row>
    <row r="12" spans="1:6" x14ac:dyDescent="0.35">
      <c r="A12" s="29">
        <v>277.5</v>
      </c>
      <c r="B12" s="14">
        <v>2.9351536649933663</v>
      </c>
      <c r="C12" s="22">
        <v>276</v>
      </c>
      <c r="D12" s="12">
        <v>3.8127128635731227</v>
      </c>
      <c r="E12" s="22">
        <v>274</v>
      </c>
      <c r="F12" s="22">
        <v>6.9743306313706794</v>
      </c>
    </row>
    <row r="13" spans="1:6" x14ac:dyDescent="0.35">
      <c r="A13" s="29">
        <v>279.7</v>
      </c>
      <c r="B13" s="14">
        <v>3.6093768581531527</v>
      </c>
      <c r="C13" s="22">
        <v>278.10000000000002</v>
      </c>
      <c r="D13" s="12">
        <v>4.7241394667270935</v>
      </c>
      <c r="E13" s="22">
        <v>275.10000000000002</v>
      </c>
      <c r="F13" s="22">
        <v>7.9024589071654123</v>
      </c>
    </row>
    <row r="14" spans="1:6" x14ac:dyDescent="0.35">
      <c r="A14" s="29">
        <v>281.3</v>
      </c>
      <c r="B14" s="14">
        <v>4.1961647795119479</v>
      </c>
      <c r="C14" s="22">
        <v>280.2</v>
      </c>
      <c r="D14" s="12">
        <v>5.8966410747474454</v>
      </c>
      <c r="E14" s="22">
        <v>276.3</v>
      </c>
      <c r="F14" s="22">
        <v>9.1062944874976104</v>
      </c>
    </row>
    <row r="15" spans="1:6" ht="15" thickBot="1" x14ac:dyDescent="0.4">
      <c r="A15" s="30">
        <v>281.89999999999998</v>
      </c>
      <c r="B15" s="15">
        <v>4.4400795641330397</v>
      </c>
      <c r="C15" s="98">
        <v>281.10000000000002</v>
      </c>
      <c r="D15" s="55">
        <v>6.5056465809122672</v>
      </c>
      <c r="E15" s="98">
        <v>277.2</v>
      </c>
      <c r="F15" s="98">
        <v>10.178183420169965</v>
      </c>
    </row>
    <row r="17" spans="2:6" x14ac:dyDescent="0.35">
      <c r="B17">
        <f>ABS(B3-B11)/B3</f>
        <v>7.4834644527165511E-2</v>
      </c>
      <c r="D17">
        <f>ABS(D3-D11)/D3</f>
        <v>5.6939519424368569E-2</v>
      </c>
      <c r="F17">
        <f>ABS(F3-F11)/F3</f>
        <v>4.5232015734599888E-2</v>
      </c>
    </row>
    <row r="18" spans="2:6" x14ac:dyDescent="0.35">
      <c r="B18">
        <f t="shared" ref="B18:D21" si="0">ABS(B4-B12)/B4</f>
        <v>4.7147222616256278E-2</v>
      </c>
      <c r="D18">
        <f t="shared" si="0"/>
        <v>1.5910701724786185E-2</v>
      </c>
      <c r="F18">
        <f t="shared" ref="F18" si="1">ABS(F4-F12)/F4</f>
        <v>7.13257498265253E-2</v>
      </c>
    </row>
    <row r="19" spans="2:6" x14ac:dyDescent="0.35">
      <c r="B19">
        <f t="shared" si="0"/>
        <v>4.4379968717725031E-2</v>
      </c>
      <c r="D19">
        <f t="shared" si="0"/>
        <v>2.0294594208400366E-2</v>
      </c>
      <c r="F19">
        <f t="shared" ref="F19" si="2">ABS(F5-F13)/F5</f>
        <v>7.8981281699264411E-2</v>
      </c>
    </row>
    <row r="20" spans="2:6" x14ac:dyDescent="0.35">
      <c r="B20">
        <f t="shared" si="0"/>
        <v>0.13516801741303636</v>
      </c>
      <c r="D20">
        <f t="shared" si="0"/>
        <v>0.10125879061919747</v>
      </c>
      <c r="F20">
        <f t="shared" ref="F20" si="3">ABS(F6-F14)/F6</f>
        <v>7.6648674331710825E-2</v>
      </c>
    </row>
    <row r="21" spans="2:6" x14ac:dyDescent="0.35">
      <c r="B21">
        <f t="shared" si="0"/>
        <v>0.18575471041022565</v>
      </c>
      <c r="D21">
        <f t="shared" si="0"/>
        <v>0.1046453921122671</v>
      </c>
      <c r="F21">
        <f t="shared" ref="F21" si="4">ABS(F7-F15)/F7</f>
        <v>6.5778368604184762E-2</v>
      </c>
    </row>
    <row r="23" spans="2:6" x14ac:dyDescent="0.35">
      <c r="B23">
        <f>SUM(B17:B21)/5</f>
        <v>9.7456912736881771E-2</v>
      </c>
      <c r="D23">
        <f>SUM(D17:D21)/5</f>
        <v>5.9809799617803937E-2</v>
      </c>
      <c r="F23">
        <f>SUM(F17:F21)/5</f>
        <v>6.7593218039257039E-2</v>
      </c>
    </row>
    <row r="25" spans="2:6" x14ac:dyDescent="0.35">
      <c r="D25">
        <f>SUM(B17:B21,D17:D21,F17:F21)/15</f>
        <v>7.495331013131426E-2</v>
      </c>
    </row>
  </sheetData>
  <mergeCells count="6">
    <mergeCell ref="A9:B9"/>
    <mergeCell ref="C9:D9"/>
    <mergeCell ref="E9:F9"/>
    <mergeCell ref="A1:B1"/>
    <mergeCell ref="C1:D1"/>
    <mergeCell ref="E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90" zoomScaleNormal="90" workbookViewId="0">
      <selection activeCell="D24" sqref="D24"/>
    </sheetView>
  </sheetViews>
  <sheetFormatPr defaultRowHeight="14.5" x14ac:dyDescent="0.35"/>
  <cols>
    <col min="2" max="2" width="10.453125" bestFit="1" customWidth="1"/>
    <col min="4" max="4" width="10.453125" bestFit="1" customWidth="1"/>
    <col min="6" max="6" width="10.453125" bestFit="1" customWidth="1"/>
    <col min="8" max="8" width="10.453125" bestFit="1" customWidth="1"/>
    <col min="10" max="10" width="10.453125" bestFit="1" customWidth="1"/>
    <col min="12" max="12" width="10.453125" bestFit="1" customWidth="1"/>
  </cols>
  <sheetData>
    <row r="1" spans="1:6" ht="15" thickBot="1" x14ac:dyDescent="0.4">
      <c r="A1" s="175" t="s">
        <v>149</v>
      </c>
      <c r="B1" s="176"/>
      <c r="C1" s="175" t="s">
        <v>150</v>
      </c>
      <c r="D1" s="176"/>
      <c r="E1" s="175"/>
      <c r="F1" s="176"/>
    </row>
    <row r="2" spans="1:6" ht="15" thickBot="1" x14ac:dyDescent="0.4">
      <c r="A2" s="145" t="s">
        <v>34</v>
      </c>
      <c r="B2" s="146" t="s">
        <v>36</v>
      </c>
      <c r="C2" s="145" t="s">
        <v>34</v>
      </c>
      <c r="D2" s="146" t="s">
        <v>36</v>
      </c>
      <c r="E2" s="145"/>
      <c r="F2" s="146"/>
    </row>
    <row r="3" spans="1:6" x14ac:dyDescent="0.35">
      <c r="A3" s="24">
        <v>277.8</v>
      </c>
      <c r="B3" s="13">
        <v>5</v>
      </c>
      <c r="C3" s="97">
        <v>275.75</v>
      </c>
      <c r="D3" s="12">
        <v>5</v>
      </c>
      <c r="E3" s="97"/>
      <c r="F3" s="97"/>
    </row>
    <row r="4" spans="1:6" x14ac:dyDescent="0.35">
      <c r="A4" s="29">
        <v>280.10000000000002</v>
      </c>
      <c r="B4" s="14">
        <v>7.5</v>
      </c>
      <c r="C4" s="22">
        <v>278.64999999999998</v>
      </c>
      <c r="D4" s="12">
        <v>7.5</v>
      </c>
      <c r="E4" s="22"/>
      <c r="F4" s="22"/>
    </row>
    <row r="5" spans="1:6" x14ac:dyDescent="0.35">
      <c r="A5" s="29">
        <v>281.60000000000002</v>
      </c>
      <c r="B5" s="14">
        <v>10</v>
      </c>
      <c r="C5" s="22">
        <v>280.60000000000002</v>
      </c>
      <c r="D5" s="12">
        <v>10</v>
      </c>
      <c r="E5" s="22"/>
      <c r="F5" s="22"/>
    </row>
    <row r="6" spans="1:6" x14ac:dyDescent="0.35">
      <c r="A6" s="29">
        <v>283.3</v>
      </c>
      <c r="B6" s="14">
        <v>15</v>
      </c>
      <c r="C6" s="22">
        <v>282.75</v>
      </c>
      <c r="D6" s="12">
        <v>15</v>
      </c>
      <c r="E6" s="22"/>
      <c r="F6" s="22"/>
    </row>
    <row r="7" spans="1:6" ht="15" thickBot="1" x14ac:dyDescent="0.4">
      <c r="A7" s="30">
        <v>284.45</v>
      </c>
      <c r="B7" s="15">
        <v>20</v>
      </c>
      <c r="C7" s="98">
        <v>283.89999999999998</v>
      </c>
      <c r="D7" s="55">
        <v>20</v>
      </c>
      <c r="E7" s="98"/>
      <c r="F7" s="98"/>
    </row>
    <row r="8" spans="1:6" x14ac:dyDescent="0.35">
      <c r="A8" s="7"/>
      <c r="B8" s="7"/>
      <c r="C8" s="25"/>
      <c r="D8" s="25"/>
      <c r="E8" s="25"/>
      <c r="F8" s="25"/>
    </row>
    <row r="9" spans="1:6" x14ac:dyDescent="0.35">
      <c r="A9" s="7"/>
      <c r="B9" s="7"/>
      <c r="C9" s="25"/>
      <c r="D9" s="25"/>
      <c r="E9" s="25"/>
      <c r="F9" s="25"/>
    </row>
    <row r="10" spans="1:6" x14ac:dyDescent="0.35">
      <c r="A10" s="7"/>
      <c r="B10" s="7"/>
      <c r="C10" s="25"/>
      <c r="D10" s="25"/>
      <c r="E10" s="25"/>
      <c r="F10" s="25"/>
    </row>
    <row r="11" spans="1:6" ht="15" thickBot="1" x14ac:dyDescent="0.4"/>
    <row r="12" spans="1:6" ht="15" thickBot="1" x14ac:dyDescent="0.4">
      <c r="A12" s="175" t="s">
        <v>149</v>
      </c>
      <c r="B12" s="176"/>
      <c r="C12" s="175" t="s">
        <v>150</v>
      </c>
      <c r="D12" s="176"/>
      <c r="E12" s="175"/>
      <c r="F12" s="176"/>
    </row>
    <row r="13" spans="1:6" ht="15" thickBot="1" x14ac:dyDescent="0.4">
      <c r="A13" s="145" t="s">
        <v>34</v>
      </c>
      <c r="B13" s="146" t="s">
        <v>35</v>
      </c>
      <c r="C13" s="145" t="s">
        <v>34</v>
      </c>
      <c r="D13" s="146" t="s">
        <v>35</v>
      </c>
      <c r="E13" s="145"/>
      <c r="F13" s="146"/>
    </row>
    <row r="14" spans="1:6" x14ac:dyDescent="0.35">
      <c r="A14" s="24">
        <v>277.8</v>
      </c>
      <c r="B14" s="13">
        <v>6.3479953108484182</v>
      </c>
      <c r="C14" s="97">
        <v>275.75</v>
      </c>
      <c r="D14" s="12">
        <v>6.8177969288959677</v>
      </c>
      <c r="E14" s="97"/>
      <c r="F14" s="97"/>
    </row>
    <row r="15" spans="1:6" x14ac:dyDescent="0.35">
      <c r="A15" s="29">
        <v>280.10000000000002</v>
      </c>
      <c r="B15" s="14">
        <v>8.2929852081833495</v>
      </c>
      <c r="C15" s="22">
        <v>278.64999999999998</v>
      </c>
      <c r="D15" s="12">
        <v>9.6271151122031249</v>
      </c>
      <c r="E15" s="22"/>
      <c r="F15" s="22"/>
    </row>
    <row r="16" spans="1:6" x14ac:dyDescent="0.35">
      <c r="A16" s="29">
        <v>281.60000000000002</v>
      </c>
      <c r="B16" s="14">
        <v>10.038438639930776</v>
      </c>
      <c r="C16" s="22">
        <v>280.60000000000002</v>
      </c>
      <c r="D16" s="12">
        <v>12.551513451481641</v>
      </c>
      <c r="E16" s="22"/>
      <c r="F16" s="22"/>
    </row>
    <row r="17" spans="1:6" x14ac:dyDescent="0.35">
      <c r="A17" s="29">
        <v>283.3</v>
      </c>
      <c r="B17" s="14">
        <v>12.852676405480281</v>
      </c>
      <c r="C17" s="22">
        <v>282.75</v>
      </c>
      <c r="D17" s="12">
        <v>18.116242655706127</v>
      </c>
      <c r="E17" s="22"/>
      <c r="F17" s="22"/>
    </row>
    <row r="18" spans="1:6" ht="15" thickBot="1" x14ac:dyDescent="0.4">
      <c r="A18" s="30">
        <v>284.45</v>
      </c>
      <c r="B18" s="15">
        <v>15.772847727187102</v>
      </c>
      <c r="C18" s="98">
        <v>283.89999999999998</v>
      </c>
      <c r="D18" s="55">
        <v>24.052628770692259</v>
      </c>
      <c r="E18" s="98"/>
      <c r="F18" s="98"/>
    </row>
    <row r="20" spans="1:6" x14ac:dyDescent="0.35">
      <c r="B20">
        <f>ABS(B3-B14)/B3</f>
        <v>0.26959906216968366</v>
      </c>
      <c r="D20">
        <f>ABS(D3-D14)/D3</f>
        <v>0.36355938577919356</v>
      </c>
    </row>
    <row r="21" spans="1:6" x14ac:dyDescent="0.35">
      <c r="B21">
        <f t="shared" ref="B21:D24" si="0">ABS(B4-B15)/B4</f>
        <v>0.10573136109111327</v>
      </c>
      <c r="D21">
        <f t="shared" si="0"/>
        <v>0.28361534829374996</v>
      </c>
    </row>
    <row r="22" spans="1:6" x14ac:dyDescent="0.35">
      <c r="B22">
        <f t="shared" si="0"/>
        <v>3.8438639930776118E-3</v>
      </c>
      <c r="D22">
        <f t="shared" si="0"/>
        <v>0.25515134514816412</v>
      </c>
    </row>
    <row r="23" spans="1:6" x14ac:dyDescent="0.35">
      <c r="B23">
        <f>ABS(B6-B17)/B6</f>
        <v>0.14315490630131458</v>
      </c>
      <c r="D23">
        <f>ABS(D6-D17)/D6</f>
        <v>0.20774951038040848</v>
      </c>
    </row>
    <row r="24" spans="1:6" x14ac:dyDescent="0.35">
      <c r="B24">
        <f t="shared" si="0"/>
        <v>0.2113576136406449</v>
      </c>
      <c r="D24">
        <f t="shared" si="0"/>
        <v>0.20263143853461293</v>
      </c>
    </row>
    <row r="26" spans="1:6" x14ac:dyDescent="0.35">
      <c r="B26">
        <f>SUM(B20:B24)/5</f>
        <v>0.1467373614391668</v>
      </c>
      <c r="D26">
        <f>SUM(D20:D24)/5</f>
        <v>0.26254140562722583</v>
      </c>
    </row>
  </sheetData>
  <mergeCells count="6">
    <mergeCell ref="A1:B1"/>
    <mergeCell ref="C1:D1"/>
    <mergeCell ref="E1:F1"/>
    <mergeCell ref="A12:B12"/>
    <mergeCell ref="C12:D12"/>
    <mergeCell ref="E12:F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80" zoomScaleNormal="80" workbookViewId="0">
      <selection activeCell="Q27" sqref="Q27"/>
    </sheetView>
  </sheetViews>
  <sheetFormatPr defaultRowHeight="14.5" x14ac:dyDescent="0.35"/>
  <cols>
    <col min="2" max="2" width="10.453125" bestFit="1" customWidth="1"/>
    <col min="4" max="4" width="10.453125" bestFit="1" customWidth="1"/>
    <col min="6" max="6" width="10.453125" bestFit="1" customWidth="1"/>
    <col min="8" max="8" width="10.453125" bestFit="1" customWidth="1"/>
    <col min="10" max="10" width="10.453125" bestFit="1" customWidth="1"/>
    <col min="12" max="12" width="10.453125" bestFit="1" customWidth="1"/>
  </cols>
  <sheetData>
    <row r="1" spans="1:4" ht="15" thickBot="1" x14ac:dyDescent="0.4">
      <c r="A1" s="175" t="s">
        <v>151</v>
      </c>
      <c r="B1" s="176"/>
      <c r="C1" s="175" t="s">
        <v>59</v>
      </c>
      <c r="D1" s="176"/>
    </row>
    <row r="2" spans="1:4" ht="15" thickBot="1" x14ac:dyDescent="0.4">
      <c r="A2" s="145" t="s">
        <v>34</v>
      </c>
      <c r="B2" s="146" t="s">
        <v>36</v>
      </c>
      <c r="C2" s="145" t="s">
        <v>34</v>
      </c>
      <c r="D2" s="146" t="s">
        <v>36</v>
      </c>
    </row>
    <row r="3" spans="1:4" x14ac:dyDescent="0.35">
      <c r="A3" s="24">
        <v>275</v>
      </c>
      <c r="B3" s="13">
        <v>11.28</v>
      </c>
      <c r="C3" s="97">
        <v>275.39999999999998</v>
      </c>
      <c r="D3" s="53">
        <v>8.23</v>
      </c>
    </row>
    <row r="4" spans="1:4" x14ac:dyDescent="0.35">
      <c r="A4" s="29">
        <v>276.39999999999998</v>
      </c>
      <c r="B4" s="14">
        <v>13.32</v>
      </c>
      <c r="C4" s="22">
        <v>276.60000000000002</v>
      </c>
      <c r="D4" s="12">
        <v>9.42</v>
      </c>
    </row>
    <row r="5" spans="1:4" x14ac:dyDescent="0.35">
      <c r="A5" s="29">
        <v>277.5</v>
      </c>
      <c r="B5" s="14">
        <v>15.67</v>
      </c>
      <c r="C5" s="22">
        <v>277.60000000000002</v>
      </c>
      <c r="D5" s="12">
        <v>10.51</v>
      </c>
    </row>
    <row r="6" spans="1:4" x14ac:dyDescent="0.35">
      <c r="A6" s="29">
        <v>277.5</v>
      </c>
      <c r="B6" s="14">
        <v>15.59</v>
      </c>
      <c r="C6" s="22">
        <v>278.10000000000002</v>
      </c>
      <c r="D6" s="12">
        <v>11.28</v>
      </c>
    </row>
    <row r="7" spans="1:4" x14ac:dyDescent="0.35">
      <c r="A7" s="29">
        <v>278.7</v>
      </c>
      <c r="B7" s="14">
        <v>18.13</v>
      </c>
      <c r="C7" s="22">
        <v>279.5</v>
      </c>
      <c r="D7" s="12">
        <v>13.36</v>
      </c>
    </row>
    <row r="8" spans="1:4" x14ac:dyDescent="0.35">
      <c r="A8" s="29">
        <v>279</v>
      </c>
      <c r="B8" s="14">
        <v>19.04</v>
      </c>
      <c r="C8" s="22">
        <v>279.5</v>
      </c>
      <c r="D8" s="12">
        <v>13.44</v>
      </c>
    </row>
    <row r="9" spans="1:4" x14ac:dyDescent="0.35">
      <c r="A9" s="29">
        <v>279.7</v>
      </c>
      <c r="B9" s="14">
        <v>20.77</v>
      </c>
      <c r="C9" s="22">
        <v>280.8</v>
      </c>
      <c r="D9" s="12">
        <v>16.53</v>
      </c>
    </row>
    <row r="10" spans="1:4" x14ac:dyDescent="0.35">
      <c r="A10" s="29">
        <v>280.60000000000002</v>
      </c>
      <c r="B10" s="14">
        <v>23.36</v>
      </c>
      <c r="C10" s="22">
        <v>281.10000000000002</v>
      </c>
      <c r="D10" s="12">
        <v>16.7</v>
      </c>
    </row>
    <row r="11" spans="1:4" ht="15" thickBot="1" x14ac:dyDescent="0.4">
      <c r="A11" s="30">
        <v>280.8</v>
      </c>
      <c r="B11" s="15">
        <v>24.51</v>
      </c>
      <c r="C11" s="98"/>
      <c r="D11" s="55"/>
    </row>
    <row r="12" spans="1:4" ht="15" thickBot="1" x14ac:dyDescent="0.4"/>
    <row r="13" spans="1:4" ht="15" thickBot="1" x14ac:dyDescent="0.4">
      <c r="A13" s="175" t="s">
        <v>151</v>
      </c>
      <c r="B13" s="176"/>
      <c r="C13" s="175" t="s">
        <v>59</v>
      </c>
      <c r="D13" s="176"/>
    </row>
    <row r="14" spans="1:4" ht="15" thickBot="1" x14ac:dyDescent="0.4">
      <c r="A14" s="145" t="s">
        <v>34</v>
      </c>
      <c r="B14" s="146" t="s">
        <v>35</v>
      </c>
      <c r="C14" s="145" t="s">
        <v>34</v>
      </c>
      <c r="D14" s="146" t="s">
        <v>35</v>
      </c>
    </row>
    <row r="15" spans="1:4" x14ac:dyDescent="0.35">
      <c r="A15" s="24">
        <v>275</v>
      </c>
      <c r="B15" s="13">
        <v>12.859007175350575</v>
      </c>
      <c r="C15" s="97">
        <v>275.39999999999998</v>
      </c>
      <c r="D15" s="53">
        <v>8.1826978911084449</v>
      </c>
    </row>
    <row r="16" spans="1:4" x14ac:dyDescent="0.35">
      <c r="A16" s="29">
        <v>276.39999999999998</v>
      </c>
      <c r="B16" s="14">
        <v>15.499590669103776</v>
      </c>
      <c r="C16" s="22">
        <v>276.60000000000002</v>
      </c>
      <c r="D16" s="12">
        <v>9.445365179226858</v>
      </c>
    </row>
    <row r="17" spans="1:4" x14ac:dyDescent="0.35">
      <c r="A17" s="29">
        <v>277.5</v>
      </c>
      <c r="B17" s="14">
        <v>18.21585270195143</v>
      </c>
      <c r="C17" s="22">
        <v>277.60000000000002</v>
      </c>
      <c r="D17" s="12">
        <v>10.712465816579785</v>
      </c>
    </row>
    <row r="18" spans="1:4" x14ac:dyDescent="0.35">
      <c r="A18" s="29">
        <v>277.5</v>
      </c>
      <c r="B18" s="14">
        <v>18.215852701951313</v>
      </c>
      <c r="C18" s="22">
        <v>278.10000000000002</v>
      </c>
      <c r="D18" s="12">
        <v>11.440063345705633</v>
      </c>
    </row>
    <row r="19" spans="1:4" x14ac:dyDescent="0.35">
      <c r="A19" s="29">
        <v>278.7</v>
      </c>
      <c r="B19" s="14">
        <v>22.224075136426812</v>
      </c>
      <c r="C19" s="22">
        <v>279.5</v>
      </c>
      <c r="D19" s="12">
        <v>13.938268554534654</v>
      </c>
    </row>
    <row r="20" spans="1:4" x14ac:dyDescent="0.35">
      <c r="A20" s="29">
        <v>279</v>
      </c>
      <c r="B20" s="14">
        <v>23.479053521182287</v>
      </c>
      <c r="C20" s="22">
        <v>279.5</v>
      </c>
      <c r="D20" s="12">
        <v>13.938268554570183</v>
      </c>
    </row>
    <row r="21" spans="1:4" x14ac:dyDescent="0.35">
      <c r="A21" s="29">
        <v>279.7</v>
      </c>
      <c r="B21" s="14">
        <v>26.994629304328736</v>
      </c>
      <c r="C21" s="22">
        <v>280.8</v>
      </c>
      <c r="D21" s="12">
        <v>17.204099840316047</v>
      </c>
    </row>
    <row r="22" spans="1:4" x14ac:dyDescent="0.35">
      <c r="A22" s="29">
        <v>280.60000000000002</v>
      </c>
      <c r="B22" s="14">
        <v>33.407112829018615</v>
      </c>
      <c r="C22" s="22">
        <v>281.10000000000002</v>
      </c>
      <c r="D22" s="12">
        <v>18.163635571207372</v>
      </c>
    </row>
    <row r="23" spans="1:4" ht="15" thickBot="1" x14ac:dyDescent="0.4">
      <c r="A23" s="30">
        <v>280.8</v>
      </c>
      <c r="B23" s="15">
        <v>35.293584547972301</v>
      </c>
      <c r="C23" s="98"/>
      <c r="D23" s="55"/>
    </row>
    <row r="25" spans="1:4" x14ac:dyDescent="0.35">
      <c r="B25">
        <f>ABS(B3-B15)/B3</f>
        <v>0.13998290561618579</v>
      </c>
      <c r="D25">
        <f>ABS(D3-D15)/D3</f>
        <v>5.7475223440529169E-3</v>
      </c>
    </row>
    <row r="26" spans="1:4" x14ac:dyDescent="0.35">
      <c r="B26">
        <f t="shared" ref="B26:D33" si="0">ABS(B4-B16)/B4</f>
        <v>0.1636329331158991</v>
      </c>
      <c r="D26">
        <f t="shared" si="0"/>
        <v>2.6926941854414125E-3</v>
      </c>
    </row>
    <row r="27" spans="1:4" x14ac:dyDescent="0.35">
      <c r="B27">
        <f t="shared" si="0"/>
        <v>0.16246666891840653</v>
      </c>
      <c r="D27">
        <f t="shared" si="0"/>
        <v>1.9264111948599928E-2</v>
      </c>
    </row>
    <row r="28" spans="1:4" x14ac:dyDescent="0.35">
      <c r="B28">
        <f t="shared" si="0"/>
        <v>0.16843186029193799</v>
      </c>
      <c r="D28">
        <f t="shared" si="0"/>
        <v>1.4190012917166133E-2</v>
      </c>
    </row>
    <row r="29" spans="1:4" x14ac:dyDescent="0.35">
      <c r="B29">
        <f t="shared" si="0"/>
        <v>0.22581771298548337</v>
      </c>
      <c r="D29">
        <f t="shared" si="0"/>
        <v>4.3283574441216631E-2</v>
      </c>
    </row>
    <row r="30" spans="1:4" x14ac:dyDescent="0.35">
      <c r="B30">
        <f t="shared" si="0"/>
        <v>0.23314356728898572</v>
      </c>
      <c r="D30">
        <f t="shared" si="0"/>
        <v>3.7073553167424333E-2</v>
      </c>
    </row>
    <row r="31" spans="1:4" x14ac:dyDescent="0.35">
      <c r="B31">
        <f t="shared" si="0"/>
        <v>0.29969327416122948</v>
      </c>
      <c r="D31">
        <f t="shared" si="0"/>
        <v>4.0780389613795889E-2</v>
      </c>
    </row>
    <row r="32" spans="1:4" x14ac:dyDescent="0.35">
      <c r="B32">
        <f t="shared" si="0"/>
        <v>0.43009900809155033</v>
      </c>
      <c r="D32">
        <f t="shared" si="0"/>
        <v>8.7642848575291796E-2</v>
      </c>
    </row>
    <row r="33" spans="2:10" x14ac:dyDescent="0.35">
      <c r="B33">
        <f t="shared" si="0"/>
        <v>0.43996672982343121</v>
      </c>
    </row>
    <row r="34" spans="2:10" x14ac:dyDescent="0.35">
      <c r="I34" s="153"/>
      <c r="J34" s="153"/>
    </row>
    <row r="35" spans="2:10" x14ac:dyDescent="0.35">
      <c r="B35">
        <f>SUM(B25:B33)/9</f>
        <v>0.25147051781034552</v>
      </c>
      <c r="D35">
        <f>SUM(D25:D33)/8</f>
        <v>3.1334338399123633E-2</v>
      </c>
      <c r="I35" s="153"/>
      <c r="J35" s="153"/>
    </row>
    <row r="36" spans="2:10" x14ac:dyDescent="0.35">
      <c r="I36" s="153"/>
      <c r="J36" s="153"/>
    </row>
    <row r="37" spans="2:10" x14ac:dyDescent="0.35">
      <c r="I37" s="153"/>
      <c r="J37" s="153"/>
    </row>
    <row r="38" spans="2:10" x14ac:dyDescent="0.35">
      <c r="I38" s="153"/>
      <c r="J38" s="153"/>
    </row>
    <row r="39" spans="2:10" x14ac:dyDescent="0.35">
      <c r="I39" s="153"/>
      <c r="J39" s="153"/>
    </row>
    <row r="40" spans="2:10" x14ac:dyDescent="0.35">
      <c r="I40" s="153"/>
      <c r="J40" s="153"/>
    </row>
    <row r="41" spans="2:10" x14ac:dyDescent="0.35">
      <c r="I41" s="153"/>
      <c r="J41" s="153"/>
    </row>
    <row r="42" spans="2:10" x14ac:dyDescent="0.35">
      <c r="I42" s="153"/>
      <c r="J42" s="153"/>
    </row>
    <row r="43" spans="2:10" x14ac:dyDescent="0.35">
      <c r="I43" s="153"/>
      <c r="J43" s="153"/>
    </row>
    <row r="44" spans="2:10" x14ac:dyDescent="0.35">
      <c r="I44" s="153"/>
      <c r="J44" s="153"/>
    </row>
    <row r="45" spans="2:10" x14ac:dyDescent="0.35">
      <c r="I45" s="153"/>
      <c r="J45" s="153"/>
    </row>
    <row r="46" spans="2:10" x14ac:dyDescent="0.35">
      <c r="I46" s="153"/>
      <c r="J46" s="153"/>
    </row>
    <row r="47" spans="2:10" x14ac:dyDescent="0.35">
      <c r="I47" s="153"/>
      <c r="J47" s="153"/>
    </row>
    <row r="48" spans="2:10" x14ac:dyDescent="0.35">
      <c r="I48" s="153"/>
      <c r="J48" s="153"/>
    </row>
    <row r="49" spans="9:10" x14ac:dyDescent="0.35">
      <c r="I49" s="153"/>
      <c r="J49" s="153"/>
    </row>
  </sheetData>
  <mergeCells count="4">
    <mergeCell ref="A1:B1"/>
    <mergeCell ref="C1:D1"/>
    <mergeCell ref="A13:B13"/>
    <mergeCell ref="C13:D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P9" sqref="P9"/>
    </sheetView>
  </sheetViews>
  <sheetFormatPr defaultRowHeight="14.5" x14ac:dyDescent="0.35"/>
  <cols>
    <col min="2" max="2" width="10.453125" bestFit="1" customWidth="1"/>
    <col min="3" max="4" width="10.453125" customWidth="1"/>
    <col min="5" max="5" width="11.453125" bestFit="1" customWidth="1"/>
  </cols>
  <sheetData>
    <row r="1" spans="1:5" ht="15" thickBot="1" x14ac:dyDescent="0.4">
      <c r="A1" s="95" t="s">
        <v>34</v>
      </c>
      <c r="B1" s="96" t="s">
        <v>36</v>
      </c>
      <c r="D1" s="95" t="s">
        <v>34</v>
      </c>
      <c r="E1" s="96" t="s">
        <v>35</v>
      </c>
    </row>
    <row r="2" spans="1:5" x14ac:dyDescent="0.35">
      <c r="A2" s="11">
        <v>275.02999999999997</v>
      </c>
      <c r="B2" s="12">
        <v>1.502</v>
      </c>
      <c r="D2" s="52">
        <v>275.02999999999997</v>
      </c>
      <c r="E2" s="97">
        <v>1.7448697105425699</v>
      </c>
    </row>
    <row r="3" spans="1:5" x14ac:dyDescent="0.35">
      <c r="A3" s="11">
        <v>275.14999999999998</v>
      </c>
      <c r="B3" s="12">
        <v>1.653</v>
      </c>
      <c r="D3" s="11">
        <v>275.12</v>
      </c>
      <c r="E3" s="22">
        <v>1.7588685763247565</v>
      </c>
    </row>
    <row r="4" spans="1:5" x14ac:dyDescent="0.35">
      <c r="A4" s="11">
        <v>275.27</v>
      </c>
      <c r="B4" s="12">
        <v>1.5780000000000001</v>
      </c>
      <c r="D4" s="11">
        <v>275.14999999999998</v>
      </c>
      <c r="E4" s="22">
        <v>1.763558768265419</v>
      </c>
    </row>
    <row r="5" spans="1:5" x14ac:dyDescent="0.35">
      <c r="A5" s="11">
        <v>275.72000000000003</v>
      </c>
      <c r="B5" s="12">
        <v>1.7549999999999999</v>
      </c>
      <c r="D5" s="11">
        <v>275.27</v>
      </c>
      <c r="E5" s="22">
        <v>1.782452112393436</v>
      </c>
    </row>
    <row r="6" spans="1:5" x14ac:dyDescent="0.35">
      <c r="A6" s="11">
        <v>276.39</v>
      </c>
      <c r="B6" s="12">
        <v>1.8160000000000001</v>
      </c>
      <c r="D6" s="11">
        <v>275.72000000000003</v>
      </c>
      <c r="E6" s="22">
        <v>1.8549793040702904</v>
      </c>
    </row>
    <row r="7" spans="1:5" x14ac:dyDescent="0.35">
      <c r="A7" s="11">
        <v>276.73</v>
      </c>
      <c r="B7" s="12">
        <v>1.835</v>
      </c>
      <c r="D7" s="11">
        <v>276.39</v>
      </c>
      <c r="E7" s="22">
        <v>1.9682217986106518</v>
      </c>
    </row>
    <row r="8" spans="1:5" x14ac:dyDescent="0.35">
      <c r="A8" s="11">
        <v>278.52999999999997</v>
      </c>
      <c r="B8" s="12">
        <v>2.262</v>
      </c>
      <c r="D8" s="11">
        <v>276.73</v>
      </c>
      <c r="E8" s="22">
        <v>2.0281387812913154</v>
      </c>
    </row>
    <row r="9" spans="1:5" x14ac:dyDescent="0.35">
      <c r="A9" s="11">
        <v>279.75</v>
      </c>
      <c r="B9" s="12">
        <v>2.5990000000000002</v>
      </c>
      <c r="D9" s="11">
        <v>276.88</v>
      </c>
      <c r="E9" s="22">
        <v>2.0551198463220088</v>
      </c>
    </row>
    <row r="10" spans="1:5" x14ac:dyDescent="0.35">
      <c r="A10" s="11">
        <v>281.36</v>
      </c>
      <c r="B10" s="12">
        <v>3.3029999999999999</v>
      </c>
      <c r="D10" s="11">
        <v>277.83</v>
      </c>
      <c r="E10" s="22">
        <v>2.2339218665304226</v>
      </c>
    </row>
    <row r="11" spans="1:5" ht="15" thickBot="1" x14ac:dyDescent="0.4">
      <c r="A11" s="54">
        <v>282.76</v>
      </c>
      <c r="B11" s="55">
        <v>4.0789999999999997</v>
      </c>
      <c r="D11" s="54">
        <v>278.52999999999997</v>
      </c>
      <c r="E11" s="98">
        <v>2.3747322129985671</v>
      </c>
    </row>
    <row r="12" spans="1:5" x14ac:dyDescent="0.35">
      <c r="A12" s="52">
        <v>275.12</v>
      </c>
      <c r="B12" s="53">
        <v>1.51</v>
      </c>
      <c r="D12" s="52">
        <v>278.99</v>
      </c>
      <c r="E12" s="97">
        <v>2.4715736240469441</v>
      </c>
    </row>
    <row r="13" spans="1:5" x14ac:dyDescent="0.35">
      <c r="A13" s="11">
        <v>276.88</v>
      </c>
      <c r="B13" s="12">
        <v>1.81</v>
      </c>
      <c r="D13" s="11">
        <v>279.75</v>
      </c>
      <c r="E13" s="22">
        <v>2.639307144488932</v>
      </c>
    </row>
    <row r="14" spans="1:5" x14ac:dyDescent="0.35">
      <c r="A14" s="11">
        <v>277.83</v>
      </c>
      <c r="B14" s="12">
        <v>2.11</v>
      </c>
      <c r="D14" s="11">
        <v>279.94</v>
      </c>
      <c r="E14" s="22">
        <v>2.6827659039460148</v>
      </c>
    </row>
    <row r="15" spans="1:5" x14ac:dyDescent="0.35">
      <c r="A15" s="11">
        <v>278.99</v>
      </c>
      <c r="B15" s="12">
        <v>2.4</v>
      </c>
      <c r="D15" s="11">
        <v>280.70999999999998</v>
      </c>
      <c r="E15" s="22">
        <v>2.8652145287090898</v>
      </c>
    </row>
    <row r="16" spans="1:5" x14ac:dyDescent="0.35">
      <c r="A16" s="11">
        <v>279.94</v>
      </c>
      <c r="B16" s="12">
        <v>2.7</v>
      </c>
      <c r="D16" s="11">
        <v>281.36</v>
      </c>
      <c r="E16" s="22">
        <v>3.0271813081758632</v>
      </c>
    </row>
    <row r="17" spans="1:5" x14ac:dyDescent="0.35">
      <c r="A17" s="11">
        <v>280.70999999999998</v>
      </c>
      <c r="B17" s="12">
        <v>3</v>
      </c>
      <c r="D17" s="11">
        <v>281.42</v>
      </c>
      <c r="E17" s="22">
        <v>3.0424970067012693</v>
      </c>
    </row>
    <row r="18" spans="1:5" x14ac:dyDescent="0.35">
      <c r="A18" s="11">
        <v>281.42</v>
      </c>
      <c r="B18" s="12">
        <v>3.3</v>
      </c>
      <c r="D18" s="11">
        <v>282.06</v>
      </c>
      <c r="E18" s="22">
        <v>3.2096719165997301</v>
      </c>
    </row>
    <row r="19" spans="1:5" x14ac:dyDescent="0.35">
      <c r="A19" s="11">
        <v>282.06</v>
      </c>
      <c r="B19" s="12">
        <v>3.6</v>
      </c>
      <c r="D19" s="11">
        <v>282.41000000000003</v>
      </c>
      <c r="E19" s="22">
        <v>3.3040256543427495</v>
      </c>
    </row>
    <row r="20" spans="1:5" x14ac:dyDescent="0.35">
      <c r="A20" s="11">
        <v>282.41000000000003</v>
      </c>
      <c r="B20" s="12">
        <v>3.9</v>
      </c>
      <c r="D20" s="11">
        <v>282.76</v>
      </c>
      <c r="E20" s="22">
        <v>3.4003825886912851</v>
      </c>
    </row>
    <row r="21" spans="1:5" ht="15" thickBot="1" x14ac:dyDescent="0.4">
      <c r="A21" s="54">
        <v>282.89999999999998</v>
      </c>
      <c r="B21" s="55">
        <v>4.3</v>
      </c>
      <c r="D21" s="54">
        <v>282.89999999999998</v>
      </c>
      <c r="E21" s="98">
        <v>3.439468669867503</v>
      </c>
    </row>
    <row r="22" spans="1:5" x14ac:dyDescent="0.35">
      <c r="A22" s="75"/>
      <c r="B22" s="75"/>
      <c r="C22" s="75"/>
      <c r="D22" s="75"/>
      <c r="E22" s="75"/>
    </row>
  </sheetData>
  <sortState ref="D2:E22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R14" sqref="R14"/>
    </sheetView>
  </sheetViews>
  <sheetFormatPr defaultRowHeight="14.5" x14ac:dyDescent="0.35"/>
  <cols>
    <col min="1" max="1" width="8.7265625" style="2"/>
    <col min="2" max="2" width="10.453125" style="2" bestFit="1" customWidth="1"/>
    <col min="3" max="4" width="10.453125" customWidth="1"/>
    <col min="5" max="5" width="10.1796875" bestFit="1" customWidth="1"/>
    <col min="8" max="8" width="11.81640625" bestFit="1" customWidth="1"/>
  </cols>
  <sheetData>
    <row r="1" spans="1:8" ht="15" thickBot="1" x14ac:dyDescent="0.4">
      <c r="A1" s="95" t="s">
        <v>34</v>
      </c>
      <c r="B1" s="96" t="s">
        <v>36</v>
      </c>
      <c r="D1" s="95" t="s">
        <v>34</v>
      </c>
      <c r="E1" s="96" t="s">
        <v>35</v>
      </c>
      <c r="G1" s="155" t="s">
        <v>34</v>
      </c>
      <c r="H1" s="156" t="s">
        <v>35</v>
      </c>
    </row>
    <row r="2" spans="1:8" x14ac:dyDescent="0.35">
      <c r="A2" s="5">
        <v>272.84999999999997</v>
      </c>
      <c r="B2" s="63">
        <v>18.947775</v>
      </c>
      <c r="D2" s="5">
        <v>272.84999999999997</v>
      </c>
      <c r="E2" s="97">
        <v>15.714293943582195</v>
      </c>
      <c r="G2" s="5">
        <v>272.84999999999997</v>
      </c>
      <c r="H2" s="63">
        <v>14.696936418358453</v>
      </c>
    </row>
    <row r="3" spans="1:8" x14ac:dyDescent="0.35">
      <c r="A3" s="6">
        <v>272.95</v>
      </c>
      <c r="B3" s="64">
        <v>15.300075</v>
      </c>
      <c r="D3" s="6">
        <v>272.95</v>
      </c>
      <c r="E3" s="22">
        <v>15.901628184156298</v>
      </c>
      <c r="G3" s="6">
        <v>272.95</v>
      </c>
      <c r="H3" s="64">
        <v>14.860588630684195</v>
      </c>
    </row>
    <row r="4" spans="1:8" x14ac:dyDescent="0.35">
      <c r="A4" s="6">
        <v>273.14999999999998</v>
      </c>
      <c r="B4" s="64">
        <v>16.009349999999998</v>
      </c>
      <c r="D4" s="6">
        <v>273</v>
      </c>
      <c r="E4" s="29">
        <v>15.9964836629016</v>
      </c>
      <c r="G4" s="6">
        <v>273</v>
      </c>
      <c r="H4" s="14">
        <v>14.943353285117254</v>
      </c>
    </row>
    <row r="5" spans="1:8" x14ac:dyDescent="0.35">
      <c r="A5" s="6">
        <v>273.14999999999998</v>
      </c>
      <c r="B5" s="64">
        <v>16.313324999999999</v>
      </c>
      <c r="D5" s="6">
        <v>273.14999999999998</v>
      </c>
      <c r="E5" s="22">
        <v>16.285933208078671</v>
      </c>
      <c r="G5" s="6">
        <v>273.14999999999998</v>
      </c>
      <c r="H5" s="64">
        <v>15.195493820194121</v>
      </c>
    </row>
    <row r="6" spans="1:8" x14ac:dyDescent="0.35">
      <c r="A6" s="6">
        <v>273.34999999999997</v>
      </c>
      <c r="B6" s="64">
        <v>16.6173</v>
      </c>
      <c r="D6" s="6">
        <v>273.14999999999998</v>
      </c>
      <c r="E6" s="22">
        <v>16.285933208225078</v>
      </c>
      <c r="G6" s="6">
        <v>273.14999999999998</v>
      </c>
      <c r="H6" s="64">
        <v>15.195493820194333</v>
      </c>
    </row>
    <row r="7" spans="1:8" x14ac:dyDescent="0.35">
      <c r="A7" s="6">
        <v>273.95</v>
      </c>
      <c r="B7" s="64">
        <v>17.529225</v>
      </c>
      <c r="D7" s="6">
        <v>273.178</v>
      </c>
      <c r="E7" s="29">
        <v>16.34079194178198</v>
      </c>
      <c r="G7" s="6">
        <v>273.178</v>
      </c>
      <c r="H7" s="14">
        <v>15.243210804027026</v>
      </c>
    </row>
    <row r="8" spans="1:8" x14ac:dyDescent="0.35">
      <c r="A8" s="6">
        <v>274.14999999999998</v>
      </c>
      <c r="B8" s="64">
        <v>17.731874999999999</v>
      </c>
      <c r="D8" s="6">
        <v>273.34999999999997</v>
      </c>
      <c r="E8" s="22">
        <v>16.683684182746454</v>
      </c>
      <c r="G8" s="6">
        <v>273.34999999999997</v>
      </c>
      <c r="H8" s="64">
        <v>15.540939786079544</v>
      </c>
    </row>
    <row r="9" spans="1:8" x14ac:dyDescent="0.35">
      <c r="A9" s="6">
        <v>274.84999999999997</v>
      </c>
      <c r="B9" s="64">
        <v>19.150424999999998</v>
      </c>
      <c r="D9" s="6">
        <v>273.70299999999997</v>
      </c>
      <c r="E9" s="29">
        <v>17.420909975787001</v>
      </c>
      <c r="G9" s="6">
        <v>273.70299999999997</v>
      </c>
      <c r="H9" s="14">
        <v>16.178073566396328</v>
      </c>
    </row>
    <row r="10" spans="1:8" x14ac:dyDescent="0.35">
      <c r="A10" s="6">
        <v>274.84999999999997</v>
      </c>
      <c r="B10" s="64">
        <v>19.251749999999998</v>
      </c>
      <c r="D10" s="6">
        <v>273.89999999999998</v>
      </c>
      <c r="E10" s="29">
        <v>17.853327862393762</v>
      </c>
      <c r="G10" s="6">
        <v>273.89999999999998</v>
      </c>
      <c r="H10" s="14">
        <v>16.549842115164207</v>
      </c>
    </row>
    <row r="11" spans="1:8" x14ac:dyDescent="0.35">
      <c r="A11" s="6">
        <v>275.25</v>
      </c>
      <c r="B11" s="64">
        <v>19.657049999999998</v>
      </c>
      <c r="D11" s="6">
        <v>273.95</v>
      </c>
      <c r="E11" s="22">
        <v>17.965615453320094</v>
      </c>
      <c r="G11" s="6">
        <v>273.95</v>
      </c>
      <c r="H11" s="64">
        <v>16.646144053120445</v>
      </c>
    </row>
    <row r="12" spans="1:8" x14ac:dyDescent="0.35">
      <c r="A12" s="6">
        <v>275.54999999999995</v>
      </c>
      <c r="B12" s="64">
        <v>20.670299999999997</v>
      </c>
      <c r="D12" s="6">
        <v>274.14999999999998</v>
      </c>
      <c r="E12" s="22">
        <v>18.425511032344957</v>
      </c>
      <c r="G12" s="6">
        <v>274.14999999999998</v>
      </c>
      <c r="H12" s="64">
        <v>17.039540922980983</v>
      </c>
    </row>
    <row r="13" spans="1:8" x14ac:dyDescent="0.35">
      <c r="A13" s="6">
        <v>275.84999999999997</v>
      </c>
      <c r="B13" s="64">
        <v>21.582224999999998</v>
      </c>
      <c r="D13" s="6">
        <v>274.3</v>
      </c>
      <c r="E13" s="29">
        <v>18.782189129600734</v>
      </c>
      <c r="G13" s="6">
        <v>274.3</v>
      </c>
      <c r="H13" s="14">
        <v>17.343503629846925</v>
      </c>
    </row>
    <row r="14" spans="1:8" x14ac:dyDescent="0.35">
      <c r="A14" s="6">
        <v>276.25</v>
      </c>
      <c r="B14" s="64">
        <v>22.392824999999998</v>
      </c>
      <c r="D14" s="6">
        <v>274.60000000000002</v>
      </c>
      <c r="E14" s="29">
        <v>19.527926849996867</v>
      </c>
      <c r="G14" s="6">
        <v>274.60000000000002</v>
      </c>
      <c r="H14" s="14">
        <v>17.975764117063473</v>
      </c>
    </row>
    <row r="15" spans="1:8" x14ac:dyDescent="0.35">
      <c r="A15" s="6">
        <v>276.54999999999995</v>
      </c>
      <c r="B15" s="64">
        <v>23.1021</v>
      </c>
      <c r="D15" s="6">
        <v>274.84999999999997</v>
      </c>
      <c r="E15" s="22">
        <v>20.184977242511554</v>
      </c>
      <c r="G15" s="6">
        <v>274.84999999999997</v>
      </c>
      <c r="H15" s="64">
        <v>18.52913506076462</v>
      </c>
    </row>
    <row r="16" spans="1:8" x14ac:dyDescent="0.35">
      <c r="A16" s="6">
        <v>277.25</v>
      </c>
      <c r="B16" s="64">
        <v>24.824624999999997</v>
      </c>
      <c r="D16" s="6">
        <v>274.84999999999997</v>
      </c>
      <c r="E16" s="22">
        <v>20.184977242511817</v>
      </c>
      <c r="G16" s="6">
        <v>274.84999999999997</v>
      </c>
      <c r="H16" s="64">
        <v>18.52913506078584</v>
      </c>
    </row>
    <row r="17" spans="1:10" x14ac:dyDescent="0.35">
      <c r="A17" s="6">
        <v>278.25</v>
      </c>
      <c r="B17" s="64">
        <v>27.357749999999999</v>
      </c>
      <c r="D17" s="6">
        <v>274.89699999999999</v>
      </c>
      <c r="E17" s="29">
        <v>20.31236420435792</v>
      </c>
      <c r="G17" s="6">
        <v>274.89699999999999</v>
      </c>
      <c r="H17" s="14">
        <v>18.636016485998852</v>
      </c>
    </row>
    <row r="18" spans="1:10" x14ac:dyDescent="0.35">
      <c r="A18" s="6">
        <v>278.25</v>
      </c>
      <c r="B18" s="64">
        <v>27.965699999999998</v>
      </c>
      <c r="D18" s="6">
        <v>275.25</v>
      </c>
      <c r="E18" s="22">
        <v>21.311244557536384</v>
      </c>
      <c r="G18" s="6">
        <v>275.25</v>
      </c>
      <c r="H18" s="64">
        <v>19.46950356855525</v>
      </c>
    </row>
    <row r="19" spans="1:10" x14ac:dyDescent="0.35">
      <c r="A19" s="6">
        <v>278.64999999999998</v>
      </c>
      <c r="B19" s="64">
        <v>28.269674999999999</v>
      </c>
      <c r="D19" s="6">
        <v>275.54999999999995</v>
      </c>
      <c r="E19" s="22">
        <v>22.223760334078392</v>
      </c>
      <c r="G19" s="6">
        <v>275.54999999999995</v>
      </c>
      <c r="H19" s="64">
        <v>20.223698567454441</v>
      </c>
    </row>
    <row r="20" spans="1:10" x14ac:dyDescent="0.35">
      <c r="A20" s="6">
        <v>279.14999999999998</v>
      </c>
      <c r="B20" s="64">
        <v>29.890874999999998</v>
      </c>
      <c r="D20" s="6">
        <v>275.84999999999997</v>
      </c>
      <c r="E20" s="22">
        <v>23.202123821304291</v>
      </c>
      <c r="G20" s="6">
        <v>275.84999999999997</v>
      </c>
      <c r="H20" s="64">
        <v>21.024515719978019</v>
      </c>
    </row>
    <row r="21" spans="1:10" x14ac:dyDescent="0.35">
      <c r="A21" s="6">
        <v>279.25</v>
      </c>
      <c r="B21" s="64">
        <v>30.296174999999998</v>
      </c>
      <c r="D21" s="6">
        <v>276.10000000000002</v>
      </c>
      <c r="E21" s="29">
        <v>24.073652198997774</v>
      </c>
      <c r="G21" s="6">
        <v>276.10000000000002</v>
      </c>
      <c r="H21" s="14">
        <v>21.730990031987567</v>
      </c>
    </row>
    <row r="22" spans="1:10" ht="15" thickBot="1" x14ac:dyDescent="0.4">
      <c r="A22" s="6">
        <v>280.25</v>
      </c>
      <c r="B22" s="64">
        <v>33.943874999999998</v>
      </c>
      <c r="C22" s="75"/>
      <c r="D22" s="9">
        <v>276.25</v>
      </c>
      <c r="E22" s="98">
        <v>24.623571122253161</v>
      </c>
      <c r="G22" s="6">
        <v>276.25</v>
      </c>
      <c r="H22" s="64">
        <v>22.173374517004088</v>
      </c>
    </row>
    <row r="23" spans="1:10" x14ac:dyDescent="0.35">
      <c r="A23" s="5">
        <v>273.178</v>
      </c>
      <c r="B23" s="13">
        <v>16.306100000000001</v>
      </c>
      <c r="D23" s="24">
        <v>276.51900000000001</v>
      </c>
      <c r="E23" s="24">
        <v>25.665593271550563</v>
      </c>
      <c r="G23" s="5">
        <v>276.51900000000001</v>
      </c>
      <c r="H23" s="13">
        <v>23.004381720167419</v>
      </c>
    </row>
    <row r="24" spans="1:10" x14ac:dyDescent="0.35">
      <c r="A24" s="6">
        <v>273.70299999999997</v>
      </c>
      <c r="B24" s="14">
        <v>17.150400000000001</v>
      </c>
      <c r="D24" s="29">
        <v>276.54999999999995</v>
      </c>
      <c r="E24" s="22">
        <v>25.790599471327766</v>
      </c>
      <c r="G24" s="6">
        <v>276.54999999999995</v>
      </c>
      <c r="H24" s="64">
        <v>23.10342925652251</v>
      </c>
    </row>
    <row r="25" spans="1:10" x14ac:dyDescent="0.35">
      <c r="A25" s="6">
        <v>274.89699999999999</v>
      </c>
      <c r="B25" s="14">
        <v>19.208400000000001</v>
      </c>
      <c r="D25" s="29">
        <v>276.60000000000002</v>
      </c>
      <c r="E25" s="29">
        <v>25.994486403623984</v>
      </c>
      <c r="G25" s="6">
        <v>276.60000000000002</v>
      </c>
      <c r="H25" s="14">
        <v>23.26467611886271</v>
      </c>
    </row>
    <row r="26" spans="1:10" x14ac:dyDescent="0.35">
      <c r="A26" s="6">
        <v>276.51900000000001</v>
      </c>
      <c r="B26" s="14">
        <v>23.641200000000001</v>
      </c>
      <c r="D26" s="29">
        <v>277.25</v>
      </c>
      <c r="E26" s="22">
        <v>28.931414388734311</v>
      </c>
      <c r="G26" s="6">
        <v>277.25</v>
      </c>
      <c r="H26" s="64">
        <v>25.545742009668647</v>
      </c>
    </row>
    <row r="27" spans="1:10" x14ac:dyDescent="0.35">
      <c r="A27" s="6">
        <v>277.41399999999999</v>
      </c>
      <c r="B27" s="14">
        <v>25.224299999999999</v>
      </c>
      <c r="D27" s="29">
        <v>277.41399999999999</v>
      </c>
      <c r="E27" s="29">
        <v>29.769689868727585</v>
      </c>
      <c r="G27" s="6">
        <v>277.41399999999999</v>
      </c>
      <c r="H27" s="14">
        <v>26.18228443334575</v>
      </c>
    </row>
    <row r="28" spans="1:10" x14ac:dyDescent="0.35">
      <c r="A28" s="6">
        <v>278.601</v>
      </c>
      <c r="B28" s="14">
        <v>28.654399999999999</v>
      </c>
      <c r="D28" s="29">
        <v>277.5</v>
      </c>
      <c r="E28" s="29">
        <v>30.227588000717304</v>
      </c>
      <c r="G28" s="6">
        <v>277.5</v>
      </c>
      <c r="H28" s="14">
        <v>26.527215466253125</v>
      </c>
    </row>
    <row r="29" spans="1:10" ht="15" thickBot="1" x14ac:dyDescent="0.4">
      <c r="A29" s="9">
        <v>279.303</v>
      </c>
      <c r="B29" s="15">
        <v>30.290199999999999</v>
      </c>
      <c r="D29" s="30">
        <v>278.25</v>
      </c>
      <c r="E29" s="98">
        <v>34.875718281910885</v>
      </c>
      <c r="G29" s="9">
        <v>278.25</v>
      </c>
      <c r="H29" s="65">
        <v>29.915242319979274</v>
      </c>
    </row>
    <row r="30" spans="1:10" x14ac:dyDescent="0.35">
      <c r="A30" s="2">
        <v>273</v>
      </c>
      <c r="B30" s="2">
        <v>16.13</v>
      </c>
      <c r="D30" s="7">
        <v>278.25</v>
      </c>
      <c r="E30" s="25">
        <v>34.875718281910757</v>
      </c>
      <c r="G30" s="7">
        <v>278.25</v>
      </c>
      <c r="H30" s="157">
        <v>29.915242319981878</v>
      </c>
    </row>
    <row r="31" spans="1:10" x14ac:dyDescent="0.35">
      <c r="A31" s="2">
        <v>273.89999999999998</v>
      </c>
      <c r="B31" s="2">
        <v>17.489999999999998</v>
      </c>
      <c r="D31" s="7">
        <v>278.601</v>
      </c>
      <c r="E31" s="7">
        <v>37.576184100701383</v>
      </c>
      <c r="G31" s="7">
        <v>278.601</v>
      </c>
      <c r="H31" s="7">
        <v>31.78628040344957</v>
      </c>
      <c r="J31" s="2"/>
    </row>
    <row r="32" spans="1:10" x14ac:dyDescent="0.35">
      <c r="A32" s="2">
        <v>274.3</v>
      </c>
      <c r="B32" s="2">
        <v>18.55</v>
      </c>
      <c r="D32" s="7">
        <v>278.64999999999998</v>
      </c>
      <c r="E32" s="25">
        <v>37.987918036281464</v>
      </c>
      <c r="G32" s="7">
        <v>278.64999999999998</v>
      </c>
      <c r="H32" s="157">
        <v>32.065113202696253</v>
      </c>
      <c r="J32" s="2"/>
    </row>
    <row r="33" spans="1:10" x14ac:dyDescent="0.35">
      <c r="A33" s="2">
        <v>274.60000000000002</v>
      </c>
      <c r="B33" s="2">
        <v>19.23</v>
      </c>
      <c r="D33" s="7">
        <v>279.14999999999998</v>
      </c>
      <c r="E33" s="25">
        <v>42.816637938155807</v>
      </c>
      <c r="G33" s="7">
        <v>279.14999999999998</v>
      </c>
      <c r="H33" s="157">
        <v>35.205286658056096</v>
      </c>
      <c r="J33" s="2"/>
    </row>
    <row r="34" spans="1:10" x14ac:dyDescent="0.35">
      <c r="A34" s="2">
        <v>276.10000000000002</v>
      </c>
      <c r="B34" s="2">
        <v>20.74</v>
      </c>
      <c r="D34" s="7">
        <v>279.25</v>
      </c>
      <c r="E34" s="25">
        <v>43.950172713483255</v>
      </c>
      <c r="G34" s="7">
        <v>279.25</v>
      </c>
      <c r="H34" s="157">
        <v>35.907191124142344</v>
      </c>
      <c r="J34" s="2"/>
    </row>
    <row r="35" spans="1:10" x14ac:dyDescent="0.35">
      <c r="A35" s="2">
        <v>276.60000000000002</v>
      </c>
      <c r="B35" s="2">
        <v>21.87</v>
      </c>
      <c r="D35" s="7">
        <v>279.303</v>
      </c>
      <c r="E35" s="7">
        <v>44.578970370433851</v>
      </c>
      <c r="G35" s="7">
        <v>279.303</v>
      </c>
      <c r="H35" s="7">
        <v>36.290689520218628</v>
      </c>
      <c r="J35" s="2"/>
    </row>
    <row r="36" spans="1:10" x14ac:dyDescent="0.35">
      <c r="A36" s="2">
        <v>277.5</v>
      </c>
      <c r="B36" s="2">
        <v>23.9</v>
      </c>
      <c r="D36" s="7">
        <v>280.25</v>
      </c>
      <c r="E36" s="7">
        <v>61.377453762454856</v>
      </c>
      <c r="G36" s="7">
        <v>280.25</v>
      </c>
      <c r="H36" s="157">
        <v>44.944531433209121</v>
      </c>
      <c r="J36" s="2"/>
    </row>
  </sheetData>
  <sortState ref="G2:H36">
    <sortCondition ref="H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workbookViewId="0">
      <selection activeCell="I28" sqref="I28"/>
    </sheetView>
  </sheetViews>
  <sheetFormatPr defaultRowHeight="14.5" x14ac:dyDescent="0.35"/>
  <cols>
    <col min="2" max="2" width="10.453125" bestFit="1" customWidth="1"/>
    <col min="4" max="4" width="10.453125" bestFit="1" customWidth="1"/>
    <col min="6" max="6" width="10.453125" bestFit="1" customWidth="1"/>
    <col min="8" max="8" width="10.453125" bestFit="1" customWidth="1"/>
    <col min="10" max="10" width="10.453125" bestFit="1" customWidth="1"/>
    <col min="12" max="12" width="10.453125" bestFit="1" customWidth="1"/>
  </cols>
  <sheetData>
    <row r="1" spans="1:12" ht="15" thickBot="1" x14ac:dyDescent="0.4">
      <c r="A1" s="175" t="s">
        <v>37</v>
      </c>
      <c r="B1" s="176"/>
      <c r="C1" s="177" t="s">
        <v>38</v>
      </c>
      <c r="D1" s="178"/>
      <c r="E1" s="175" t="s">
        <v>39</v>
      </c>
      <c r="F1" s="176"/>
      <c r="G1" s="175" t="s">
        <v>40</v>
      </c>
      <c r="H1" s="176"/>
      <c r="I1" s="175" t="s">
        <v>41</v>
      </c>
      <c r="J1" s="176"/>
      <c r="K1" s="175" t="s">
        <v>42</v>
      </c>
      <c r="L1" s="176"/>
    </row>
    <row r="2" spans="1:12" ht="15" thickBot="1" x14ac:dyDescent="0.4">
      <c r="A2" s="95" t="s">
        <v>34</v>
      </c>
      <c r="B2" s="96" t="s">
        <v>36</v>
      </c>
      <c r="C2" s="99" t="s">
        <v>34</v>
      </c>
      <c r="D2" s="96" t="s">
        <v>36</v>
      </c>
      <c r="E2" s="95" t="s">
        <v>34</v>
      </c>
      <c r="F2" s="96" t="s">
        <v>36</v>
      </c>
      <c r="G2" s="95" t="s">
        <v>34</v>
      </c>
      <c r="H2" s="96" t="s">
        <v>36</v>
      </c>
      <c r="I2" s="95" t="s">
        <v>34</v>
      </c>
      <c r="J2" s="96" t="s">
        <v>36</v>
      </c>
      <c r="K2" s="95" t="s">
        <v>34</v>
      </c>
      <c r="L2" s="96" t="s">
        <v>36</v>
      </c>
    </row>
    <row r="3" spans="1:12" x14ac:dyDescent="0.35">
      <c r="A3" s="24">
        <v>274.95</v>
      </c>
      <c r="B3" s="13">
        <v>1.5649999999999999</v>
      </c>
      <c r="C3" s="97">
        <v>274</v>
      </c>
      <c r="D3" s="12">
        <v>2</v>
      </c>
      <c r="E3" s="97">
        <v>273.75</v>
      </c>
      <c r="F3" s="97">
        <v>3.1949999999999998</v>
      </c>
      <c r="G3" s="97">
        <v>272.85000000000002</v>
      </c>
      <c r="H3" s="12">
        <v>7.24</v>
      </c>
      <c r="I3" s="11">
        <v>274.25</v>
      </c>
      <c r="J3" s="97">
        <v>11.02</v>
      </c>
      <c r="K3" s="11">
        <v>273.95</v>
      </c>
      <c r="L3" s="97">
        <v>14.084999999999999</v>
      </c>
    </row>
    <row r="4" spans="1:12" x14ac:dyDescent="0.35">
      <c r="A4" s="29">
        <v>277.45</v>
      </c>
      <c r="B4" s="14">
        <v>2.06</v>
      </c>
      <c r="C4" s="22">
        <v>276.14999999999998</v>
      </c>
      <c r="D4" s="12">
        <v>2.6</v>
      </c>
      <c r="E4" s="22">
        <v>276</v>
      </c>
      <c r="F4" s="22">
        <v>4.2569999999999997</v>
      </c>
      <c r="G4" s="22">
        <v>274.05</v>
      </c>
      <c r="H4" s="12">
        <v>8.120000000000001</v>
      </c>
      <c r="I4" s="11">
        <v>275.64999999999998</v>
      </c>
      <c r="J4" s="22">
        <v>13.87</v>
      </c>
      <c r="K4" s="11">
        <v>274.55</v>
      </c>
      <c r="L4" s="22">
        <v>15.4</v>
      </c>
    </row>
    <row r="5" spans="1:12" x14ac:dyDescent="0.35">
      <c r="A5" s="29">
        <v>280.25</v>
      </c>
      <c r="B5" s="14">
        <v>2.9</v>
      </c>
      <c r="C5" s="22">
        <v>280.64999999999998</v>
      </c>
      <c r="D5" s="12">
        <v>4.2249999999999996</v>
      </c>
      <c r="E5" s="22">
        <v>279</v>
      </c>
      <c r="F5" s="22">
        <v>5.867</v>
      </c>
      <c r="G5" s="22">
        <v>277.45</v>
      </c>
      <c r="H5" s="12">
        <v>10.65</v>
      </c>
      <c r="I5" s="11">
        <v>277.60000000000002</v>
      </c>
      <c r="J5" s="22">
        <v>18.100000000000001</v>
      </c>
      <c r="K5" s="11">
        <v>277</v>
      </c>
      <c r="L5" s="22">
        <v>20.68</v>
      </c>
    </row>
    <row r="6" spans="1:12" x14ac:dyDescent="0.35">
      <c r="A6" s="29">
        <v>282.55</v>
      </c>
      <c r="B6" s="14">
        <v>4</v>
      </c>
      <c r="C6" s="22">
        <v>283.45</v>
      </c>
      <c r="D6" s="12">
        <v>6.45</v>
      </c>
      <c r="E6" s="22">
        <v>281</v>
      </c>
      <c r="F6" s="22">
        <v>7.4489999999999998</v>
      </c>
      <c r="G6" s="22">
        <v>278.64999999999998</v>
      </c>
      <c r="H6" s="12">
        <v>11.748000000000001</v>
      </c>
      <c r="I6" s="11">
        <v>278.95</v>
      </c>
      <c r="J6" s="22">
        <v>22.23</v>
      </c>
      <c r="K6" s="11">
        <v>278.25</v>
      </c>
      <c r="L6" s="22">
        <v>24.119999999999997</v>
      </c>
    </row>
    <row r="7" spans="1:12" ht="15" thickBot="1" x14ac:dyDescent="0.4">
      <c r="A7" s="30">
        <v>283.55</v>
      </c>
      <c r="B7" s="15">
        <v>5.1150000000000002</v>
      </c>
      <c r="C7" s="98">
        <v>284.25</v>
      </c>
      <c r="D7" s="55">
        <v>7.4450000000000003</v>
      </c>
      <c r="E7" s="98">
        <v>282</v>
      </c>
      <c r="F7" s="98">
        <v>8.9749999999999996</v>
      </c>
      <c r="G7" s="98">
        <v>280.55</v>
      </c>
      <c r="H7" s="55">
        <v>14.219999999999999</v>
      </c>
      <c r="I7" s="54"/>
      <c r="J7" s="98"/>
      <c r="K7" s="54"/>
      <c r="L7" s="98"/>
    </row>
    <row r="8" spans="1:12" ht="15" thickBot="1" x14ac:dyDescent="0.4"/>
    <row r="9" spans="1:12" ht="15" thickBot="1" x14ac:dyDescent="0.4">
      <c r="A9" s="175" t="s">
        <v>37</v>
      </c>
      <c r="B9" s="176"/>
      <c r="C9" s="177" t="s">
        <v>38</v>
      </c>
      <c r="D9" s="178"/>
      <c r="E9" s="175" t="s">
        <v>39</v>
      </c>
      <c r="F9" s="176"/>
      <c r="G9" s="175" t="s">
        <v>40</v>
      </c>
      <c r="H9" s="176"/>
      <c r="I9" s="175" t="s">
        <v>41</v>
      </c>
      <c r="J9" s="176"/>
      <c r="K9" s="175" t="s">
        <v>42</v>
      </c>
      <c r="L9" s="176"/>
    </row>
    <row r="10" spans="1:12" ht="15" thickBot="1" x14ac:dyDescent="0.4">
      <c r="A10" s="95" t="s">
        <v>34</v>
      </c>
      <c r="B10" s="96" t="s">
        <v>35</v>
      </c>
      <c r="C10" s="99" t="s">
        <v>34</v>
      </c>
      <c r="D10" s="96" t="s">
        <v>35</v>
      </c>
      <c r="E10" s="95" t="s">
        <v>34</v>
      </c>
      <c r="F10" s="96" t="s">
        <v>35</v>
      </c>
      <c r="G10" s="95" t="s">
        <v>34</v>
      </c>
      <c r="H10" s="96" t="s">
        <v>35</v>
      </c>
      <c r="I10" s="95" t="s">
        <v>34</v>
      </c>
      <c r="J10" s="96" t="s">
        <v>35</v>
      </c>
      <c r="K10" s="95" t="s">
        <v>34</v>
      </c>
      <c r="L10" s="96" t="s">
        <v>35</v>
      </c>
    </row>
    <row r="11" spans="1:12" x14ac:dyDescent="0.35">
      <c r="A11" s="24">
        <v>274.95</v>
      </c>
      <c r="B11" s="13">
        <v>1.7942532067305539</v>
      </c>
      <c r="C11" s="97">
        <v>274</v>
      </c>
      <c r="D11" s="12">
        <v>2.0401960361902587</v>
      </c>
      <c r="E11" s="97">
        <v>273.75</v>
      </c>
      <c r="F11" s="97">
        <v>3.1559694084233572</v>
      </c>
      <c r="G11" s="97">
        <v>272.85000000000002</v>
      </c>
      <c r="H11" s="12">
        <v>6.7718334816676249</v>
      </c>
      <c r="I11" s="11">
        <v>274.25</v>
      </c>
      <c r="J11" s="97">
        <v>10.669083855239993</v>
      </c>
      <c r="K11" s="11">
        <v>273.95</v>
      </c>
      <c r="L11" s="97">
        <v>14.083402091363904</v>
      </c>
    </row>
    <row r="12" spans="1:12" x14ac:dyDescent="0.35">
      <c r="A12" s="29">
        <v>277.45</v>
      </c>
      <c r="B12" s="14">
        <v>2.2415135816981886</v>
      </c>
      <c r="C12" s="22">
        <v>276.14999999999998</v>
      </c>
      <c r="D12" s="12">
        <v>2.4917619657998644</v>
      </c>
      <c r="E12" s="22">
        <v>276</v>
      </c>
      <c r="F12" s="22">
        <v>3.9548449682905917</v>
      </c>
      <c r="G12" s="22">
        <v>274.05</v>
      </c>
      <c r="H12" s="12">
        <v>7.7447783968043336</v>
      </c>
      <c r="I12" s="11">
        <v>275.64999999999998</v>
      </c>
      <c r="J12" s="22">
        <v>12.708050221033712</v>
      </c>
      <c r="K12" s="11">
        <v>274.55</v>
      </c>
      <c r="L12" s="22">
        <v>15.207550286569756</v>
      </c>
    </row>
    <row r="13" spans="1:12" x14ac:dyDescent="0.35">
      <c r="A13" s="29">
        <v>280.25</v>
      </c>
      <c r="B13" s="14">
        <v>2.8650062182018767</v>
      </c>
      <c r="C13" s="22">
        <v>280.64999999999998</v>
      </c>
      <c r="D13" s="12">
        <v>3.787923699947227</v>
      </c>
      <c r="E13" s="22">
        <v>279</v>
      </c>
      <c r="F13" s="22">
        <v>5.3969792958345568</v>
      </c>
      <c r="G13" s="22">
        <v>277.45</v>
      </c>
      <c r="H13" s="12">
        <v>11.718670113237099</v>
      </c>
      <c r="I13" s="11">
        <v>277.60000000000002</v>
      </c>
      <c r="J13" s="22">
        <v>16.660035261179125</v>
      </c>
      <c r="K13" s="11">
        <v>277</v>
      </c>
      <c r="L13" s="22">
        <v>21.602540313564216</v>
      </c>
    </row>
    <row r="14" spans="1:12" x14ac:dyDescent="0.35">
      <c r="A14" s="29">
        <v>282.55</v>
      </c>
      <c r="B14" s="14">
        <v>3.485184459108654</v>
      </c>
      <c r="C14" s="22">
        <v>283.45</v>
      </c>
      <c r="D14" s="12">
        <v>4.9092181354052578</v>
      </c>
      <c r="E14" s="22">
        <v>281</v>
      </c>
      <c r="F14" s="22">
        <v>6.710879535065092</v>
      </c>
      <c r="G14" s="22">
        <v>278.64999999999998</v>
      </c>
      <c r="H14" s="12">
        <v>13.839871457254915</v>
      </c>
      <c r="I14" s="11">
        <v>278.95</v>
      </c>
      <c r="J14" s="22">
        <v>20.729334997869945</v>
      </c>
      <c r="K14" s="11">
        <v>278.25</v>
      </c>
      <c r="L14" s="22">
        <v>26.836011737594824</v>
      </c>
    </row>
    <row r="15" spans="1:12" ht="15" thickBot="1" x14ac:dyDescent="0.4">
      <c r="A15" s="30">
        <v>283.55</v>
      </c>
      <c r="B15" s="15">
        <v>3.7853426169769406</v>
      </c>
      <c r="C15" s="98">
        <v>284.25</v>
      </c>
      <c r="D15" s="55">
        <v>5.2833058183678272</v>
      </c>
      <c r="E15" s="98">
        <v>282</v>
      </c>
      <c r="F15" s="98">
        <v>7.521818916026918</v>
      </c>
      <c r="G15" s="98">
        <v>280.55</v>
      </c>
      <c r="H15" s="55">
        <v>18.823462519934253</v>
      </c>
      <c r="I15" s="54"/>
      <c r="J15" s="98"/>
      <c r="K15" s="54"/>
      <c r="L15" s="98"/>
    </row>
    <row r="17" spans="2:12" x14ac:dyDescent="0.35">
      <c r="B17">
        <f>ABS(B3-B11)/B3</f>
        <v>0.14648767203230284</v>
      </c>
      <c r="D17">
        <f>ABS(D3-D11)/D3</f>
        <v>2.0098018095129344E-2</v>
      </c>
      <c r="F17">
        <f>ABS(F3-F11)/F3</f>
        <v>1.2216147598323219E-2</v>
      </c>
      <c r="H17">
        <f>ABS(H3-H11)/H3</f>
        <v>6.4663883747565654E-2</v>
      </c>
      <c r="J17">
        <f>ABS(J3-J11)/J3</f>
        <v>3.1843570304900766E-2</v>
      </c>
      <c r="L17">
        <f>ABS(L3-L11)/L3</f>
        <v>1.1344754249873329E-4</v>
      </c>
    </row>
    <row r="18" spans="2:12" x14ac:dyDescent="0.35">
      <c r="B18">
        <f t="shared" ref="B18:D21" si="0">ABS(B4-B12)/B4</f>
        <v>8.8113389173877926E-2</v>
      </c>
      <c r="D18">
        <f t="shared" si="0"/>
        <v>4.1630013153898332E-2</v>
      </c>
      <c r="F18">
        <f>ABS(F4-F12)/F4</f>
        <v>7.0978395985296677E-2</v>
      </c>
      <c r="H18">
        <f>ABS(H4-H12)/H4</f>
        <v>4.6209557043801405E-2</v>
      </c>
      <c r="J18">
        <f>ABS(J4-J12)/J4</f>
        <v>8.3774317156906059E-2</v>
      </c>
      <c r="L18">
        <f>ABS(L4-L12)/L4</f>
        <v>1.2496734638327567E-2</v>
      </c>
    </row>
    <row r="19" spans="2:12" x14ac:dyDescent="0.35">
      <c r="B19">
        <f t="shared" si="0"/>
        <v>1.2066821309697648E-2</v>
      </c>
      <c r="D19">
        <f t="shared" si="0"/>
        <v>0.1034500118468101</v>
      </c>
      <c r="F19">
        <f>ABS(F5-F13)/F5</f>
        <v>8.0112613629698848E-2</v>
      </c>
      <c r="H19">
        <f>ABS(H5-H13)/H5</f>
        <v>0.10034461157155856</v>
      </c>
      <c r="J19">
        <f>ABS(J5-J13)/J5</f>
        <v>7.9556062918280449E-2</v>
      </c>
      <c r="L19">
        <f>ABS(L5-L13)/L5</f>
        <v>4.4610266613356674E-2</v>
      </c>
    </row>
    <row r="20" spans="2:12" x14ac:dyDescent="0.35">
      <c r="B20">
        <f t="shared" si="0"/>
        <v>0.12870388522283649</v>
      </c>
      <c r="D20">
        <f t="shared" si="0"/>
        <v>0.23888090923949495</v>
      </c>
      <c r="F20">
        <f>ABS(F6-F14)/F6</f>
        <v>9.908987312859549E-2</v>
      </c>
      <c r="H20">
        <f>ABS(H6-H14)/H6</f>
        <v>0.17806192179561747</v>
      </c>
      <c r="J20">
        <f>ABS(J6-J14)/J6</f>
        <v>6.7506297891590461E-2</v>
      </c>
      <c r="L20">
        <f>ABS(L6-L14)/L6</f>
        <v>0.11260413505782862</v>
      </c>
    </row>
    <row r="21" spans="2:12" x14ac:dyDescent="0.35">
      <c r="B21">
        <f t="shared" si="0"/>
        <v>0.25995256755094026</v>
      </c>
      <c r="D21">
        <f t="shared" si="0"/>
        <v>0.29035516207282375</v>
      </c>
      <c r="F21">
        <f>ABS(F7-F15)/F7</f>
        <v>0.16191432690507873</v>
      </c>
      <c r="H21">
        <f>ABS(H7-H15)/H7</f>
        <v>0.32373154148623451</v>
      </c>
    </row>
    <row r="23" spans="2:12" x14ac:dyDescent="0.35">
      <c r="B23">
        <f>SUM(B17:B21)/5</f>
        <v>0.12706486705793102</v>
      </c>
      <c r="D23">
        <f>SUM(D17:D21)/5</f>
        <v>0.13888282288163128</v>
      </c>
      <c r="F23">
        <f>SUM(F17:F21)/5</f>
        <v>8.4862271449398591E-2</v>
      </c>
      <c r="H23">
        <f>SUM(H17:H21)/5</f>
        <v>0.14260230312895553</v>
      </c>
      <c r="J23">
        <f>SUM(J17:J21)/4</f>
        <v>6.5670062067919435E-2</v>
      </c>
      <c r="L23">
        <f>SUM(L17:L21)/4</f>
        <v>4.24561459630029E-2</v>
      </c>
    </row>
    <row r="26" spans="2:12" x14ac:dyDescent="0.35">
      <c r="F26">
        <f>SUM(B17:B21,D17:D21,F17:F21,H17:H21,J17:J20,L17:L20)/28</f>
        <v>0.10355593409690257</v>
      </c>
    </row>
  </sheetData>
  <mergeCells count="12">
    <mergeCell ref="K9:L9"/>
    <mergeCell ref="A1:B1"/>
    <mergeCell ref="C1:D1"/>
    <mergeCell ref="E1:F1"/>
    <mergeCell ref="G1:H1"/>
    <mergeCell ref="I1:J1"/>
    <mergeCell ref="K1:L1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27" workbookViewId="0">
      <selection activeCell="G45" sqref="G45"/>
    </sheetView>
  </sheetViews>
  <sheetFormatPr defaultRowHeight="14.5" x14ac:dyDescent="0.35"/>
  <cols>
    <col min="1" max="1" width="6.453125" bestFit="1" customWidth="1"/>
    <col min="2" max="2" width="10.453125" bestFit="1" customWidth="1"/>
    <col min="3" max="3" width="6.453125" bestFit="1" customWidth="1"/>
    <col min="4" max="4" width="10.453125" bestFit="1" customWidth="1"/>
    <col min="5" max="5" width="6.453125" bestFit="1" customWidth="1"/>
    <col min="6" max="6" width="10.453125" bestFit="1" customWidth="1"/>
  </cols>
  <sheetData>
    <row r="1" spans="1:6" ht="15" thickBot="1" x14ac:dyDescent="0.4">
      <c r="A1" s="177" t="s">
        <v>44</v>
      </c>
      <c r="B1" s="178"/>
      <c r="C1" s="177" t="s">
        <v>45</v>
      </c>
      <c r="D1" s="178"/>
      <c r="E1" s="177" t="s">
        <v>46</v>
      </c>
      <c r="F1" s="178"/>
    </row>
    <row r="2" spans="1:6" ht="15" thickBot="1" x14ac:dyDescent="0.4">
      <c r="A2" s="99" t="s">
        <v>43</v>
      </c>
      <c r="B2" s="100" t="s">
        <v>36</v>
      </c>
      <c r="C2" s="99" t="s">
        <v>43</v>
      </c>
      <c r="D2" s="100" t="s">
        <v>36</v>
      </c>
      <c r="E2" s="99" t="s">
        <v>43</v>
      </c>
      <c r="F2" s="100" t="s">
        <v>36</v>
      </c>
    </row>
    <row r="3" spans="1:6" x14ac:dyDescent="0.35">
      <c r="A3" s="101">
        <v>1</v>
      </c>
      <c r="B3" s="12">
        <v>1.3939999999999999</v>
      </c>
      <c r="C3" s="101">
        <v>1</v>
      </c>
      <c r="D3" s="12">
        <v>1.9530000000000001</v>
      </c>
      <c r="E3" s="101">
        <v>1</v>
      </c>
      <c r="F3" s="12">
        <v>2.8010000000000002</v>
      </c>
    </row>
    <row r="4" spans="1:6" x14ac:dyDescent="0.35">
      <c r="A4" s="102">
        <v>0.82050000000000001</v>
      </c>
      <c r="B4" s="12">
        <v>1.7690000000000001</v>
      </c>
      <c r="C4" s="102">
        <v>0.84909999999999997</v>
      </c>
      <c r="D4" s="12">
        <v>2.6</v>
      </c>
      <c r="E4" s="102">
        <v>0.82499999999999996</v>
      </c>
      <c r="F4" s="12">
        <v>3.6</v>
      </c>
    </row>
    <row r="5" spans="1:6" x14ac:dyDescent="0.35">
      <c r="A5" s="102">
        <v>0.59989999999999999</v>
      </c>
      <c r="B5" s="12">
        <v>2.3540000000000001</v>
      </c>
      <c r="C5" s="102">
        <v>0.5867</v>
      </c>
      <c r="D5" s="12">
        <v>3.3770000000000002</v>
      </c>
      <c r="E5" s="102">
        <v>0.69989999999999997</v>
      </c>
      <c r="F5" s="12">
        <v>4.2329999999999997</v>
      </c>
    </row>
    <row r="6" spans="1:6" x14ac:dyDescent="0.35">
      <c r="A6" s="102">
        <v>0.50480000000000003</v>
      </c>
      <c r="B6" s="12">
        <v>2.835</v>
      </c>
      <c r="C6" s="102">
        <v>0.38990000000000002</v>
      </c>
      <c r="D6" s="12">
        <v>5.2329999999999997</v>
      </c>
      <c r="E6" s="102">
        <v>0.5917</v>
      </c>
      <c r="F6" s="12">
        <v>5.0679999999999996</v>
      </c>
    </row>
    <row r="7" spans="1:6" x14ac:dyDescent="0.35">
      <c r="A7" s="102">
        <v>0.39939999999999998</v>
      </c>
      <c r="B7" s="12">
        <v>3.56</v>
      </c>
      <c r="C7" s="102">
        <v>0.17610000000000001</v>
      </c>
      <c r="D7" s="12">
        <v>11.98</v>
      </c>
      <c r="E7" s="102">
        <v>0.39240000000000003</v>
      </c>
      <c r="F7" s="12">
        <v>8.2750000000000004</v>
      </c>
    </row>
    <row r="8" spans="1:6" x14ac:dyDescent="0.35">
      <c r="A8" s="102">
        <v>0.20569999999999999</v>
      </c>
      <c r="B8" s="12">
        <v>7.2349999999999994</v>
      </c>
      <c r="C8" s="102">
        <v>0.1159</v>
      </c>
      <c r="D8" s="12">
        <v>15.5</v>
      </c>
      <c r="E8" s="102">
        <v>0.251</v>
      </c>
      <c r="F8" s="12">
        <v>14.974</v>
      </c>
    </row>
    <row r="9" spans="1:6" x14ac:dyDescent="0.35">
      <c r="A9" s="102">
        <v>0.1159</v>
      </c>
      <c r="B9" s="12">
        <v>11.2</v>
      </c>
      <c r="C9" s="102">
        <v>6.6299999999999998E-2</v>
      </c>
      <c r="D9" s="12">
        <v>19.173999999999999</v>
      </c>
      <c r="E9" s="102">
        <v>0.1709</v>
      </c>
      <c r="F9" s="12">
        <v>20.753</v>
      </c>
    </row>
    <row r="10" spans="1:6" x14ac:dyDescent="0.35">
      <c r="A10" s="102">
        <v>4.9799999999999997E-2</v>
      </c>
      <c r="B10" s="12">
        <v>14.928000000000001</v>
      </c>
      <c r="C10" s="102">
        <v>0</v>
      </c>
      <c r="D10" s="12">
        <v>24.041</v>
      </c>
      <c r="E10" s="102">
        <v>9.0499999999999997E-2</v>
      </c>
      <c r="F10" s="12">
        <v>26.689999999999998</v>
      </c>
    </row>
    <row r="11" spans="1:6" ht="15" thickBot="1" x14ac:dyDescent="0.4">
      <c r="A11" s="103">
        <v>0</v>
      </c>
      <c r="B11" s="55">
        <v>17.925999999999998</v>
      </c>
      <c r="C11" s="23"/>
      <c r="D11" s="70"/>
      <c r="E11" s="103">
        <v>0</v>
      </c>
      <c r="F11" s="55">
        <v>32.308</v>
      </c>
    </row>
    <row r="12" spans="1:6" ht="15" thickBot="1" x14ac:dyDescent="0.4">
      <c r="A12" s="177" t="s">
        <v>44</v>
      </c>
      <c r="B12" s="178"/>
      <c r="C12" s="177" t="s">
        <v>45</v>
      </c>
      <c r="D12" s="178"/>
      <c r="E12" s="177" t="s">
        <v>46</v>
      </c>
      <c r="F12" s="178"/>
    </row>
    <row r="13" spans="1:6" ht="15" thickBot="1" x14ac:dyDescent="0.4">
      <c r="A13" s="99" t="s">
        <v>43</v>
      </c>
      <c r="B13" s="100" t="s">
        <v>35</v>
      </c>
      <c r="C13" s="99" t="s">
        <v>43</v>
      </c>
      <c r="D13" s="100" t="s">
        <v>35</v>
      </c>
      <c r="E13" s="99" t="s">
        <v>43</v>
      </c>
      <c r="F13" s="100" t="s">
        <v>35</v>
      </c>
    </row>
    <row r="14" spans="1:6" x14ac:dyDescent="0.35">
      <c r="A14" s="101">
        <v>1</v>
      </c>
      <c r="B14" s="12">
        <v>1.5921145623461306</v>
      </c>
      <c r="C14" s="101">
        <v>1</v>
      </c>
      <c r="D14" s="12">
        <v>2.0769463929059233</v>
      </c>
      <c r="E14" s="101">
        <v>1</v>
      </c>
      <c r="F14" s="12">
        <v>2.696617583792412</v>
      </c>
    </row>
    <row r="15" spans="1:6" x14ac:dyDescent="0.35">
      <c r="A15" s="102">
        <v>0.82050000000000001</v>
      </c>
      <c r="B15" s="12">
        <v>1.9363360971864725</v>
      </c>
      <c r="C15" s="102">
        <v>0.84909999999999997</v>
      </c>
      <c r="D15" s="12">
        <v>2.4636040913968285</v>
      </c>
      <c r="E15" s="102">
        <v>0.82499999999999996</v>
      </c>
      <c r="F15" s="12">
        <v>3.3418089365571562</v>
      </c>
    </row>
    <row r="16" spans="1:6" x14ac:dyDescent="0.35">
      <c r="A16" s="102">
        <v>0.59989999999999999</v>
      </c>
      <c r="B16" s="12">
        <v>2.6259175903191556</v>
      </c>
      <c r="C16" s="102">
        <v>0.5867</v>
      </c>
      <c r="D16" s="12">
        <v>3.5959621720458221</v>
      </c>
      <c r="E16" s="102">
        <v>0.69989999999999997</v>
      </c>
      <c r="F16" s="12">
        <v>4.0056987731841742</v>
      </c>
    </row>
    <row r="17" spans="1:17" x14ac:dyDescent="0.35">
      <c r="A17" s="102">
        <v>0.50480000000000003</v>
      </c>
      <c r="B17" s="12">
        <v>3.0947269147718894</v>
      </c>
      <c r="C17" s="102">
        <v>0.38990000000000002</v>
      </c>
      <c r="D17" s="12">
        <v>5.3826940192777917</v>
      </c>
      <c r="E17" s="102">
        <v>0.5917</v>
      </c>
      <c r="F17" s="12">
        <v>4.8109642494603193</v>
      </c>
    </row>
    <row r="18" spans="1:17" x14ac:dyDescent="0.35">
      <c r="A18" s="102">
        <v>0.39939999999999998</v>
      </c>
      <c r="B18" s="12">
        <v>3.8474315076083068</v>
      </c>
      <c r="C18" s="102">
        <v>0.17610000000000001</v>
      </c>
      <c r="D18" s="12">
        <v>11.048728071720342</v>
      </c>
      <c r="E18" s="102">
        <v>0.39240000000000003</v>
      </c>
      <c r="F18" s="12">
        <v>7.4775736487732285</v>
      </c>
    </row>
    <row r="19" spans="1:17" x14ac:dyDescent="0.35">
      <c r="A19" s="102">
        <v>0.20569999999999999</v>
      </c>
      <c r="B19" s="12">
        <v>6.8199162331471639</v>
      </c>
      <c r="C19" s="102">
        <v>0.1159</v>
      </c>
      <c r="D19" s="12">
        <v>15.260903843941254</v>
      </c>
      <c r="E19" s="102">
        <v>0.251</v>
      </c>
      <c r="F19" s="12">
        <v>11.944316347665325</v>
      </c>
    </row>
    <row r="20" spans="1:17" x14ac:dyDescent="0.35">
      <c r="A20" s="102">
        <v>0.1159</v>
      </c>
      <c r="B20" s="12">
        <v>10.353494875474416</v>
      </c>
      <c r="C20" s="124">
        <v>6.6299999999999998E-2</v>
      </c>
      <c r="D20" s="125">
        <v>21.602540313657073</v>
      </c>
      <c r="E20" s="102">
        <v>0.1709</v>
      </c>
      <c r="F20" s="12">
        <v>17.597886608818069</v>
      </c>
    </row>
    <row r="21" spans="1:17" x14ac:dyDescent="0.35">
      <c r="A21" s="130">
        <v>4.9799999999999997E-2</v>
      </c>
      <c r="B21" s="131">
        <v>15.261570000000001</v>
      </c>
      <c r="C21" s="126">
        <v>0.06</v>
      </c>
      <c r="D21" s="128">
        <v>22.355650000000001</v>
      </c>
      <c r="E21" s="129">
        <v>0.13</v>
      </c>
      <c r="F21" s="108">
        <v>22.838000000000001</v>
      </c>
    </row>
    <row r="22" spans="1:17" ht="15" thickBot="1" x14ac:dyDescent="0.4">
      <c r="A22" s="103">
        <v>0</v>
      </c>
      <c r="B22" s="55">
        <v>18.078961901828521</v>
      </c>
      <c r="C22" s="121">
        <v>0.05</v>
      </c>
      <c r="D22" s="114">
        <v>23.111339999999998</v>
      </c>
      <c r="E22" s="102">
        <v>9.0499999999999997E-2</v>
      </c>
      <c r="F22" s="12">
        <v>31.350204002600123</v>
      </c>
    </row>
    <row r="23" spans="1:17" x14ac:dyDescent="0.35">
      <c r="C23" s="121">
        <v>0.04</v>
      </c>
      <c r="D23" s="114">
        <v>23.91527</v>
      </c>
      <c r="E23" s="121">
        <v>8.5000000000000006E-2</v>
      </c>
      <c r="F23" s="114">
        <v>32.991</v>
      </c>
      <c r="H23">
        <f>ABS(B3-B14)/B3</f>
        <v>0.14211948518373793</v>
      </c>
      <c r="J23">
        <f>ABS(D3-D14)/D3</f>
        <v>6.34646149031865E-2</v>
      </c>
      <c r="L23">
        <f>ABS(F3-F14)/F3</f>
        <v>3.7266125029485231E-2</v>
      </c>
    </row>
    <row r="24" spans="1:17" x14ac:dyDescent="0.35">
      <c r="C24" s="121">
        <v>0.03</v>
      </c>
      <c r="D24" s="114">
        <v>24.7728</v>
      </c>
      <c r="E24" s="121">
        <v>0.08</v>
      </c>
      <c r="F24" s="114">
        <v>34.619300000000003</v>
      </c>
      <c r="H24">
        <f t="shared" ref="H24:L31" si="0">ABS(B4-B15)/B4</f>
        <v>9.4593610619826088E-2</v>
      </c>
      <c r="J24">
        <f t="shared" si="0"/>
        <v>5.2459964847373704E-2</v>
      </c>
      <c r="L24">
        <f t="shared" si="0"/>
        <v>7.1719739845234429E-2</v>
      </c>
    </row>
    <row r="25" spans="1:17" x14ac:dyDescent="0.35">
      <c r="C25" s="121">
        <v>0.02</v>
      </c>
      <c r="D25" s="114">
        <v>25.69</v>
      </c>
      <c r="E25" s="122">
        <v>7.0000000000000007E-2</v>
      </c>
      <c r="F25" s="123">
        <v>38.340000000000003</v>
      </c>
      <c r="G25" t="s">
        <v>65</v>
      </c>
      <c r="H25">
        <f t="shared" si="0"/>
        <v>0.11551299503787404</v>
      </c>
      <c r="J25">
        <f t="shared" si="0"/>
        <v>6.4839257342559048E-2</v>
      </c>
      <c r="L25">
        <f t="shared" si="0"/>
        <v>5.3697431329039792E-2</v>
      </c>
      <c r="P25">
        <v>0.06</v>
      </c>
      <c r="Q25">
        <v>0</v>
      </c>
    </row>
    <row r="26" spans="1:17" x14ac:dyDescent="0.35">
      <c r="C26" s="121">
        <v>0.01</v>
      </c>
      <c r="D26" s="114">
        <v>26.674199999999999</v>
      </c>
      <c r="E26" s="126">
        <v>0.06</v>
      </c>
      <c r="F26" s="127">
        <v>41.329900000000002</v>
      </c>
      <c r="G26" t="s">
        <v>64</v>
      </c>
      <c r="H26">
        <f t="shared" si="0"/>
        <v>9.161443201830316E-2</v>
      </c>
      <c r="J26">
        <f t="shared" si="0"/>
        <v>2.8605774752110076E-2</v>
      </c>
      <c r="L26">
        <f t="shared" si="0"/>
        <v>5.0717393555580172E-2</v>
      </c>
      <c r="P26">
        <v>0.06</v>
      </c>
      <c r="Q26">
        <v>10</v>
      </c>
    </row>
    <row r="27" spans="1:17" x14ac:dyDescent="0.35">
      <c r="C27" s="102">
        <v>0</v>
      </c>
      <c r="D27" s="12">
        <v>27.734112442901523</v>
      </c>
      <c r="E27" s="121">
        <v>0.05</v>
      </c>
      <c r="F27">
        <v>43.138599999999997</v>
      </c>
      <c r="H27">
        <f t="shared" si="0"/>
        <v>8.0739187530423237E-2</v>
      </c>
      <c r="J27">
        <f t="shared" si="0"/>
        <v>7.7735553278769465E-2</v>
      </c>
      <c r="L27">
        <f t="shared" si="0"/>
        <v>9.6365722202631038E-2</v>
      </c>
      <c r="P27">
        <v>0.06</v>
      </c>
      <c r="Q27">
        <v>20</v>
      </c>
    </row>
    <row r="28" spans="1:17" x14ac:dyDescent="0.35">
      <c r="E28" s="121">
        <v>0.04</v>
      </c>
      <c r="F28">
        <v>45.113999999999997</v>
      </c>
      <c r="H28">
        <f t="shared" si="0"/>
        <v>5.7371633289956543E-2</v>
      </c>
      <c r="J28">
        <f t="shared" si="0"/>
        <v>1.542555845540299E-2</v>
      </c>
      <c r="L28">
        <f t="shared" si="0"/>
        <v>0.20232961482133535</v>
      </c>
      <c r="P28">
        <v>0.06</v>
      </c>
      <c r="Q28">
        <v>30</v>
      </c>
    </row>
    <row r="29" spans="1:17" x14ac:dyDescent="0.35">
      <c r="E29" s="121">
        <v>0.03</v>
      </c>
      <c r="F29">
        <v>47.286900000000003</v>
      </c>
      <c r="H29">
        <f t="shared" si="0"/>
        <v>7.5580814689784226E-2</v>
      </c>
      <c r="J29">
        <f t="shared" si="0"/>
        <v>0.12665799069871042</v>
      </c>
      <c r="L29">
        <f t="shared" si="0"/>
        <v>0.15203167692294758</v>
      </c>
      <c r="P29">
        <v>0.06</v>
      </c>
      <c r="Q29">
        <v>40</v>
      </c>
    </row>
    <row r="30" spans="1:17" x14ac:dyDescent="0.35">
      <c r="E30" s="121">
        <v>0.02</v>
      </c>
      <c r="F30">
        <v>49.697800000000001</v>
      </c>
      <c r="H30">
        <f t="shared" si="0"/>
        <v>2.2345257234726683E-2</v>
      </c>
      <c r="J30">
        <f>ABS(D10-D27)/D10</f>
        <v>0.1536172556425075</v>
      </c>
      <c r="L30">
        <f>ABS(F10-F22)/F10</f>
        <v>0.17460487083552362</v>
      </c>
      <c r="P30">
        <v>0.06</v>
      </c>
      <c r="Q30">
        <v>50</v>
      </c>
    </row>
    <row r="31" spans="1:17" x14ac:dyDescent="0.35">
      <c r="E31" s="121">
        <v>0.01</v>
      </c>
      <c r="F31">
        <v>52.400500000000001</v>
      </c>
      <c r="H31">
        <f t="shared" si="0"/>
        <v>8.5329633955440395E-3</v>
      </c>
      <c r="L31">
        <f>ABS(F11-F32)/F11</f>
        <v>0.71689652579355168</v>
      </c>
      <c r="P31">
        <v>0.06</v>
      </c>
      <c r="Q31">
        <v>60</v>
      </c>
    </row>
    <row r="32" spans="1:17" x14ac:dyDescent="0.35">
      <c r="E32" s="102">
        <v>0</v>
      </c>
      <c r="F32" s="12">
        <v>55.469492955338069</v>
      </c>
    </row>
    <row r="33" spans="8:12" x14ac:dyDescent="0.35">
      <c r="H33">
        <f>SUM(H23:H31)/9</f>
        <v>7.6490042111130654E-2</v>
      </c>
      <c r="J33">
        <f>SUM(J23:J30)/8</f>
        <v>7.2850746240077452E-2</v>
      </c>
      <c r="L33">
        <f>SUM(L23:L31)/9</f>
        <v>0.17284767781503657</v>
      </c>
    </row>
    <row r="35" spans="8:12" x14ac:dyDescent="0.35">
      <c r="J35">
        <f>SUM(H23:H31,J23:J30,L23:L31)/26</f>
        <v>0.1087248249713894</v>
      </c>
    </row>
  </sheetData>
  <mergeCells count="6">
    <mergeCell ref="A12:B12"/>
    <mergeCell ref="C12:D12"/>
    <mergeCell ref="E12:F12"/>
    <mergeCell ref="A1:B1"/>
    <mergeCell ref="C1:D1"/>
    <mergeCell ref="E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zoomScaleNormal="100" workbookViewId="0">
      <selection activeCell="H15" sqref="H15"/>
    </sheetView>
  </sheetViews>
  <sheetFormatPr defaultRowHeight="14.5" x14ac:dyDescent="0.35"/>
  <cols>
    <col min="1" max="1" width="7.453125" bestFit="1" customWidth="1"/>
    <col min="2" max="2" width="10.453125" bestFit="1" customWidth="1"/>
    <col min="3" max="3" width="7.453125" bestFit="1" customWidth="1"/>
    <col min="4" max="4" width="11.453125" bestFit="1" customWidth="1"/>
    <col min="5" max="5" width="7.453125" bestFit="1" customWidth="1"/>
    <col min="6" max="6" width="11.453125" bestFit="1" customWidth="1"/>
    <col min="9" max="9" width="11.81640625" bestFit="1" customWidth="1"/>
  </cols>
  <sheetData>
    <row r="1" spans="1:6" ht="15" thickBot="1" x14ac:dyDescent="0.4">
      <c r="A1" s="177" t="s">
        <v>44</v>
      </c>
      <c r="B1" s="178"/>
      <c r="C1" s="177" t="s">
        <v>45</v>
      </c>
      <c r="D1" s="178"/>
      <c r="E1" s="177" t="s">
        <v>46</v>
      </c>
      <c r="F1" s="178"/>
    </row>
    <row r="2" spans="1:6" ht="15" thickBot="1" x14ac:dyDescent="0.4">
      <c r="A2" s="95" t="s">
        <v>48</v>
      </c>
      <c r="B2" s="96" t="s">
        <v>47</v>
      </c>
      <c r="C2" s="95" t="s">
        <v>48</v>
      </c>
      <c r="D2" s="96" t="s">
        <v>47</v>
      </c>
      <c r="E2" s="95" t="s">
        <v>48</v>
      </c>
      <c r="F2" s="96" t="s">
        <v>47</v>
      </c>
    </row>
    <row r="3" spans="1:6" x14ac:dyDescent="0.35">
      <c r="A3" s="101">
        <v>1</v>
      </c>
      <c r="B3" s="12">
        <v>1</v>
      </c>
      <c r="C3" s="101">
        <v>1</v>
      </c>
      <c r="D3" s="12">
        <v>1</v>
      </c>
      <c r="E3" s="101">
        <v>1</v>
      </c>
      <c r="F3" s="12">
        <v>1</v>
      </c>
    </row>
    <row r="4" spans="1:6" x14ac:dyDescent="0.35">
      <c r="A4" s="102">
        <v>0.82050000000000001</v>
      </c>
      <c r="B4" s="12">
        <v>0.98499999999999999</v>
      </c>
      <c r="C4" s="102">
        <v>0.84909999999999997</v>
      </c>
      <c r="D4" s="12">
        <v>0.97819999999999996</v>
      </c>
      <c r="E4" s="102">
        <v>0.82499999999999996</v>
      </c>
      <c r="F4" s="12">
        <v>0.97650000000000003</v>
      </c>
    </row>
    <row r="5" spans="1:6" x14ac:dyDescent="0.35">
      <c r="A5" s="102">
        <v>0.59989999999999999</v>
      </c>
      <c r="B5" s="12">
        <v>0.95169999999999999</v>
      </c>
      <c r="C5" s="102">
        <v>0.5867</v>
      </c>
      <c r="D5" s="12">
        <v>0.94550000000000001</v>
      </c>
      <c r="E5" s="102">
        <v>0.69989999999999997</v>
      </c>
      <c r="F5" s="12">
        <v>0.96120000000000005</v>
      </c>
    </row>
    <row r="6" spans="1:6" x14ac:dyDescent="0.35">
      <c r="A6" s="102">
        <v>0.50480000000000003</v>
      </c>
      <c r="B6" s="12">
        <v>0.93010000000000004</v>
      </c>
      <c r="C6" s="102">
        <v>0.38990000000000002</v>
      </c>
      <c r="D6" s="12">
        <v>0.88670000000000004</v>
      </c>
      <c r="E6" s="102">
        <v>0.5917</v>
      </c>
      <c r="F6" s="12">
        <v>0.94320000000000004</v>
      </c>
    </row>
    <row r="7" spans="1:6" x14ac:dyDescent="0.35">
      <c r="A7" s="102">
        <v>0.39939999999999998</v>
      </c>
      <c r="B7" s="12">
        <v>0.90010000000000001</v>
      </c>
      <c r="C7" s="102">
        <v>0.17610000000000001</v>
      </c>
      <c r="D7" s="12">
        <v>0.54</v>
      </c>
      <c r="E7" s="102">
        <v>0.39240000000000003</v>
      </c>
      <c r="F7" s="12">
        <v>0.86409999999999998</v>
      </c>
    </row>
    <row r="8" spans="1:6" x14ac:dyDescent="0.35">
      <c r="A8" s="102">
        <v>0.20569999999999999</v>
      </c>
      <c r="B8" s="12">
        <v>0.58360000000000001</v>
      </c>
      <c r="C8" s="102">
        <v>0.1159</v>
      </c>
      <c r="D8" s="12">
        <v>0.35260000000000002</v>
      </c>
      <c r="E8" s="102">
        <v>0.251</v>
      </c>
      <c r="F8" s="12">
        <v>0.64</v>
      </c>
    </row>
    <row r="9" spans="1:6" x14ac:dyDescent="0.35">
      <c r="A9" s="102">
        <v>0.1159</v>
      </c>
      <c r="B9" s="12">
        <v>0.34260000000000002</v>
      </c>
      <c r="C9" s="102">
        <v>6.6299999999999998E-2</v>
      </c>
      <c r="D9" s="12">
        <v>0.1928</v>
      </c>
      <c r="E9" s="102">
        <v>0.1709</v>
      </c>
      <c r="F9" s="12">
        <v>0.45</v>
      </c>
    </row>
    <row r="10" spans="1:6" x14ac:dyDescent="0.35">
      <c r="A10" s="102">
        <v>4.9799999999999997E-2</v>
      </c>
      <c r="B10" s="12">
        <v>0.17929999999999999</v>
      </c>
      <c r="C10" s="102">
        <v>0</v>
      </c>
      <c r="D10" s="12">
        <v>0</v>
      </c>
      <c r="E10" s="102">
        <v>9.0499999999999997E-2</v>
      </c>
      <c r="F10" s="12">
        <v>0.22170000000000001</v>
      </c>
    </row>
    <row r="11" spans="1:6" ht="15" thickBot="1" x14ac:dyDescent="0.4">
      <c r="A11" s="103">
        <v>0</v>
      </c>
      <c r="B11" s="55">
        <v>0</v>
      </c>
      <c r="C11" s="23"/>
      <c r="D11" s="70"/>
      <c r="E11" s="103">
        <v>0</v>
      </c>
      <c r="F11" s="55">
        <v>0</v>
      </c>
    </row>
    <row r="12" spans="1:6" ht="15" thickBot="1" x14ac:dyDescent="0.4">
      <c r="A12" s="177" t="s">
        <v>44</v>
      </c>
      <c r="B12" s="178"/>
      <c r="C12" s="177" t="s">
        <v>45</v>
      </c>
      <c r="D12" s="178"/>
      <c r="E12" s="177" t="s">
        <v>46</v>
      </c>
      <c r="F12" s="178"/>
    </row>
    <row r="13" spans="1:6" ht="15" thickBot="1" x14ac:dyDescent="0.4">
      <c r="A13" s="95" t="s">
        <v>48</v>
      </c>
      <c r="B13" s="96" t="s">
        <v>47</v>
      </c>
      <c r="C13" s="95" t="s">
        <v>48</v>
      </c>
      <c r="D13" s="96" t="s">
        <v>47</v>
      </c>
      <c r="E13" s="95" t="s">
        <v>48</v>
      </c>
      <c r="F13" s="96" t="s">
        <v>47</v>
      </c>
    </row>
    <row r="14" spans="1:6" x14ac:dyDescent="0.35">
      <c r="A14" s="101">
        <v>1</v>
      </c>
      <c r="B14" s="12">
        <v>0.99999999999999989</v>
      </c>
      <c r="C14" s="101">
        <v>1</v>
      </c>
      <c r="D14" s="12">
        <v>1</v>
      </c>
      <c r="E14" s="101">
        <v>1</v>
      </c>
      <c r="F14" s="12">
        <v>0.99999999999999989</v>
      </c>
    </row>
    <row r="15" spans="1:6" x14ac:dyDescent="0.35">
      <c r="A15" s="102">
        <v>0.82050000000000001</v>
      </c>
      <c r="B15" s="12">
        <v>0.97459425509598607</v>
      </c>
      <c r="C15" s="102">
        <v>0.84909999999999997</v>
      </c>
      <c r="D15" s="12">
        <v>0.97743732876670331</v>
      </c>
      <c r="E15" s="102">
        <v>0.82499999999999996</v>
      </c>
      <c r="F15" s="12">
        <v>0.97028257854354116</v>
      </c>
    </row>
    <row r="16" spans="1:6" x14ac:dyDescent="0.35">
      <c r="A16" s="102">
        <v>0.59989999999999999</v>
      </c>
      <c r="B16" s="12">
        <v>0.92580002233604253</v>
      </c>
      <c r="C16" s="102">
        <v>0.5867</v>
      </c>
      <c r="D16" s="12">
        <v>0.91468172052620633</v>
      </c>
      <c r="E16" s="102">
        <v>0.69989999999999997</v>
      </c>
      <c r="F16" s="12">
        <v>0.94090682137482817</v>
      </c>
    </row>
    <row r="17" spans="1:6" x14ac:dyDescent="0.35">
      <c r="A17" s="102">
        <v>0.50480000000000003</v>
      </c>
      <c r="B17" s="12">
        <v>0.89396609741858679</v>
      </c>
      <c r="C17" s="102">
        <v>0.38990000000000002</v>
      </c>
      <c r="D17" s="12">
        <v>0.82393838939671205</v>
      </c>
      <c r="E17" s="102">
        <v>0.5917</v>
      </c>
      <c r="F17" s="12">
        <v>0.90676777752659354</v>
      </c>
    </row>
    <row r="18" spans="1:6" x14ac:dyDescent="0.35">
      <c r="A18" s="102">
        <v>0.39939999999999998</v>
      </c>
      <c r="B18" s="12">
        <v>0.8448036920132469</v>
      </c>
      <c r="C18" s="102">
        <v>0.17610000000000001</v>
      </c>
      <c r="D18" s="12">
        <v>0.58760677633943814</v>
      </c>
      <c r="E18" s="102">
        <v>0.39240000000000003</v>
      </c>
      <c r="F18" s="12">
        <v>0.80410685230118972</v>
      </c>
    </row>
    <row r="19" spans="1:6" x14ac:dyDescent="0.35">
      <c r="A19" s="102">
        <v>0.20569999999999999</v>
      </c>
      <c r="B19" s="12">
        <v>0.6698231070050652</v>
      </c>
      <c r="C19" s="102">
        <v>0.1159</v>
      </c>
      <c r="D19" s="12">
        <v>0.45144565969120537</v>
      </c>
      <c r="E19" s="102">
        <v>0.251</v>
      </c>
      <c r="F19" s="12">
        <v>0.6624998601138592</v>
      </c>
    </row>
    <row r="20" spans="1:6" x14ac:dyDescent="0.35">
      <c r="A20" s="102">
        <v>0.1159</v>
      </c>
      <c r="B20" s="12">
        <v>0.49339083828739067</v>
      </c>
      <c r="C20" s="102">
        <v>6.6299999999999998E-2</v>
      </c>
      <c r="D20" s="12">
        <v>0.29311542537307705</v>
      </c>
      <c r="E20" s="102">
        <v>0.1709</v>
      </c>
      <c r="F20" s="12">
        <v>0.52599858067952732</v>
      </c>
    </row>
    <row r="21" spans="1:6" x14ac:dyDescent="0.35">
      <c r="A21" s="102">
        <v>4.9799999999999997E-2</v>
      </c>
      <c r="B21" s="12">
        <v>0.13211000000000001</v>
      </c>
      <c r="C21" s="102">
        <v>0</v>
      </c>
      <c r="D21" s="12">
        <v>0</v>
      </c>
      <c r="E21" s="102">
        <v>9.0499999999999997E-2</v>
      </c>
      <c r="F21" s="12">
        <v>0.31885553410761758</v>
      </c>
    </row>
    <row r="22" spans="1:6" ht="15" thickBot="1" x14ac:dyDescent="0.4">
      <c r="A22" s="103">
        <v>0</v>
      </c>
      <c r="B22" s="55">
        <v>0</v>
      </c>
      <c r="C22" s="23"/>
      <c r="D22" s="70"/>
      <c r="E22" s="103">
        <v>0</v>
      </c>
      <c r="F22" s="55">
        <v>0</v>
      </c>
    </row>
    <row r="24" spans="1:6" x14ac:dyDescent="0.35">
      <c r="C24" s="121">
        <v>0.06</v>
      </c>
      <c r="D24" s="114">
        <v>0.13400000000000001</v>
      </c>
      <c r="E24" s="121">
        <v>0.08</v>
      </c>
      <c r="F24" s="114">
        <v>0.2858</v>
      </c>
    </row>
    <row r="25" spans="1:6" x14ac:dyDescent="0.35">
      <c r="C25" s="121">
        <v>0.05</v>
      </c>
      <c r="D25" s="114">
        <v>0.1134</v>
      </c>
      <c r="E25" s="121">
        <v>7.0000000000000007E-2</v>
      </c>
      <c r="F25" s="114">
        <v>0.25319999999999998</v>
      </c>
    </row>
    <row r="26" spans="1:6" x14ac:dyDescent="0.35">
      <c r="C26" s="121">
        <v>0.04</v>
      </c>
      <c r="D26" s="114">
        <v>9.2200000000000004E-2</v>
      </c>
      <c r="E26" s="121">
        <v>0.06</v>
      </c>
      <c r="F26">
        <v>0.1066</v>
      </c>
    </row>
    <row r="27" spans="1:6" x14ac:dyDescent="0.35">
      <c r="C27" s="121">
        <v>0.03</v>
      </c>
      <c r="D27" s="114">
        <v>7.0300000000000001E-2</v>
      </c>
      <c r="E27" s="121">
        <v>0.05</v>
      </c>
      <c r="F27">
        <v>8.9959999999999998E-2</v>
      </c>
    </row>
    <row r="28" spans="1:6" x14ac:dyDescent="0.35">
      <c r="C28" s="121">
        <v>0.02</v>
      </c>
      <c r="D28" s="114">
        <v>4.7600000000000003E-2</v>
      </c>
      <c r="E28" s="121">
        <v>0.04</v>
      </c>
      <c r="F28">
        <v>7.2870000000000004E-2</v>
      </c>
    </row>
    <row r="29" spans="1:6" x14ac:dyDescent="0.35">
      <c r="C29" s="121">
        <v>0.01</v>
      </c>
      <c r="D29" s="114">
        <v>2.4199999999999999E-2</v>
      </c>
      <c r="E29" s="121">
        <v>0.03</v>
      </c>
      <c r="F29">
        <v>5.5359999999999999E-2</v>
      </c>
    </row>
    <row r="30" spans="1:6" x14ac:dyDescent="0.35">
      <c r="E30" s="121">
        <v>0.02</v>
      </c>
      <c r="F30">
        <v>3.7400000000000003E-2</v>
      </c>
    </row>
    <row r="31" spans="1:6" x14ac:dyDescent="0.35">
      <c r="E31" s="121">
        <v>0.01</v>
      </c>
      <c r="F31">
        <v>1.9E-2</v>
      </c>
    </row>
  </sheetData>
  <mergeCells count="6">
    <mergeCell ref="A1:B1"/>
    <mergeCell ref="C1:D1"/>
    <mergeCell ref="E1:F1"/>
    <mergeCell ref="A12:B12"/>
    <mergeCell ref="C12:D12"/>
    <mergeCell ref="E12:F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25" sqref="I25"/>
    </sheetView>
  </sheetViews>
  <sheetFormatPr defaultRowHeight="14.5" x14ac:dyDescent="0.35"/>
  <cols>
    <col min="2" max="2" width="10.453125" bestFit="1" customWidth="1"/>
    <col min="4" max="4" width="10.453125" bestFit="1" customWidth="1"/>
  </cols>
  <sheetData>
    <row r="1" spans="1:4" ht="15" thickBot="1" x14ac:dyDescent="0.4">
      <c r="A1" s="175" t="s">
        <v>49</v>
      </c>
      <c r="B1" s="176"/>
      <c r="C1" s="177" t="s">
        <v>50</v>
      </c>
      <c r="D1" s="178"/>
    </row>
    <row r="2" spans="1:4" ht="15" thickBot="1" x14ac:dyDescent="0.4">
      <c r="A2" s="104" t="s">
        <v>34</v>
      </c>
      <c r="B2" s="105" t="s">
        <v>36</v>
      </c>
      <c r="C2" s="99" t="s">
        <v>34</v>
      </c>
      <c r="D2" s="105" t="s">
        <v>36</v>
      </c>
    </row>
    <row r="3" spans="1:4" x14ac:dyDescent="0.35">
      <c r="A3" s="52">
        <v>273.10000000000002</v>
      </c>
      <c r="B3" s="53">
        <v>1.22</v>
      </c>
      <c r="C3" s="52">
        <v>273.39999999999998</v>
      </c>
      <c r="D3" s="53">
        <v>1.37</v>
      </c>
    </row>
    <row r="4" spans="1:4" x14ac:dyDescent="0.35">
      <c r="A4" s="11">
        <v>274.60000000000002</v>
      </c>
      <c r="B4" s="12">
        <v>1.54</v>
      </c>
      <c r="C4" s="11">
        <v>274.10000000000002</v>
      </c>
      <c r="D4" s="12">
        <v>1.53</v>
      </c>
    </row>
    <row r="5" spans="1:4" x14ac:dyDescent="0.35">
      <c r="A5" s="11">
        <v>278.3</v>
      </c>
      <c r="B5" s="12">
        <v>2.42</v>
      </c>
      <c r="C5" s="11">
        <v>276.7</v>
      </c>
      <c r="D5" s="12">
        <v>1.89</v>
      </c>
    </row>
    <row r="6" spans="1:4" x14ac:dyDescent="0.35">
      <c r="A6" s="11">
        <v>279.39999999999998</v>
      </c>
      <c r="B6" s="12">
        <v>2.89</v>
      </c>
      <c r="C6" s="11">
        <v>279.10000000000002</v>
      </c>
      <c r="D6" s="12">
        <v>3.09</v>
      </c>
    </row>
    <row r="7" spans="1:4" ht="15" thickBot="1" x14ac:dyDescent="0.4">
      <c r="A7" s="54">
        <v>280.2</v>
      </c>
      <c r="B7" s="55">
        <v>2.95</v>
      </c>
      <c r="C7" s="69"/>
      <c r="D7" s="70"/>
    </row>
    <row r="8" spans="1:4" ht="15" thickBot="1" x14ac:dyDescent="0.4"/>
    <row r="9" spans="1:4" ht="15" thickBot="1" x14ac:dyDescent="0.4">
      <c r="A9" s="175" t="s">
        <v>49</v>
      </c>
      <c r="B9" s="176"/>
      <c r="C9" s="177" t="s">
        <v>50</v>
      </c>
      <c r="D9" s="178"/>
    </row>
    <row r="10" spans="1:4" ht="15" thickBot="1" x14ac:dyDescent="0.4">
      <c r="A10" s="104" t="s">
        <v>34</v>
      </c>
      <c r="B10" s="105" t="s">
        <v>35</v>
      </c>
      <c r="C10" s="99" t="s">
        <v>34</v>
      </c>
      <c r="D10" s="105" t="s">
        <v>35</v>
      </c>
    </row>
    <row r="11" spans="1:4" x14ac:dyDescent="0.35">
      <c r="A11" s="52">
        <v>273.10000000000002</v>
      </c>
      <c r="B11" s="53">
        <v>1.5211638610312583</v>
      </c>
      <c r="C11" s="52">
        <v>273.39999999999998</v>
      </c>
      <c r="D11" s="53">
        <v>1.6559111813059388</v>
      </c>
    </row>
    <row r="12" spans="1:4" x14ac:dyDescent="0.35">
      <c r="A12" s="11">
        <v>274.60000000000002</v>
      </c>
      <c r="B12" s="12">
        <v>1.7402113088478686</v>
      </c>
      <c r="C12" s="11">
        <v>274.10000000000002</v>
      </c>
      <c r="D12" s="12">
        <v>1.7643455060267172</v>
      </c>
    </row>
    <row r="13" spans="1:4" x14ac:dyDescent="0.35">
      <c r="A13" s="11">
        <v>278.3</v>
      </c>
      <c r="B13" s="12">
        <v>2.4181047894113883</v>
      </c>
      <c r="C13" s="11">
        <v>276.7</v>
      </c>
      <c r="D13" s="12">
        <v>2.2315024874826643</v>
      </c>
    </row>
    <row r="14" spans="1:4" x14ac:dyDescent="0.35">
      <c r="A14" s="11">
        <v>279.39999999999998</v>
      </c>
      <c r="B14" s="12">
        <v>2.6630449334062392</v>
      </c>
      <c r="C14" s="11">
        <v>279.10000000000002</v>
      </c>
      <c r="D14" s="12">
        <v>2.7669021396637969</v>
      </c>
    </row>
    <row r="15" spans="1:4" ht="15" thickBot="1" x14ac:dyDescent="0.4">
      <c r="A15" s="54">
        <v>280.2</v>
      </c>
      <c r="B15" s="55">
        <v>2.8549590885607867</v>
      </c>
      <c r="C15" s="69"/>
      <c r="D15" s="70"/>
    </row>
    <row r="17" spans="2:4" x14ac:dyDescent="0.35">
      <c r="B17">
        <f>ABS(B3-B11)/B3</f>
        <v>0.24685562379611342</v>
      </c>
      <c r="D17">
        <f>ABS(D3-D11)/D3</f>
        <v>0.20869429292404285</v>
      </c>
    </row>
    <row r="18" spans="2:4" x14ac:dyDescent="0.35">
      <c r="B18">
        <f t="shared" ref="B18:D21" si="0">ABS(B4-B12)/B4</f>
        <v>0.13000734340770684</v>
      </c>
      <c r="D18">
        <f t="shared" si="0"/>
        <v>0.15316699740308315</v>
      </c>
    </row>
    <row r="19" spans="2:4" x14ac:dyDescent="0.35">
      <c r="B19">
        <f t="shared" si="0"/>
        <v>7.83144871327124E-4</v>
      </c>
      <c r="D19">
        <f t="shared" si="0"/>
        <v>0.18068914681622458</v>
      </c>
    </row>
    <row r="20" spans="2:4" x14ac:dyDescent="0.35">
      <c r="B20">
        <f t="shared" si="0"/>
        <v>7.8531164911335966E-2</v>
      </c>
      <c r="D20">
        <f t="shared" si="0"/>
        <v>0.10456241434828574</v>
      </c>
    </row>
    <row r="21" spans="2:4" x14ac:dyDescent="0.35">
      <c r="B21">
        <f t="shared" si="0"/>
        <v>3.2217258114987608E-2</v>
      </c>
    </row>
    <row r="23" spans="2:4" x14ac:dyDescent="0.35">
      <c r="B23">
        <f>SUM(B17:B21)/5</f>
        <v>9.7678907020294192E-2</v>
      </c>
      <c r="D23">
        <f>SUM(D17:D21)/4</f>
        <v>0.16177821287290908</v>
      </c>
    </row>
    <row r="25" spans="2:4" x14ac:dyDescent="0.35">
      <c r="C25">
        <f>SUM(B17:B21,D17:D20)/9</f>
        <v>0.12616748739923414</v>
      </c>
    </row>
  </sheetData>
  <mergeCells count="4">
    <mergeCell ref="A1:B1"/>
    <mergeCell ref="C1:D1"/>
    <mergeCell ref="A9:B9"/>
    <mergeCell ref="C9:D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6" workbookViewId="0">
      <selection activeCell="F34" sqref="F34"/>
    </sheetView>
  </sheetViews>
  <sheetFormatPr defaultRowHeight="14.5" x14ac:dyDescent="0.35"/>
  <cols>
    <col min="2" max="2" width="10.453125" bestFit="1" customWidth="1"/>
    <col min="4" max="4" width="10.453125" bestFit="1" customWidth="1"/>
    <col min="6" max="6" width="10.453125" bestFit="1" customWidth="1"/>
  </cols>
  <sheetData>
    <row r="1" spans="1:6" ht="15" thickBot="1" x14ac:dyDescent="0.4">
      <c r="A1" s="175" t="s">
        <v>51</v>
      </c>
      <c r="B1" s="176"/>
      <c r="C1" s="177" t="s">
        <v>52</v>
      </c>
      <c r="D1" s="178"/>
      <c r="E1" s="177" t="s">
        <v>53</v>
      </c>
      <c r="F1" s="178"/>
    </row>
    <row r="2" spans="1:6" ht="15" thickBot="1" x14ac:dyDescent="0.4">
      <c r="A2" s="104" t="s">
        <v>34</v>
      </c>
      <c r="B2" s="105" t="s">
        <v>36</v>
      </c>
      <c r="C2" s="99" t="s">
        <v>34</v>
      </c>
      <c r="D2" s="105" t="s">
        <v>36</v>
      </c>
      <c r="E2" s="99" t="s">
        <v>34</v>
      </c>
      <c r="F2" s="105" t="s">
        <v>36</v>
      </c>
    </row>
    <row r="3" spans="1:6" x14ac:dyDescent="0.35">
      <c r="A3" s="52">
        <v>273.39999999999998</v>
      </c>
      <c r="B3" s="53">
        <v>12.02</v>
      </c>
      <c r="C3" s="52">
        <v>273.5</v>
      </c>
      <c r="D3" s="53">
        <v>7.24</v>
      </c>
      <c r="E3" s="52">
        <v>273.60000000000002</v>
      </c>
      <c r="F3" s="53">
        <v>5.28</v>
      </c>
    </row>
    <row r="4" spans="1:6" x14ac:dyDescent="0.35">
      <c r="A4" s="11">
        <v>274.5</v>
      </c>
      <c r="B4" s="12">
        <v>13.43</v>
      </c>
      <c r="C4" s="11">
        <v>274.39999999999998</v>
      </c>
      <c r="D4" s="12">
        <v>8.23</v>
      </c>
      <c r="E4" s="11">
        <v>274.8</v>
      </c>
      <c r="F4" s="12">
        <v>6.42</v>
      </c>
    </row>
    <row r="5" spans="1:6" x14ac:dyDescent="0.35">
      <c r="A5" s="11">
        <v>275.3</v>
      </c>
      <c r="B5" s="12">
        <v>14.71</v>
      </c>
      <c r="C5" s="11">
        <v>275.5</v>
      </c>
      <c r="D5" s="12">
        <v>9.7200000000000006</v>
      </c>
      <c r="E5" s="11">
        <v>275.89999999999998</v>
      </c>
      <c r="F5" s="12">
        <v>7.29</v>
      </c>
    </row>
    <row r="6" spans="1:6" x14ac:dyDescent="0.35">
      <c r="A6" s="11">
        <v>275.8</v>
      </c>
      <c r="B6" s="12">
        <v>15.62</v>
      </c>
      <c r="C6" s="11">
        <v>276.3</v>
      </c>
      <c r="D6" s="12">
        <v>11.03</v>
      </c>
      <c r="E6" s="11">
        <v>276.8</v>
      </c>
      <c r="F6" s="12">
        <v>8.43</v>
      </c>
    </row>
    <row r="7" spans="1:6" x14ac:dyDescent="0.35">
      <c r="A7" s="11">
        <v>276.8</v>
      </c>
      <c r="B7" s="12">
        <v>17.53</v>
      </c>
      <c r="C7" s="11">
        <v>276.8</v>
      </c>
      <c r="D7" s="12">
        <v>11.84</v>
      </c>
      <c r="E7" s="11">
        <v>277.60000000000002</v>
      </c>
      <c r="F7" s="12">
        <v>9.39</v>
      </c>
    </row>
    <row r="8" spans="1:6" ht="15" thickBot="1" x14ac:dyDescent="0.4">
      <c r="A8" s="69"/>
      <c r="B8" s="70"/>
      <c r="C8" s="54">
        <v>277.39999999999998</v>
      </c>
      <c r="D8" s="55">
        <v>12.91</v>
      </c>
      <c r="E8" s="54">
        <v>278.39999999999998</v>
      </c>
      <c r="F8" s="55">
        <v>10.43</v>
      </c>
    </row>
    <row r="9" spans="1:6" ht="15" thickBot="1" x14ac:dyDescent="0.4"/>
    <row r="10" spans="1:6" ht="15" thickBot="1" x14ac:dyDescent="0.4">
      <c r="A10" s="175" t="s">
        <v>51</v>
      </c>
      <c r="B10" s="176"/>
      <c r="C10" s="177" t="s">
        <v>52</v>
      </c>
      <c r="D10" s="178"/>
      <c r="E10" s="177" t="s">
        <v>53</v>
      </c>
      <c r="F10" s="178"/>
    </row>
    <row r="11" spans="1:6" ht="15" thickBot="1" x14ac:dyDescent="0.4">
      <c r="A11" s="104" t="s">
        <v>34</v>
      </c>
      <c r="B11" s="105" t="s">
        <v>35</v>
      </c>
      <c r="C11" s="99" t="s">
        <v>34</v>
      </c>
      <c r="D11" s="105" t="s">
        <v>35</v>
      </c>
      <c r="E11" s="99" t="s">
        <v>34</v>
      </c>
      <c r="F11" s="105" t="s">
        <v>35</v>
      </c>
    </row>
    <row r="12" spans="1:6" x14ac:dyDescent="0.35">
      <c r="A12" s="52">
        <v>273.39999999999998</v>
      </c>
      <c r="B12" s="53">
        <v>10.504613199518285</v>
      </c>
      <c r="C12" s="52">
        <v>273.5</v>
      </c>
      <c r="D12" s="53">
        <v>7.1585788364649066</v>
      </c>
      <c r="E12" s="52">
        <v>273.60000000000002</v>
      </c>
      <c r="F12" s="53">
        <v>5.5468531497490137</v>
      </c>
    </row>
    <row r="13" spans="1:6" x14ac:dyDescent="0.35">
      <c r="A13" s="11">
        <v>274.5</v>
      </c>
      <c r="B13" s="12">
        <v>12.000951685128262</v>
      </c>
      <c r="C13" s="11">
        <v>274.39999999999998</v>
      </c>
      <c r="D13" s="12">
        <v>7.9260152018729872</v>
      </c>
      <c r="E13" s="11">
        <v>274.8</v>
      </c>
      <c r="F13" s="12">
        <v>6.3218186945814185</v>
      </c>
    </row>
    <row r="14" spans="1:6" x14ac:dyDescent="0.35">
      <c r="A14" s="11">
        <v>275.3</v>
      </c>
      <c r="B14" s="12">
        <v>13.282596248787508</v>
      </c>
      <c r="C14" s="11">
        <v>275.5</v>
      </c>
      <c r="D14" s="12">
        <v>9.0140514946169308</v>
      </c>
      <c r="E14" s="11">
        <v>275.89999999999998</v>
      </c>
      <c r="F14" s="12">
        <v>7.1521389482219728</v>
      </c>
    </row>
    <row r="15" spans="1:6" x14ac:dyDescent="0.35">
      <c r="A15" s="11">
        <v>275.8</v>
      </c>
      <c r="B15" s="12">
        <v>14.18693349917417</v>
      </c>
      <c r="C15" s="11">
        <v>276.3</v>
      </c>
      <c r="D15" s="12">
        <v>9.933942804370874</v>
      </c>
      <c r="E15" s="11">
        <v>276.8</v>
      </c>
      <c r="F15" s="12">
        <v>7.9374332681637156</v>
      </c>
    </row>
    <row r="16" spans="1:6" x14ac:dyDescent="0.35">
      <c r="A16" s="11">
        <v>276.8</v>
      </c>
      <c r="B16" s="12">
        <v>16.29983634280293</v>
      </c>
      <c r="C16" s="11">
        <v>276.8</v>
      </c>
      <c r="D16" s="12">
        <v>10.576117924766816</v>
      </c>
      <c r="E16" s="11">
        <v>277.60000000000002</v>
      </c>
      <c r="F16" s="12">
        <v>8.7342812118320694</v>
      </c>
    </row>
    <row r="17" spans="1:6" ht="15" thickBot="1" x14ac:dyDescent="0.4">
      <c r="A17" s="69"/>
      <c r="B17" s="70"/>
      <c r="C17" s="54">
        <v>277.39999999999998</v>
      </c>
      <c r="D17" s="55">
        <v>11.428194504982937</v>
      </c>
      <c r="E17" s="54">
        <v>278.39999999999998</v>
      </c>
      <c r="F17" s="55">
        <v>9.64594287043092</v>
      </c>
    </row>
    <row r="19" spans="1:6" x14ac:dyDescent="0.35">
      <c r="B19">
        <f>ABS(B3-B12)/B3</f>
        <v>0.1260721131848348</v>
      </c>
      <c r="D19">
        <f>ABS(D3-D12)/D3</f>
        <v>1.124601706285824E-2</v>
      </c>
      <c r="F19">
        <f t="shared" ref="F19:F24" si="0">ABS(F3-F12)/F3</f>
        <v>5.0540369270646479E-2</v>
      </c>
    </row>
    <row r="20" spans="1:6" x14ac:dyDescent="0.35">
      <c r="B20">
        <f t="shared" ref="B20:D24" si="1">ABS(B4-B13)/B4</f>
        <v>0.10640717162112714</v>
      </c>
      <c r="D20">
        <f t="shared" si="1"/>
        <v>3.6936184462577543E-2</v>
      </c>
      <c r="F20">
        <f t="shared" si="0"/>
        <v>1.5293038227193363E-2</v>
      </c>
    </row>
    <row r="21" spans="1:6" x14ac:dyDescent="0.35">
      <c r="B21">
        <f t="shared" si="1"/>
        <v>9.7036284922671176E-2</v>
      </c>
      <c r="D21">
        <f t="shared" si="1"/>
        <v>7.2628447055871376E-2</v>
      </c>
      <c r="F21">
        <f t="shared" si="0"/>
        <v>1.8910981039509906E-2</v>
      </c>
    </row>
    <row r="22" spans="1:6" x14ac:dyDescent="0.35">
      <c r="B22">
        <f t="shared" si="1"/>
        <v>9.174561464954091E-2</v>
      </c>
      <c r="D22">
        <f t="shared" si="1"/>
        <v>9.9370552640899862E-2</v>
      </c>
      <c r="F22">
        <f t="shared" si="0"/>
        <v>5.8430217299677831E-2</v>
      </c>
    </row>
    <row r="23" spans="1:6" x14ac:dyDescent="0.35">
      <c r="B23">
        <f t="shared" si="1"/>
        <v>7.0174766525788426E-2</v>
      </c>
      <c r="D23">
        <f t="shared" si="1"/>
        <v>0.10674679689469459</v>
      </c>
      <c r="F23">
        <f t="shared" si="0"/>
        <v>6.983160683364549E-2</v>
      </c>
    </row>
    <row r="24" spans="1:6" x14ac:dyDescent="0.35">
      <c r="D24">
        <f t="shared" si="1"/>
        <v>0.11477966653888949</v>
      </c>
      <c r="F24">
        <f t="shared" si="0"/>
        <v>7.5173262662423745E-2</v>
      </c>
    </row>
    <row r="26" spans="1:6" x14ac:dyDescent="0.35">
      <c r="B26">
        <f>SUM(B19:B23)/5</f>
        <v>9.8287190180792489E-2</v>
      </c>
      <c r="D26">
        <f>SUM(D19:D24)/6</f>
        <v>7.3617944109298519E-2</v>
      </c>
      <c r="F26">
        <f>SUM(F19:F24)/6</f>
        <v>4.8029912555516134E-2</v>
      </c>
    </row>
    <row r="28" spans="1:6" x14ac:dyDescent="0.35">
      <c r="D28">
        <f>SUM(B19:B23,D19:D24,F19:F24)/17</f>
        <v>7.1842534758402965E-2</v>
      </c>
    </row>
  </sheetData>
  <mergeCells count="6">
    <mergeCell ref="A1:B1"/>
    <mergeCell ref="C1:D1"/>
    <mergeCell ref="E1:F1"/>
    <mergeCell ref="A10:B10"/>
    <mergeCell ref="C10:D10"/>
    <mergeCell ref="E10:F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13" sqref="O13"/>
    </sheetView>
  </sheetViews>
  <sheetFormatPr defaultRowHeight="14.5" x14ac:dyDescent="0.35"/>
  <cols>
    <col min="1" max="1" width="6.453125" bestFit="1" customWidth="1"/>
    <col min="2" max="2" width="10.453125" bestFit="1" customWidth="1"/>
    <col min="3" max="3" width="6.453125" bestFit="1" customWidth="1"/>
    <col min="4" max="4" width="10.453125" bestFit="1" customWidth="1"/>
    <col min="5" max="5" width="6.453125" bestFit="1" customWidth="1"/>
    <col min="6" max="6" width="10.453125" bestFit="1" customWidth="1"/>
  </cols>
  <sheetData>
    <row r="1" spans="1:4" ht="15" thickBot="1" x14ac:dyDescent="0.4">
      <c r="A1" s="177" t="s">
        <v>54</v>
      </c>
      <c r="B1" s="178"/>
      <c r="C1" s="177" t="s">
        <v>55</v>
      </c>
      <c r="D1" s="178"/>
    </row>
    <row r="2" spans="1:4" ht="15" thickBot="1" x14ac:dyDescent="0.4">
      <c r="A2" s="99" t="s">
        <v>43</v>
      </c>
      <c r="B2" s="100" t="s">
        <v>36</v>
      </c>
      <c r="C2" s="99" t="s">
        <v>43</v>
      </c>
      <c r="D2" s="100" t="s">
        <v>36</v>
      </c>
    </row>
    <row r="3" spans="1:4" x14ac:dyDescent="0.35">
      <c r="A3" s="109">
        <v>1</v>
      </c>
      <c r="B3" s="110">
        <v>1.6</v>
      </c>
      <c r="C3" s="53">
        <v>0.8</v>
      </c>
      <c r="D3" s="53">
        <v>4</v>
      </c>
    </row>
    <row r="4" spans="1:4" x14ac:dyDescent="0.35">
      <c r="A4" s="111">
        <v>0.8</v>
      </c>
      <c r="B4" s="108">
        <v>2.2000000000000002</v>
      </c>
      <c r="C4" s="12">
        <v>0.5</v>
      </c>
      <c r="D4" s="12">
        <v>7.8</v>
      </c>
    </row>
    <row r="5" spans="1:4" x14ac:dyDescent="0.35">
      <c r="A5" s="111">
        <v>0.5</v>
      </c>
      <c r="B5" s="108">
        <v>3.4</v>
      </c>
      <c r="C5" s="12">
        <v>0.20999999999999996</v>
      </c>
      <c r="D5" s="12">
        <v>16</v>
      </c>
    </row>
    <row r="6" spans="1:4" x14ac:dyDescent="0.35">
      <c r="A6" s="111">
        <v>0.5</v>
      </c>
      <c r="B6" s="108">
        <v>3.6</v>
      </c>
      <c r="C6" s="12">
        <v>0.20999999999999996</v>
      </c>
      <c r="D6" s="12">
        <v>16.7</v>
      </c>
    </row>
    <row r="7" spans="1:4" x14ac:dyDescent="0.35">
      <c r="A7" s="111">
        <v>0.5</v>
      </c>
      <c r="B7" s="108">
        <v>4</v>
      </c>
      <c r="C7" s="12"/>
      <c r="D7" s="12"/>
    </row>
    <row r="8" spans="1:4" x14ac:dyDescent="0.35">
      <c r="A8" s="111">
        <v>0.20999999999999996</v>
      </c>
      <c r="B8" s="108">
        <v>7.7</v>
      </c>
      <c r="C8" s="12"/>
      <c r="D8" s="12"/>
    </row>
    <row r="9" spans="1:4" ht="15" thickBot="1" x14ac:dyDescent="0.4">
      <c r="A9" s="98">
        <v>0</v>
      </c>
      <c r="B9" s="55">
        <v>20.100000000000001</v>
      </c>
      <c r="C9" s="55"/>
      <c r="D9" s="55"/>
    </row>
    <row r="10" spans="1:4" ht="15" thickBot="1" x14ac:dyDescent="0.4"/>
    <row r="11" spans="1:4" ht="15" thickBot="1" x14ac:dyDescent="0.4">
      <c r="A11" s="177" t="s">
        <v>56</v>
      </c>
      <c r="B11" s="178"/>
      <c r="C11" s="177" t="s">
        <v>55</v>
      </c>
      <c r="D11" s="178"/>
    </row>
    <row r="12" spans="1:4" ht="15" thickBot="1" x14ac:dyDescent="0.4">
      <c r="A12" s="99" t="s">
        <v>43</v>
      </c>
      <c r="B12" s="100" t="s">
        <v>35</v>
      </c>
      <c r="C12" s="99" t="s">
        <v>43</v>
      </c>
      <c r="D12" s="100" t="s">
        <v>35</v>
      </c>
    </row>
    <row r="13" spans="1:4" x14ac:dyDescent="0.35">
      <c r="A13" s="101">
        <v>1</v>
      </c>
      <c r="B13" s="12">
        <v>1.7872024662941191</v>
      </c>
      <c r="C13" s="101">
        <v>0.8</v>
      </c>
      <c r="D13" s="12">
        <v>3.791125918690299</v>
      </c>
    </row>
    <row r="14" spans="1:4" x14ac:dyDescent="0.35">
      <c r="A14" s="102">
        <v>0.8</v>
      </c>
      <c r="B14" s="12">
        <v>2.2388996226171982</v>
      </c>
      <c r="C14" s="102">
        <v>0.5</v>
      </c>
      <c r="D14" s="12">
        <v>6.5056465810555411</v>
      </c>
    </row>
    <row r="15" spans="1:4" x14ac:dyDescent="0.35">
      <c r="A15" s="102">
        <v>0.5</v>
      </c>
      <c r="B15" s="12">
        <v>3.5539301782696526</v>
      </c>
      <c r="C15" s="102">
        <v>0.20999999999999996</v>
      </c>
      <c r="D15" s="12">
        <v>17.199345053066246</v>
      </c>
    </row>
    <row r="16" spans="1:4" x14ac:dyDescent="0.35">
      <c r="A16" s="102">
        <v>0.5</v>
      </c>
      <c r="B16" s="12">
        <v>3.5896880855865176</v>
      </c>
      <c r="C16" s="102">
        <v>0.20999999999999996</v>
      </c>
      <c r="D16" s="12">
        <v>17.199345052566535</v>
      </c>
    </row>
    <row r="17" spans="1:9" x14ac:dyDescent="0.35">
      <c r="A17" s="102">
        <v>0.5</v>
      </c>
      <c r="B17" s="12">
        <v>3.5185616414162277</v>
      </c>
      <c r="C17" s="102"/>
      <c r="D17" s="12"/>
    </row>
    <row r="18" spans="1:9" x14ac:dyDescent="0.35">
      <c r="A18" s="102">
        <v>0.20999999999999996</v>
      </c>
      <c r="B18" s="12">
        <v>7.8606511308874172</v>
      </c>
      <c r="C18" s="102"/>
      <c r="D18" s="12"/>
    </row>
    <row r="19" spans="1:9" x14ac:dyDescent="0.35">
      <c r="A19" s="102">
        <v>0</v>
      </c>
      <c r="B19" s="12">
        <v>22.382038792266485</v>
      </c>
      <c r="C19" s="102"/>
      <c r="D19" s="12"/>
    </row>
    <row r="20" spans="1:9" x14ac:dyDescent="0.35">
      <c r="A20" s="102"/>
      <c r="B20" s="12"/>
      <c r="C20" s="102"/>
      <c r="D20" s="12"/>
      <c r="G20">
        <f>ABS(B3-B13)/B3</f>
        <v>0.11700154143382435</v>
      </c>
      <c r="I20">
        <f>ABS(D3-D13)/D3</f>
        <v>5.2218520327425244E-2</v>
      </c>
    </row>
    <row r="21" spans="1:9" ht="15" thickBot="1" x14ac:dyDescent="0.4">
      <c r="A21" s="103"/>
      <c r="B21" s="55"/>
      <c r="C21" s="23"/>
      <c r="D21" s="70"/>
      <c r="G21">
        <f t="shared" ref="G21:I26" si="0">ABS(B4-B14)/B4</f>
        <v>1.7681646644180926E-2</v>
      </c>
      <c r="I21">
        <f t="shared" si="0"/>
        <v>0.16594274601852035</v>
      </c>
    </row>
    <row r="22" spans="1:9" x14ac:dyDescent="0.35">
      <c r="G22">
        <f t="shared" si="0"/>
        <v>4.5273581844015504E-2</v>
      </c>
      <c r="I22">
        <f t="shared" si="0"/>
        <v>7.4959065816640358E-2</v>
      </c>
    </row>
    <row r="23" spans="1:9" x14ac:dyDescent="0.35">
      <c r="G23">
        <f t="shared" si="0"/>
        <v>2.8644206704117911E-3</v>
      </c>
      <c r="I23">
        <f t="shared" si="0"/>
        <v>2.9900901351289578E-2</v>
      </c>
    </row>
    <row r="24" spans="1:9" x14ac:dyDescent="0.35">
      <c r="G24">
        <f t="shared" si="0"/>
        <v>0.12035958964594307</v>
      </c>
    </row>
    <row r="25" spans="1:9" x14ac:dyDescent="0.35">
      <c r="G25">
        <f t="shared" si="0"/>
        <v>2.0863783232132078E-2</v>
      </c>
    </row>
    <row r="26" spans="1:9" x14ac:dyDescent="0.35">
      <c r="G26">
        <f t="shared" si="0"/>
        <v>0.11353426827196435</v>
      </c>
    </row>
    <row r="28" spans="1:9" x14ac:dyDescent="0.35">
      <c r="G28">
        <f>SUM(G20:G26)/7</f>
        <v>6.2511261677496002E-2</v>
      </c>
      <c r="I28">
        <f>SUM(I20:I23)/4</f>
        <v>8.0755308378468879E-2</v>
      </c>
    </row>
  </sheetData>
  <mergeCells count="4">
    <mergeCell ref="A1:B1"/>
    <mergeCell ref="C1:D1"/>
    <mergeCell ref="A11:B11"/>
    <mergeCell ref="C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pure CO2</vt:lpstr>
      <vt:lpstr>pure N2</vt:lpstr>
      <vt:lpstr>Kang1</vt:lpstr>
      <vt:lpstr>Kang2</vt:lpstr>
      <vt:lpstr>Kang3</vt:lpstr>
      <vt:lpstr>Fan-Guo</vt:lpstr>
      <vt:lpstr>Sun</vt:lpstr>
      <vt:lpstr>Bruusgaard</vt:lpstr>
      <vt:lpstr>Olsen</vt:lpstr>
      <vt:lpstr>Sadeq</vt:lpstr>
      <vt:lpstr>Lee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2018-10-26T12:30:29Z</dcterms:modified>
</cp:coreProperties>
</file>