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vlad/Desktop/Пары/Эконометрика/Лаб 1/"/>
    </mc:Choice>
  </mc:AlternateContent>
  <xr:revisionPtr revIDLastSave="0" documentId="13_ncr:1_{D99C3975-7A9D-2F4B-BA1C-E22622D38599}" xr6:coauthVersionLast="47" xr6:coauthVersionMax="47" xr10:uidLastSave="{00000000-0000-0000-0000-000000000000}"/>
  <bookViews>
    <workbookView xWindow="0" yWindow="740" windowWidth="30240" windowHeight="18900" activeTab="1" xr2:uid="{79152B36-EEFD-4D2A-9978-CD2F7CDA24C5}"/>
  </bookViews>
  <sheets>
    <sheet name="ИД" sheetId="1" r:id="rId1"/>
    <sheet name="Поле Корреляции" sheetId="4" r:id="rId2"/>
    <sheet name="Линейная регрессия" sheetId="5" r:id="rId3"/>
    <sheet name="П.А. Линейная" sheetId="22" r:id="rId4"/>
    <sheet name="Степенная регрессия" sheetId="7" r:id="rId5"/>
    <sheet name="П.А. Степенная" sheetId="23" r:id="rId6"/>
    <sheet name="Экспоненциальная регрессия " sheetId="10" r:id="rId7"/>
    <sheet name="ПА Экспоненциальная" sheetId="24" r:id="rId8"/>
    <sheet name="Логарифмическая регрессия" sheetId="13" r:id="rId9"/>
    <sheet name="ПА Логарифмическая" sheetId="25" r:id="rId10"/>
    <sheet name="Вывод" sheetId="2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5" i="7" l="1"/>
  <c r="G83" i="7"/>
  <c r="G79" i="7"/>
  <c r="G77" i="7"/>
  <c r="D95" i="7"/>
  <c r="D93" i="7"/>
  <c r="D83" i="7"/>
  <c r="D85" i="7" s="1"/>
  <c r="D81" i="7"/>
  <c r="D80" i="7"/>
  <c r="J2" i="5"/>
  <c r="D77" i="7"/>
  <c r="D75" i="7"/>
  <c r="D28" i="7"/>
  <c r="C29" i="10"/>
  <c r="C32" i="10"/>
  <c r="D88" i="7" l="1"/>
  <c r="O3" i="13"/>
  <c r="O4" i="13"/>
  <c r="O5" i="13"/>
  <c r="O6" i="13"/>
  <c r="O7" i="13"/>
  <c r="O8" i="13"/>
  <c r="O9" i="13"/>
  <c r="O10" i="13"/>
  <c r="O11" i="13"/>
  <c r="O12" i="13"/>
  <c r="O13" i="13"/>
  <c r="O2" i="13"/>
  <c r="D49" i="10" l="1"/>
  <c r="O3" i="10"/>
  <c r="O4" i="10"/>
  <c r="O5" i="10"/>
  <c r="O6" i="10"/>
  <c r="O7" i="10"/>
  <c r="O8" i="10"/>
  <c r="O9" i="10"/>
  <c r="O10" i="10"/>
  <c r="O11" i="10"/>
  <c r="O12" i="10"/>
  <c r="O13" i="10"/>
  <c r="O2" i="10"/>
  <c r="D36" i="7"/>
  <c r="C34" i="13"/>
  <c r="C35" i="13" s="1"/>
  <c r="D17" i="13"/>
  <c r="D16" i="13"/>
  <c r="Q14" i="7"/>
  <c r="L14" i="7"/>
  <c r="L2" i="7"/>
  <c r="M2" i="7"/>
  <c r="D41" i="7"/>
  <c r="O3" i="7"/>
  <c r="O4" i="7"/>
  <c r="O5" i="7"/>
  <c r="O6" i="7"/>
  <c r="O7" i="7"/>
  <c r="O8" i="7"/>
  <c r="O9" i="7"/>
  <c r="O10" i="7"/>
  <c r="O11" i="7"/>
  <c r="O12" i="7"/>
  <c r="O13" i="7"/>
  <c r="O2" i="7"/>
  <c r="C16" i="5"/>
  <c r="G3" i="5"/>
  <c r="G4" i="5"/>
  <c r="G5" i="5"/>
  <c r="G6" i="5"/>
  <c r="G7" i="5"/>
  <c r="G8" i="5"/>
  <c r="G9" i="5"/>
  <c r="G10" i="5"/>
  <c r="G11" i="5"/>
  <c r="G12" i="5"/>
  <c r="G13" i="5"/>
  <c r="G2" i="5"/>
  <c r="H2" i="5"/>
  <c r="E3" i="13" l="1"/>
  <c r="E4" i="13"/>
  <c r="E5" i="13"/>
  <c r="E6" i="13"/>
  <c r="E7" i="13"/>
  <c r="E8" i="13"/>
  <c r="E9" i="13"/>
  <c r="E10" i="13"/>
  <c r="E11" i="13"/>
  <c r="E12" i="13"/>
  <c r="E13" i="13"/>
  <c r="E2" i="13"/>
  <c r="D3" i="13"/>
  <c r="D4" i="13"/>
  <c r="D5" i="13"/>
  <c r="D6" i="13"/>
  <c r="D7" i="13"/>
  <c r="D8" i="13"/>
  <c r="D9" i="13"/>
  <c r="D10" i="13"/>
  <c r="D11" i="13"/>
  <c r="D12" i="13"/>
  <c r="D13" i="13"/>
  <c r="D2" i="13"/>
  <c r="E3" i="10" l="1"/>
  <c r="E4" i="10"/>
  <c r="E5" i="10"/>
  <c r="E6" i="10"/>
  <c r="E7" i="10"/>
  <c r="E8" i="10"/>
  <c r="E9" i="10"/>
  <c r="E10" i="10"/>
  <c r="E11" i="10"/>
  <c r="E12" i="10"/>
  <c r="E13" i="10"/>
  <c r="E2" i="10"/>
  <c r="D3" i="10"/>
  <c r="D4" i="10"/>
  <c r="D5" i="10"/>
  <c r="D6" i="10"/>
  <c r="D7" i="10"/>
  <c r="D8" i="10"/>
  <c r="D9" i="10"/>
  <c r="D10" i="10"/>
  <c r="D11" i="10"/>
  <c r="D12" i="10"/>
  <c r="D13" i="10"/>
  <c r="D2" i="10"/>
  <c r="D2" i="7"/>
  <c r="D4" i="7"/>
  <c r="F3" i="13" l="1"/>
  <c r="F4" i="13"/>
  <c r="F5" i="13"/>
  <c r="F6" i="13"/>
  <c r="F7" i="13"/>
  <c r="F8" i="13"/>
  <c r="F9" i="13"/>
  <c r="F10" i="13"/>
  <c r="F11" i="13"/>
  <c r="F12" i="13"/>
  <c r="F13" i="13"/>
  <c r="F2" i="13"/>
  <c r="F14" i="13" s="1"/>
  <c r="G3" i="13"/>
  <c r="G4" i="13"/>
  <c r="G5" i="13"/>
  <c r="G6" i="13"/>
  <c r="G7" i="13"/>
  <c r="G8" i="13"/>
  <c r="G9" i="13"/>
  <c r="G10" i="13"/>
  <c r="G11" i="13"/>
  <c r="G12" i="13"/>
  <c r="G13" i="13"/>
  <c r="G2" i="13"/>
  <c r="H3" i="13"/>
  <c r="H4" i="13"/>
  <c r="H5" i="13"/>
  <c r="H6" i="13"/>
  <c r="H7" i="13"/>
  <c r="H8" i="13"/>
  <c r="H9" i="13"/>
  <c r="H10" i="13"/>
  <c r="H11" i="13"/>
  <c r="H12" i="13"/>
  <c r="H13" i="13"/>
  <c r="H2" i="13"/>
  <c r="C15" i="13"/>
  <c r="L11" i="13" s="1"/>
  <c r="M11" i="13" s="1"/>
  <c r="B15" i="13"/>
  <c r="C14" i="13"/>
  <c r="B14" i="13"/>
  <c r="L9" i="13"/>
  <c r="M9" i="13" s="1"/>
  <c r="L4" i="13"/>
  <c r="M4" i="13" s="1"/>
  <c r="L2" i="13"/>
  <c r="E14" i="13"/>
  <c r="M2" i="13" l="1"/>
  <c r="F15" i="13"/>
  <c r="L5" i="13"/>
  <c r="M5" i="13" s="1"/>
  <c r="L7" i="13"/>
  <c r="M7" i="13" s="1"/>
  <c r="E15" i="13"/>
  <c r="L10" i="13"/>
  <c r="M10" i="13" s="1"/>
  <c r="L3" i="13"/>
  <c r="M3" i="13" s="1"/>
  <c r="D14" i="13"/>
  <c r="L8" i="13"/>
  <c r="M8" i="13" s="1"/>
  <c r="L13" i="13"/>
  <c r="M13" i="13" s="1"/>
  <c r="D15" i="13"/>
  <c r="L12" i="13"/>
  <c r="M12" i="13" s="1"/>
  <c r="L6" i="13"/>
  <c r="M6" i="13" s="1"/>
  <c r="L15" i="13" l="1"/>
  <c r="M14" i="13"/>
  <c r="M15" i="13"/>
  <c r="E17" i="13"/>
  <c r="E16" i="13" s="1"/>
  <c r="N2" i="13"/>
  <c r="N3" i="13"/>
  <c r="N6" i="13"/>
  <c r="N5" i="13"/>
  <c r="N4" i="13"/>
  <c r="N11" i="13"/>
  <c r="N7" i="13"/>
  <c r="N9" i="13"/>
  <c r="H14" i="13"/>
  <c r="G14" i="13"/>
  <c r="G15" i="13"/>
  <c r="N10" i="13"/>
  <c r="N12" i="13"/>
  <c r="H15" i="13"/>
  <c r="N8" i="13"/>
  <c r="L14" i="13"/>
  <c r="N13" i="13"/>
  <c r="N15" i="13" l="1"/>
  <c r="D25" i="13"/>
  <c r="N14" i="13"/>
  <c r="I12" i="13" l="1"/>
  <c r="J12" i="13" s="1"/>
  <c r="I13" i="13"/>
  <c r="C39" i="13"/>
  <c r="I2" i="13"/>
  <c r="J2" i="13" s="1"/>
  <c r="I5" i="13"/>
  <c r="J5" i="13" s="1"/>
  <c r="I3" i="13"/>
  <c r="J3" i="13" s="1"/>
  <c r="D28" i="13"/>
  <c r="J13" i="13"/>
  <c r="I11" i="13" l="1"/>
  <c r="J11" i="13" s="1"/>
  <c r="I10" i="13"/>
  <c r="J10" i="13" s="1"/>
  <c r="K10" i="13" s="1"/>
  <c r="I8" i="13"/>
  <c r="J8" i="13" s="1"/>
  <c r="K8" i="13" s="1"/>
  <c r="I9" i="13"/>
  <c r="J9" i="13" s="1"/>
  <c r="K9" i="13" s="1"/>
  <c r="I6" i="13"/>
  <c r="J6" i="13" s="1"/>
  <c r="K6" i="13" s="1"/>
  <c r="I4" i="13"/>
  <c r="J4" i="13" s="1"/>
  <c r="I7" i="13"/>
  <c r="J7" i="13" s="1"/>
  <c r="K2" i="13"/>
  <c r="K13" i="13"/>
  <c r="K3" i="13"/>
  <c r="K12" i="13"/>
  <c r="P10" i="13"/>
  <c r="Q10" i="13" s="1"/>
  <c r="P7" i="13"/>
  <c r="Q7" i="13" s="1"/>
  <c r="P9" i="13"/>
  <c r="Q9" i="13" s="1"/>
  <c r="P8" i="13"/>
  <c r="Q8" i="13" s="1"/>
  <c r="P4" i="13"/>
  <c r="Q4" i="13" s="1"/>
  <c r="P6" i="13"/>
  <c r="Q6" i="13" s="1"/>
  <c r="P2" i="13"/>
  <c r="P11" i="13"/>
  <c r="Q11" i="13" s="1"/>
  <c r="P12" i="13"/>
  <c r="Q12" i="13" s="1"/>
  <c r="P3" i="13"/>
  <c r="Q3" i="13" s="1"/>
  <c r="P13" i="13"/>
  <c r="Q13" i="13" s="1"/>
  <c r="P5" i="13"/>
  <c r="Q5" i="13" s="1"/>
  <c r="K5" i="13"/>
  <c r="K11" i="13"/>
  <c r="F3" i="10"/>
  <c r="F4" i="10"/>
  <c r="F5" i="10"/>
  <c r="F6" i="10"/>
  <c r="F7" i="10"/>
  <c r="F8" i="10"/>
  <c r="F9" i="10"/>
  <c r="F10" i="10"/>
  <c r="F11" i="10"/>
  <c r="F12" i="10"/>
  <c r="F13" i="10"/>
  <c r="F2" i="10"/>
  <c r="H3" i="10"/>
  <c r="H4" i="10"/>
  <c r="H5" i="10"/>
  <c r="H6" i="10"/>
  <c r="H7" i="10"/>
  <c r="H8" i="10"/>
  <c r="H9" i="10"/>
  <c r="H10" i="10"/>
  <c r="H11" i="10"/>
  <c r="H12" i="10"/>
  <c r="H13" i="10"/>
  <c r="H2" i="10"/>
  <c r="D14" i="10"/>
  <c r="C15" i="10"/>
  <c r="L11" i="10" s="1"/>
  <c r="M11" i="10" s="1"/>
  <c r="B15" i="10"/>
  <c r="C14" i="10"/>
  <c r="B14" i="10"/>
  <c r="G13" i="10"/>
  <c r="L12" i="10"/>
  <c r="M12" i="10" s="1"/>
  <c r="G11" i="10"/>
  <c r="G8" i="10"/>
  <c r="G7" i="10"/>
  <c r="L6" i="10"/>
  <c r="M6" i="10" s="1"/>
  <c r="G5" i="10"/>
  <c r="G4" i="10"/>
  <c r="E15" i="10"/>
  <c r="G2" i="10"/>
  <c r="J15" i="13" l="1"/>
  <c r="I15" i="13"/>
  <c r="K4" i="13"/>
  <c r="J14" i="13"/>
  <c r="P15" i="13"/>
  <c r="K15" i="13"/>
  <c r="I14" i="13"/>
  <c r="O15" i="13"/>
  <c r="C38" i="13" s="1"/>
  <c r="N3" i="10"/>
  <c r="N4" i="10"/>
  <c r="N5" i="10"/>
  <c r="N6" i="10"/>
  <c r="N7" i="10"/>
  <c r="N8" i="10"/>
  <c r="N13" i="10"/>
  <c r="N9" i="10"/>
  <c r="N10" i="10"/>
  <c r="N11" i="10"/>
  <c r="N12" i="10"/>
  <c r="N2" i="10"/>
  <c r="R6" i="10"/>
  <c r="R3" i="10"/>
  <c r="R7" i="10"/>
  <c r="R12" i="10"/>
  <c r="R8" i="10"/>
  <c r="R9" i="10"/>
  <c r="R11" i="10"/>
  <c r="R5" i="10"/>
  <c r="R10" i="10"/>
  <c r="R2" i="10"/>
  <c r="R13" i="10"/>
  <c r="R4" i="10"/>
  <c r="Q2" i="13"/>
  <c r="P14" i="13"/>
  <c r="K7" i="13"/>
  <c r="G3" i="10"/>
  <c r="G15" i="10" s="1"/>
  <c r="E17" i="10" s="1"/>
  <c r="E16" i="10" s="1"/>
  <c r="G9" i="10"/>
  <c r="D15" i="10"/>
  <c r="H14" i="10"/>
  <c r="L3" i="10"/>
  <c r="M3" i="10" s="1"/>
  <c r="H15" i="10"/>
  <c r="G6" i="10"/>
  <c r="G12" i="10"/>
  <c r="L7" i="10"/>
  <c r="M7" i="10" s="1"/>
  <c r="G10" i="10"/>
  <c r="L4" i="10"/>
  <c r="M4" i="10" s="1"/>
  <c r="L10" i="10"/>
  <c r="M10" i="10" s="1"/>
  <c r="L13" i="10"/>
  <c r="M13" i="10" s="1"/>
  <c r="L8" i="10"/>
  <c r="M8" i="10" s="1"/>
  <c r="E14" i="10"/>
  <c r="L2" i="10"/>
  <c r="L15" i="10" s="1"/>
  <c r="L9" i="10"/>
  <c r="M9" i="10" s="1"/>
  <c r="L5" i="10"/>
  <c r="M5" i="10" s="1"/>
  <c r="Q14" i="13" l="1"/>
  <c r="Q15" i="13"/>
  <c r="O14" i="13"/>
  <c r="K14" i="13"/>
  <c r="R15" i="10"/>
  <c r="R14" i="10"/>
  <c r="N15" i="10"/>
  <c r="G14" i="10"/>
  <c r="F15" i="10"/>
  <c r="D17" i="10" s="1"/>
  <c r="D16" i="10" s="1"/>
  <c r="F14" i="10"/>
  <c r="M2" i="10"/>
  <c r="L14" i="10"/>
  <c r="C48" i="13" l="1"/>
  <c r="C51" i="13" s="1"/>
  <c r="C47" i="13"/>
  <c r="C50" i="13" s="1"/>
  <c r="M14" i="10"/>
  <c r="M15" i="10"/>
  <c r="N14" i="10"/>
  <c r="P12" i="10" l="1"/>
  <c r="Q12" i="10" s="1"/>
  <c r="P2" i="10"/>
  <c r="P3" i="10"/>
  <c r="Q3" i="10" s="1"/>
  <c r="P8" i="10"/>
  <c r="Q8" i="10" s="1"/>
  <c r="P4" i="10"/>
  <c r="Q4" i="10" s="1"/>
  <c r="P5" i="10"/>
  <c r="Q5" i="10" s="1"/>
  <c r="P13" i="10"/>
  <c r="Q13" i="10" s="1"/>
  <c r="P6" i="10"/>
  <c r="Q6" i="10" s="1"/>
  <c r="P11" i="10"/>
  <c r="Q11" i="10" s="1"/>
  <c r="P7" i="10"/>
  <c r="Q7" i="10" s="1"/>
  <c r="P10" i="10"/>
  <c r="Q10" i="10" s="1"/>
  <c r="P9" i="10"/>
  <c r="Q9" i="10" s="1"/>
  <c r="C34" i="10"/>
  <c r="C42" i="13" l="1"/>
  <c r="C49" i="13"/>
  <c r="C52" i="13" s="1"/>
  <c r="P15" i="10"/>
  <c r="Q2" i="10"/>
  <c r="P14" i="10"/>
  <c r="I7" i="10"/>
  <c r="J7" i="10" s="1"/>
  <c r="I12" i="10"/>
  <c r="J12" i="10" s="1"/>
  <c r="I8" i="10"/>
  <c r="J8" i="10" s="1"/>
  <c r="I11" i="10"/>
  <c r="J11" i="10" s="1"/>
  <c r="I9" i="10"/>
  <c r="J9" i="10" s="1"/>
  <c r="I5" i="10"/>
  <c r="J5" i="10" s="1"/>
  <c r="I13" i="10"/>
  <c r="J13" i="10" s="1"/>
  <c r="I10" i="10"/>
  <c r="J10" i="10" s="1"/>
  <c r="I3" i="10"/>
  <c r="J3" i="10" s="1"/>
  <c r="I4" i="10"/>
  <c r="J4" i="10" s="1"/>
  <c r="I2" i="10"/>
  <c r="I6" i="10"/>
  <c r="J6" i="10" s="1"/>
  <c r="E3" i="7"/>
  <c r="E4" i="7"/>
  <c r="E5" i="7"/>
  <c r="E6" i="7"/>
  <c r="E7" i="7"/>
  <c r="E8" i="7"/>
  <c r="E9" i="7"/>
  <c r="E10" i="7"/>
  <c r="E11" i="7"/>
  <c r="E12" i="7"/>
  <c r="E13" i="7"/>
  <c r="E2" i="7"/>
  <c r="D3" i="7"/>
  <c r="D5" i="7"/>
  <c r="D6" i="7"/>
  <c r="D7" i="7"/>
  <c r="D8" i="7"/>
  <c r="D9" i="7"/>
  <c r="D10" i="7"/>
  <c r="D11" i="7"/>
  <c r="D12" i="7"/>
  <c r="D13" i="7"/>
  <c r="C15" i="7"/>
  <c r="B15" i="7"/>
  <c r="C14" i="7"/>
  <c r="B14" i="7"/>
  <c r="K9" i="10" l="1"/>
  <c r="K3" i="10"/>
  <c r="K7" i="10"/>
  <c r="K13" i="10"/>
  <c r="K12" i="10"/>
  <c r="K10" i="10"/>
  <c r="K11" i="10"/>
  <c r="I15" i="10"/>
  <c r="J2" i="10"/>
  <c r="I14" i="10"/>
  <c r="Q14" i="10"/>
  <c r="Q15" i="10"/>
  <c r="K5" i="10"/>
  <c r="K8" i="10"/>
  <c r="K6" i="10"/>
  <c r="K4" i="10"/>
  <c r="G13" i="7"/>
  <c r="G12" i="7"/>
  <c r="G11" i="7"/>
  <c r="G10" i="7"/>
  <c r="G9" i="7"/>
  <c r="G8" i="7"/>
  <c r="G6" i="7"/>
  <c r="F13" i="7"/>
  <c r="F11" i="7"/>
  <c r="F9" i="7"/>
  <c r="F7" i="7"/>
  <c r="F5" i="7"/>
  <c r="G5" i="7"/>
  <c r="G4" i="7"/>
  <c r="G3" i="7"/>
  <c r="F12" i="7"/>
  <c r="F10" i="7"/>
  <c r="F8" i="7"/>
  <c r="F6" i="7"/>
  <c r="F4" i="7"/>
  <c r="H3" i="7"/>
  <c r="F2" i="7"/>
  <c r="G2" i="7"/>
  <c r="F3" i="7"/>
  <c r="H2" i="7"/>
  <c r="H13" i="7"/>
  <c r="L13" i="7"/>
  <c r="M13" i="7" s="1"/>
  <c r="L8" i="7"/>
  <c r="M8" i="7" s="1"/>
  <c r="L9" i="7"/>
  <c r="M9" i="7" s="1"/>
  <c r="L10" i="7"/>
  <c r="M10" i="7" s="1"/>
  <c r="L11" i="7"/>
  <c r="M11" i="7" s="1"/>
  <c r="L4" i="7"/>
  <c r="M4" i="7" s="1"/>
  <c r="L5" i="7"/>
  <c r="M5" i="7" s="1"/>
  <c r="L6" i="7"/>
  <c r="M6" i="7" s="1"/>
  <c r="L7" i="7"/>
  <c r="M7" i="7" s="1"/>
  <c r="L3" i="7"/>
  <c r="M3" i="7" s="1"/>
  <c r="L12" i="7"/>
  <c r="M12" i="7" s="1"/>
  <c r="H12" i="7"/>
  <c r="H11" i="7"/>
  <c r="E14" i="7"/>
  <c r="H10" i="7"/>
  <c r="E15" i="7"/>
  <c r="H8" i="7"/>
  <c r="H7" i="7"/>
  <c r="D14" i="7"/>
  <c r="H9" i="7"/>
  <c r="G7" i="7"/>
  <c r="H6" i="7"/>
  <c r="H5" i="7"/>
  <c r="D15" i="7"/>
  <c r="N5" i="7" s="1"/>
  <c r="H4" i="7"/>
  <c r="D44" i="10" l="1"/>
  <c r="D47" i="10" s="1"/>
  <c r="C59" i="10"/>
  <c r="C62" i="10" s="1"/>
  <c r="C58" i="10"/>
  <c r="C61" i="10" s="1"/>
  <c r="J15" i="10"/>
  <c r="J14" i="10"/>
  <c r="K2" i="10"/>
  <c r="G15" i="7"/>
  <c r="E17" i="7" s="1"/>
  <c r="E16" i="7" s="1"/>
  <c r="N11" i="7"/>
  <c r="N10" i="7"/>
  <c r="N12" i="7"/>
  <c r="N2" i="7"/>
  <c r="N9" i="7"/>
  <c r="N3" i="7"/>
  <c r="N7" i="7"/>
  <c r="H14" i="7"/>
  <c r="N4" i="7"/>
  <c r="N13" i="7"/>
  <c r="N6" i="7"/>
  <c r="H15" i="7"/>
  <c r="F14" i="7"/>
  <c r="F15" i="7"/>
  <c r="D17" i="7" s="1"/>
  <c r="D16" i="7" s="1"/>
  <c r="N8" i="7"/>
  <c r="M14" i="7"/>
  <c r="G14" i="7"/>
  <c r="O14" i="10" l="1"/>
  <c r="O15" i="10"/>
  <c r="K15" i="10"/>
  <c r="K14" i="10"/>
  <c r="C51" i="10"/>
  <c r="C60" i="10"/>
  <c r="C63" i="10" s="1"/>
  <c r="N14" i="7"/>
  <c r="D25" i="7"/>
  <c r="D30" i="7" l="1"/>
  <c r="P11" i="7"/>
  <c r="Q11" i="7" s="1"/>
  <c r="P4" i="7"/>
  <c r="Q4" i="7" s="1"/>
  <c r="P5" i="7"/>
  <c r="Q5" i="7" s="1"/>
  <c r="P12" i="7"/>
  <c r="Q12" i="7" s="1"/>
  <c r="P13" i="7"/>
  <c r="Q13" i="7" s="1"/>
  <c r="P2" i="7"/>
  <c r="P3" i="7"/>
  <c r="Q3" i="7" s="1"/>
  <c r="P7" i="7"/>
  <c r="Q7" i="7" s="1"/>
  <c r="P9" i="7"/>
  <c r="Q9" i="7" s="1"/>
  <c r="P10" i="7"/>
  <c r="Q10" i="7" s="1"/>
  <c r="P8" i="7"/>
  <c r="Q8" i="7" s="1"/>
  <c r="C15" i="5"/>
  <c r="B15" i="5"/>
  <c r="C14" i="5"/>
  <c r="B14" i="5"/>
  <c r="H3" i="5"/>
  <c r="H4" i="5"/>
  <c r="H5" i="5"/>
  <c r="H6" i="5"/>
  <c r="H7" i="5"/>
  <c r="H8" i="5"/>
  <c r="H9" i="5"/>
  <c r="H10" i="5"/>
  <c r="H11" i="5"/>
  <c r="H12" i="5"/>
  <c r="H13" i="5"/>
  <c r="F3" i="5"/>
  <c r="F4" i="5"/>
  <c r="F5" i="5"/>
  <c r="F6" i="5"/>
  <c r="F7" i="5"/>
  <c r="F8" i="5"/>
  <c r="F9" i="5"/>
  <c r="F10" i="5"/>
  <c r="F11" i="5"/>
  <c r="F12" i="5"/>
  <c r="F13" i="5"/>
  <c r="F2" i="5"/>
  <c r="F14" i="5" s="1"/>
  <c r="E3" i="5"/>
  <c r="E4" i="5"/>
  <c r="E5" i="5"/>
  <c r="E6" i="5"/>
  <c r="E7" i="5"/>
  <c r="E8" i="5"/>
  <c r="E9" i="5"/>
  <c r="E10" i="5"/>
  <c r="E11" i="5"/>
  <c r="E12" i="5"/>
  <c r="E13" i="5"/>
  <c r="E2" i="5"/>
  <c r="E14" i="5" s="1"/>
  <c r="D3" i="5"/>
  <c r="D4" i="5"/>
  <c r="D5" i="5"/>
  <c r="D6" i="5"/>
  <c r="D7" i="5"/>
  <c r="D8" i="5"/>
  <c r="D9" i="5"/>
  <c r="D10" i="5"/>
  <c r="D11" i="5"/>
  <c r="D12" i="5"/>
  <c r="D13" i="5"/>
  <c r="D2" i="5"/>
  <c r="D15" i="5" s="1"/>
  <c r="P6" i="7" l="1"/>
  <c r="Q6" i="7" s="1"/>
  <c r="I11" i="5"/>
  <c r="K11" i="5"/>
  <c r="I10" i="5"/>
  <c r="K10" i="5"/>
  <c r="D14" i="5"/>
  <c r="I9" i="5"/>
  <c r="K9" i="5"/>
  <c r="I8" i="5"/>
  <c r="K8" i="5"/>
  <c r="J10" i="5"/>
  <c r="J11" i="5"/>
  <c r="J12" i="5"/>
  <c r="J13" i="5"/>
  <c r="J3" i="5"/>
  <c r="J4" i="5"/>
  <c r="J6" i="5"/>
  <c r="J7" i="5"/>
  <c r="J8" i="5"/>
  <c r="J5" i="5"/>
  <c r="J9" i="5"/>
  <c r="I7" i="5"/>
  <c r="K7" i="5"/>
  <c r="F15" i="5"/>
  <c r="C17" i="5" s="1"/>
  <c r="I6" i="5"/>
  <c r="K6" i="5"/>
  <c r="E15" i="5"/>
  <c r="B16" i="5" s="1"/>
  <c r="B17" i="5" s="1"/>
  <c r="I5" i="5"/>
  <c r="K5" i="5"/>
  <c r="I4" i="5"/>
  <c r="K4" i="5"/>
  <c r="I3" i="5"/>
  <c r="K3" i="5"/>
  <c r="I2" i="5"/>
  <c r="K2" i="5"/>
  <c r="I13" i="5"/>
  <c r="K13" i="5"/>
  <c r="I12" i="5"/>
  <c r="K12" i="5"/>
  <c r="P14" i="7"/>
  <c r="Q2" i="7"/>
  <c r="I2" i="7"/>
  <c r="I12" i="7"/>
  <c r="J12" i="7" s="1"/>
  <c r="I6" i="7"/>
  <c r="J6" i="7" s="1"/>
  <c r="I5" i="7"/>
  <c r="J5" i="7" s="1"/>
  <c r="I11" i="7"/>
  <c r="J11" i="7" s="1"/>
  <c r="I4" i="7"/>
  <c r="J4" i="7" s="1"/>
  <c r="I10" i="7"/>
  <c r="J10" i="7" s="1"/>
  <c r="I7" i="7"/>
  <c r="J7" i="7" s="1"/>
  <c r="I8" i="7"/>
  <c r="J8" i="7" s="1"/>
  <c r="I13" i="7"/>
  <c r="J13" i="7" s="1"/>
  <c r="I9" i="7"/>
  <c r="J9" i="7" s="1"/>
  <c r="I3" i="7"/>
  <c r="J3" i="7" s="1"/>
  <c r="I15" i="5" l="1"/>
  <c r="C34" i="5"/>
  <c r="J14" i="5"/>
  <c r="K14" i="5"/>
  <c r="C19" i="5"/>
  <c r="K4" i="7"/>
  <c r="K8" i="7"/>
  <c r="K10" i="7"/>
  <c r="K5" i="7"/>
  <c r="K12" i="7"/>
  <c r="J2" i="7"/>
  <c r="I14" i="7"/>
  <c r="K13" i="7"/>
  <c r="K11" i="7"/>
  <c r="K3" i="7"/>
  <c r="D57" i="7"/>
  <c r="D54" i="7"/>
  <c r="K7" i="7"/>
  <c r="K6" i="7"/>
  <c r="K9" i="7"/>
  <c r="D68" i="7" l="1"/>
  <c r="D64" i="7"/>
  <c r="C29" i="5"/>
  <c r="C22" i="5"/>
  <c r="D47" i="5"/>
  <c r="C58" i="5" s="1"/>
  <c r="D51" i="5"/>
  <c r="C61" i="5" s="1"/>
  <c r="K2" i="7"/>
  <c r="K14" i="7" s="1"/>
  <c r="J14" i="7"/>
  <c r="C30" i="5" l="1"/>
  <c r="D38" i="7"/>
  <c r="O14" i="7"/>
  <c r="C55" i="5" l="1"/>
  <c r="C64" i="5" s="1"/>
  <c r="C40" i="5"/>
  <c r="D47" i="7"/>
  <c r="D60" i="7"/>
  <c r="D71" i="7" s="1"/>
</calcChain>
</file>

<file path=xl/sharedStrings.xml><?xml version="1.0" encoding="utf-8"?>
<sst xmlns="http://schemas.openxmlformats.org/spreadsheetml/2006/main" count="296" uniqueCount="133">
  <si>
    <t>Регион</t>
  </si>
  <si>
    <t>yx</t>
  </si>
  <si>
    <r>
      <t>x</t>
    </r>
    <r>
      <rPr>
        <vertAlign val="superscript"/>
        <sz val="14"/>
        <color rgb="FF000000"/>
        <rFont val="Times New Roman"/>
        <family val="1"/>
        <charset val="204"/>
      </rPr>
      <t>2</t>
    </r>
  </si>
  <si>
    <r>
      <t>y</t>
    </r>
    <r>
      <rPr>
        <vertAlign val="superscript"/>
        <sz val="14"/>
        <color rgb="FF000000"/>
        <rFont val="Times New Roman"/>
        <family val="1"/>
        <charset val="204"/>
      </rPr>
      <t>2</t>
    </r>
  </si>
  <si>
    <r>
      <t>A</t>
    </r>
    <r>
      <rPr>
        <vertAlign val="subscript"/>
        <sz val="14"/>
        <color rgb="FF000000"/>
        <rFont val="Times New Roman"/>
        <family val="1"/>
        <charset val="204"/>
      </rPr>
      <t>i</t>
    </r>
  </si>
  <si>
    <r>
      <rPr>
        <sz val="14"/>
        <color rgb="FF000000"/>
        <rFont val="Aptos Narrow"/>
        <family val="2"/>
      </rPr>
      <t>ý</t>
    </r>
    <r>
      <rPr>
        <sz val="8"/>
        <color rgb="FF000000"/>
        <rFont val="Times New Roman"/>
        <family val="1"/>
        <charset val="204"/>
      </rPr>
      <t>x</t>
    </r>
  </si>
  <si>
    <r>
      <t>y-ý</t>
    </r>
    <r>
      <rPr>
        <sz val="8"/>
        <color rgb="FF000000"/>
        <rFont val="Times New Roman"/>
        <family val="1"/>
        <charset val="204"/>
      </rPr>
      <t>x</t>
    </r>
  </si>
  <si>
    <t>x</t>
  </si>
  <si>
    <t>y</t>
  </si>
  <si>
    <t>Итого</t>
  </si>
  <si>
    <t>Ср. знач.</t>
  </si>
  <si>
    <t>s</t>
  </si>
  <si>
    <r>
      <t>s</t>
    </r>
    <r>
      <rPr>
        <vertAlign val="superscript"/>
        <sz val="14"/>
        <color rgb="FF000000"/>
        <rFont val="Times New Roman"/>
        <family val="1"/>
        <charset val="204"/>
      </rPr>
      <t>2</t>
    </r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</si>
  <si>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</si>
  <si>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</si>
  <si>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</si>
  <si>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</si>
  <si>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</si>
  <si>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</si>
  <si>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</si>
  <si>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</si>
  <si>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</si>
  <si>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</si>
  <si>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</si>
  <si>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</si>
  <si>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</si>
  <si>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</si>
  <si>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</si>
  <si>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</si>
  <si>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</si>
  <si>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</si>
  <si>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</si>
  <si>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</si>
  <si>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</si>
  <si>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</si>
  <si>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</si>
  <si>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</si>
  <si>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ВЫВОД ОСТАТКА</t>
  </si>
  <si>
    <t>Наблюдение</t>
  </si>
  <si>
    <t>Предсказанное Y</t>
  </si>
  <si>
    <t>Остатки</t>
  </si>
  <si>
    <t>ВЫВОД ВЕРОЯТНОСТИ</t>
  </si>
  <si>
    <t>Персентиль</t>
  </si>
  <si>
    <t>Y</t>
  </si>
  <si>
    <t>1.</t>
  </si>
  <si>
    <t>=</t>
  </si>
  <si>
    <t>2.</t>
  </si>
  <si>
    <r>
      <t>r</t>
    </r>
    <r>
      <rPr>
        <sz val="8"/>
        <color rgb="FF000000"/>
        <rFont val="Times New Roman"/>
        <family val="1"/>
        <charset val="204"/>
      </rPr>
      <t xml:space="preserve">xy = </t>
    </r>
    <r>
      <rPr>
        <sz val="14"/>
        <color rgb="FF000000"/>
        <rFont val="Times New Roman"/>
        <family val="1"/>
        <charset val="204"/>
      </rPr>
      <t>b</t>
    </r>
    <r>
      <rPr>
        <sz val="8"/>
        <color rgb="FF000000"/>
        <rFont val="Times New Roman"/>
        <family val="1"/>
        <charset val="204"/>
      </rPr>
      <t xml:space="preserve"> *</t>
    </r>
    <r>
      <rPr>
        <sz val="14"/>
        <color rgb="FF000000"/>
        <rFont val="Times New Roman"/>
        <family val="1"/>
        <charset val="204"/>
      </rPr>
      <t xml:space="preserve"> (</t>
    </r>
    <r>
      <rPr>
        <sz val="14"/>
        <color rgb="FF000000"/>
        <rFont val="Aptos Narrow"/>
        <family val="2"/>
      </rPr>
      <t>σ</t>
    </r>
    <r>
      <rPr>
        <sz val="9"/>
        <color rgb="FF000000"/>
        <rFont val="Aptos Narrow"/>
        <family val="2"/>
      </rPr>
      <t>x</t>
    </r>
    <r>
      <rPr>
        <sz val="14"/>
        <color rgb="FF000000"/>
        <rFont val="Aptos Narrow"/>
        <family val="2"/>
      </rPr>
      <t xml:space="preserve"> /σ</t>
    </r>
    <r>
      <rPr>
        <sz val="9"/>
        <color rgb="FF000000"/>
        <rFont val="Aptos Narrow"/>
        <family val="2"/>
      </rPr>
      <t>y</t>
    </r>
    <r>
      <rPr>
        <sz val="14"/>
        <color rgb="FF000000"/>
        <rFont val="Aptos Narrow"/>
        <family val="2"/>
      </rPr>
      <t>)</t>
    </r>
    <r>
      <rPr>
        <sz val="14"/>
        <color rgb="FF000000"/>
        <rFont val="Times New Roman"/>
        <family val="1"/>
        <charset val="204"/>
      </rPr>
      <t xml:space="preserve"> =</t>
    </r>
  </si>
  <si>
    <r>
      <rPr>
        <sz val="14"/>
        <color theme="1"/>
        <rFont val="Aptos Narrow"/>
        <family val="2"/>
        <scheme val="minor"/>
      </rPr>
      <t>r</t>
    </r>
    <r>
      <rPr>
        <vertAlign val="superscript"/>
        <sz val="9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charset val="204"/>
        <scheme val="minor"/>
      </rPr>
      <t>xy</t>
    </r>
    <r>
      <rPr>
        <sz val="14"/>
        <color theme="1"/>
        <rFont val="Aptos Narrow"/>
        <family val="2"/>
        <scheme val="minor"/>
      </rPr>
      <t xml:space="preserve"> =</t>
    </r>
  </si>
  <si>
    <t>3.</t>
  </si>
  <si>
    <r>
      <rPr>
        <sz val="14"/>
        <color theme="1"/>
        <rFont val="Times New Roman"/>
        <family val="1"/>
        <charset val="204"/>
      </rPr>
      <t>F</t>
    </r>
    <r>
      <rPr>
        <sz val="9"/>
        <color theme="1"/>
        <rFont val="Times New Roman"/>
        <family val="1"/>
        <charset val="204"/>
      </rPr>
      <t xml:space="preserve">табл </t>
    </r>
    <r>
      <rPr>
        <sz val="14"/>
        <color theme="1"/>
        <rFont val="Times New Roman"/>
        <family val="1"/>
        <charset val="204"/>
      </rPr>
      <t>=</t>
    </r>
  </si>
  <si>
    <t>4.</t>
  </si>
  <si>
    <t>5.</t>
  </si>
  <si>
    <r>
      <t xml:space="preserve">Коэфицент </t>
    </r>
    <r>
      <rPr>
        <i/>
        <sz val="11"/>
        <color theme="1"/>
        <rFont val="Aptos Narrow"/>
        <family val="2"/>
        <scheme val="minor"/>
      </rPr>
      <t>a</t>
    </r>
    <r>
      <rPr>
        <sz val="11"/>
        <color theme="1"/>
        <rFont val="Aptos Narrow"/>
        <family val="2"/>
        <charset val="204"/>
        <scheme val="minor"/>
      </rPr>
      <t xml:space="preserve"> показывает первоначальную сумму, не изменяющийся при изменении b и x.</t>
    </r>
  </si>
  <si>
    <t>Полученное уравнение регрессии</t>
  </si>
  <si>
    <t>Cвязь между среднедушевым прожиточным минимумом в месяц одного трудоспособного и среднедневной заработной платой является сильной, так как полученный коэффициент больше 0,7.</t>
  </si>
  <si>
    <r>
      <t>Так как F</t>
    </r>
    <r>
      <rPr>
        <sz val="9"/>
        <color theme="1"/>
        <rFont val="Aptos Narrow"/>
        <family val="2"/>
        <scheme val="minor"/>
      </rPr>
      <t>факт</t>
    </r>
    <r>
      <rPr>
        <sz val="11"/>
        <color theme="1"/>
        <rFont val="Aptos Narrow"/>
        <family val="2"/>
        <charset val="204"/>
        <scheme val="minor"/>
      </rPr>
      <t>&gt;F</t>
    </r>
    <r>
      <rPr>
        <sz val="9"/>
        <color theme="1"/>
        <rFont val="Aptos Narrow"/>
        <family val="2"/>
        <scheme val="minor"/>
      </rPr>
      <t>табл</t>
    </r>
    <r>
      <rPr>
        <sz val="11"/>
        <color theme="1"/>
        <rFont val="Aptos Narrow"/>
        <family val="2"/>
        <charset val="204"/>
        <scheme val="minor"/>
      </rPr>
      <t>, гипотеза отвергается. Уравнение надежно, значимо, показатель тесноты связи надежен и отражает устойчивую зависимость среднедушевого прожиточного минимума в месяц на одного трудоспособного от среднедневной заработной платы.</t>
    </r>
  </si>
  <si>
    <t>X</t>
  </si>
  <si>
    <r>
      <t>X</t>
    </r>
    <r>
      <rPr>
        <vertAlign val="superscript"/>
        <sz val="9"/>
        <color rgb="FF000000"/>
        <rFont val="Times New Roman"/>
        <family val="1"/>
        <charset val="204"/>
      </rPr>
      <t>2</t>
    </r>
  </si>
  <si>
    <r>
      <t>Y</t>
    </r>
    <r>
      <rPr>
        <vertAlign val="superscript"/>
        <sz val="9"/>
        <color rgb="FF000000"/>
        <rFont val="Times New Roman"/>
        <family val="1"/>
        <charset val="204"/>
      </rPr>
      <t>2</t>
    </r>
  </si>
  <si>
    <t>X*Y</t>
  </si>
  <si>
    <t>а = 10^А =</t>
  </si>
  <si>
    <t>y=a∗x^b
log(y)=log⁡(a∗x^b)
log(y)=log(a)+log(x^b)
log⁡(y)=log(a)+b∗log(x)
log(y)=Y,  log(a)=A,  log(x)=X
Y=A+b ∗X</t>
  </si>
  <si>
    <r>
      <t>A</t>
    </r>
    <r>
      <rPr>
        <sz val="9"/>
        <color theme="1"/>
        <rFont val="Aptos Narrow"/>
        <family val="2"/>
        <scheme val="minor"/>
      </rPr>
      <t>i</t>
    </r>
  </si>
  <si>
    <r>
      <t>(Y-</t>
    </r>
    <r>
      <rPr>
        <sz val="11"/>
        <color theme="1"/>
        <rFont val="Aptos Narrow"/>
        <family val="2"/>
      </rPr>
      <t>Ŷ</t>
    </r>
    <r>
      <rPr>
        <sz val="9.25"/>
        <color theme="1"/>
        <rFont val="Aptos Narrow"/>
        <family val="2"/>
        <charset val="204"/>
      </rPr>
      <t>)</t>
    </r>
    <r>
      <rPr>
        <vertAlign val="superscript"/>
        <sz val="9.25"/>
        <color theme="1"/>
        <rFont val="Aptos Narrow"/>
        <family val="2"/>
      </rPr>
      <t>2</t>
    </r>
  </si>
  <si>
    <t>Так как Fфакт&gt;Fтабл, гипотеза отвергается. Уравнение надежно, значимо, показатель тесноты связи надежен и отражает устойчивую зависимость среднедушевого прожиточного минимума в месяц на одного трудоспособного от среднедневной заработной платы.</t>
  </si>
  <si>
    <t>Y*x</t>
  </si>
  <si>
    <r>
      <rPr>
        <sz val="14"/>
        <color rgb="FF000000"/>
        <rFont val="Times New Roman"/>
        <family val="1"/>
        <charset val="204"/>
      </rPr>
      <t>x</t>
    </r>
    <r>
      <rPr>
        <vertAlign val="superscript"/>
        <sz val="9"/>
        <color rgb="FF000000"/>
        <rFont val="Times New Roman"/>
        <family val="1"/>
        <charset val="204"/>
      </rPr>
      <t>2</t>
    </r>
  </si>
  <si>
    <t>X*y</t>
  </si>
  <si>
    <r>
      <t>X</t>
    </r>
    <r>
      <rPr>
        <vertAlign val="superscript"/>
        <sz val="10"/>
        <color rgb="FF000000"/>
        <rFont val="Times New Roman"/>
        <family val="1"/>
        <charset val="204"/>
      </rPr>
      <t>2</t>
    </r>
  </si>
  <si>
    <r>
      <rPr>
        <sz val="14"/>
        <color rgb="FF000000"/>
        <rFont val="Times New Roman"/>
        <family val="1"/>
        <charset val="204"/>
      </rPr>
      <t>Y</t>
    </r>
    <r>
      <rPr>
        <vertAlign val="superscript"/>
        <sz val="10"/>
        <color rgb="FF000000"/>
        <rFont val="Times New Roman"/>
        <family val="1"/>
        <charset val="204"/>
      </rPr>
      <t>2</t>
    </r>
  </si>
  <si>
    <t>y=a+b∗ln(x)
 ln(x)=X
y=a+b ∗X</t>
  </si>
  <si>
    <t xml:space="preserve"> </t>
  </si>
  <si>
    <r>
      <t>y=ae</t>
    </r>
    <r>
      <rPr>
        <vertAlign val="superscript"/>
        <sz val="11"/>
        <color theme="1"/>
        <rFont val="Times New Roman"/>
        <family val="1"/>
        <charset val="204"/>
      </rPr>
      <t>bx</t>
    </r>
    <r>
      <rPr>
        <sz val="14"/>
        <color theme="1"/>
        <rFont val="Times New Roman"/>
        <family val="1"/>
        <charset val="204"/>
      </rPr>
      <t xml:space="preserve">
ln(y)=ln(ae</t>
    </r>
    <r>
      <rPr>
        <vertAlign val="superscript"/>
        <sz val="11"/>
        <color theme="1"/>
        <rFont val="Times New Roman"/>
        <family val="1"/>
        <charset val="204"/>
      </rPr>
      <t>bx</t>
    </r>
    <r>
      <rPr>
        <sz val="14"/>
        <color theme="1"/>
        <rFont val="Times New Roman"/>
        <family val="1"/>
        <charset val="204"/>
      </rPr>
      <t>)
ln(y)=ln(a)+b*x
ln(y)=Y; ln(a)=A
log(y)=Y, log(a)=A, log(b)=B
Y=A + b ∗x</t>
    </r>
  </si>
  <si>
    <t>a=</t>
  </si>
  <si>
    <t>A = Y + B*x=</t>
  </si>
  <si>
    <t>Уравнение в явном виде</t>
  </si>
  <si>
    <t>Ŷ</t>
  </si>
  <si>
    <r>
      <t>(Y-</t>
    </r>
    <r>
      <rPr>
        <sz val="11"/>
        <color theme="1"/>
        <rFont val="Calibri"/>
        <family val="2"/>
        <charset val="204"/>
      </rPr>
      <t>Ȳ</t>
    </r>
    <r>
      <rPr>
        <sz val="11"/>
        <color theme="1"/>
        <rFont val="Aptos Narrow"/>
        <family val="2"/>
        <charset val="204"/>
      </rPr>
      <t>)</t>
    </r>
    <r>
      <rPr>
        <vertAlign val="superscript"/>
        <sz val="11"/>
        <color theme="1"/>
        <rFont val="Aptos Narrow"/>
        <family val="2"/>
      </rPr>
      <t>2</t>
    </r>
  </si>
  <si>
    <r>
      <t>M</t>
    </r>
    <r>
      <rPr>
        <vertAlign val="subscript"/>
        <sz val="12"/>
        <color theme="1"/>
        <rFont val="Times New Roman"/>
        <family val="1"/>
        <charset val="204"/>
      </rPr>
      <t>b</t>
    </r>
    <r>
      <rPr>
        <sz val="14"/>
        <color theme="1"/>
        <rFont val="Times New Roman"/>
        <family val="1"/>
        <charset val="204"/>
      </rPr>
      <t xml:space="preserve">           =</t>
    </r>
  </si>
  <si>
    <r>
      <t>M</t>
    </r>
    <r>
      <rPr>
        <vertAlign val="subscript"/>
        <sz val="14"/>
        <color theme="1"/>
        <rFont val="Times New Roman"/>
        <family val="1"/>
        <charset val="204"/>
      </rPr>
      <t>a</t>
    </r>
    <r>
      <rPr>
        <sz val="14"/>
        <color theme="1"/>
        <rFont val="Times New Roman"/>
        <family val="1"/>
        <charset val="204"/>
      </rPr>
      <t xml:space="preserve">           =</t>
    </r>
  </si>
  <si>
    <r>
      <t>M</t>
    </r>
    <r>
      <rPr>
        <vertAlign val="subscript"/>
        <sz val="14"/>
        <color theme="1"/>
        <rFont val="Times New Roman"/>
        <family val="1"/>
        <charset val="204"/>
      </rPr>
      <t>rxy</t>
    </r>
    <r>
      <rPr>
        <sz val="14"/>
        <color theme="1"/>
        <rFont val="Times New Roman"/>
        <family val="1"/>
        <charset val="204"/>
      </rPr>
      <t xml:space="preserve">         =</t>
    </r>
  </si>
  <si>
    <r>
      <t>t</t>
    </r>
    <r>
      <rPr>
        <vertAlign val="subscript"/>
        <sz val="14"/>
        <color theme="1"/>
        <rFont val="Times New Roman"/>
        <family val="1"/>
        <charset val="204"/>
      </rPr>
      <t>b</t>
    </r>
  </si>
  <si>
    <r>
      <t>t</t>
    </r>
    <r>
      <rPr>
        <vertAlign val="subscript"/>
        <sz val="14"/>
        <color rgb="FF000000"/>
        <rFont val="Times New Roman"/>
        <family val="1"/>
        <charset val="204"/>
      </rPr>
      <t>А</t>
    </r>
  </si>
  <si>
    <r>
      <t>t</t>
    </r>
    <r>
      <rPr>
        <vertAlign val="subscript"/>
        <sz val="14"/>
        <color theme="1"/>
        <rFont val="Times New Roman"/>
        <family val="1"/>
        <charset val="204"/>
      </rPr>
      <t>rxy</t>
    </r>
  </si>
  <si>
    <r>
      <rPr>
        <sz val="14"/>
        <color theme="1"/>
        <rFont val="Aptos Narrow"/>
        <family val="2"/>
        <scheme val="minor"/>
      </rPr>
      <t>r</t>
    </r>
    <r>
      <rPr>
        <sz val="9"/>
        <color theme="1"/>
        <rFont val="Aptos Narrow"/>
        <family val="2"/>
        <scheme val="minor"/>
      </rPr>
      <t xml:space="preserve">xy                     </t>
    </r>
    <r>
      <rPr>
        <sz val="11"/>
        <color theme="1"/>
        <rFont val="Aptos Narrow"/>
        <family val="2"/>
        <scheme val="minor"/>
      </rPr>
      <t>=</t>
    </r>
  </si>
  <si>
    <r>
      <rPr>
        <sz val="14"/>
        <color theme="1"/>
        <rFont val="Aptos Narrow"/>
        <family val="2"/>
        <scheme val="minor"/>
      </rPr>
      <t>r</t>
    </r>
    <r>
      <rPr>
        <vertAlign val="super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xy</t>
    </r>
    <r>
      <rPr>
        <sz val="11"/>
        <color theme="1"/>
        <rFont val="Aptos Narrow"/>
        <family val="2"/>
        <scheme val="minor"/>
      </rPr>
      <t xml:space="preserve">                   =</t>
    </r>
  </si>
  <si>
    <t>Э</t>
  </si>
  <si>
    <r>
      <t>M</t>
    </r>
    <r>
      <rPr>
        <sz val="12"/>
        <color theme="1"/>
        <rFont val="Times New Roman"/>
        <family val="1"/>
        <charset val="204"/>
      </rPr>
      <t xml:space="preserve">b          </t>
    </r>
    <r>
      <rPr>
        <sz val="14"/>
        <color theme="1"/>
        <rFont val="Times New Roman"/>
        <family val="1"/>
        <charset val="204"/>
      </rPr>
      <t>=</t>
    </r>
  </si>
  <si>
    <r>
      <t>M</t>
    </r>
    <r>
      <rPr>
        <sz val="12"/>
        <color theme="1"/>
        <rFont val="Times New Roman"/>
        <family val="1"/>
        <charset val="204"/>
      </rPr>
      <t>a</t>
    </r>
    <r>
      <rPr>
        <sz val="14"/>
        <color theme="1"/>
        <rFont val="Times New Roman"/>
        <family val="1"/>
        <charset val="204"/>
      </rPr>
      <t xml:space="preserve">        =</t>
    </r>
  </si>
  <si>
    <r>
      <t>M</t>
    </r>
    <r>
      <rPr>
        <sz val="12"/>
        <color theme="1"/>
        <rFont val="Times New Roman"/>
        <family val="1"/>
        <charset val="204"/>
      </rPr>
      <t>r</t>
    </r>
    <r>
      <rPr>
        <sz val="8"/>
        <color theme="1"/>
        <rFont val="Times New Roman"/>
        <family val="1"/>
        <charset val="204"/>
      </rPr>
      <t>xy</t>
    </r>
    <r>
      <rPr>
        <sz val="14"/>
        <color theme="1"/>
        <rFont val="Times New Roman"/>
        <family val="1"/>
        <charset val="204"/>
      </rPr>
      <t xml:space="preserve">      =</t>
    </r>
  </si>
  <si>
    <t xml:space="preserve">F          = </t>
  </si>
  <si>
    <t>F              =</t>
  </si>
  <si>
    <r>
      <rPr>
        <sz val="14"/>
        <color theme="1"/>
        <rFont val="Times New Roman"/>
        <family val="1"/>
        <charset val="204"/>
      </rPr>
      <t>F</t>
    </r>
    <r>
      <rPr>
        <sz val="9"/>
        <color theme="1"/>
        <rFont val="Times New Roman"/>
        <family val="1"/>
        <charset val="204"/>
      </rPr>
      <t xml:space="preserve">табл               </t>
    </r>
    <r>
      <rPr>
        <sz val="14"/>
        <color theme="1"/>
        <rFont val="Times New Roman"/>
        <family val="1"/>
        <charset val="204"/>
      </rPr>
      <t>=</t>
    </r>
  </si>
  <si>
    <r>
      <rPr>
        <sz val="14"/>
        <color theme="1"/>
        <rFont val="Times New Roman"/>
        <family val="1"/>
        <charset val="204"/>
      </rPr>
      <t>F</t>
    </r>
    <r>
      <rPr>
        <sz val="9"/>
        <color theme="1"/>
        <rFont val="Times New Roman"/>
        <family val="1"/>
        <charset val="204"/>
      </rPr>
      <t xml:space="preserve">табл        </t>
    </r>
    <r>
      <rPr>
        <sz val="14"/>
        <color theme="1"/>
        <rFont val="Times New Roman"/>
        <family val="1"/>
        <charset val="204"/>
      </rPr>
      <t>=</t>
    </r>
  </si>
  <si>
    <t>Fтаб &lt; Fфакт, говорит о не случайной природе оцениваемых характеристик и статистической значимости и надежности в целом.</t>
  </si>
  <si>
    <t>Вид регрессии</t>
  </si>
  <si>
    <t>Линейная</t>
  </si>
  <si>
    <t>Логарифмическая</t>
  </si>
  <si>
    <t>Степенная</t>
  </si>
  <si>
    <t>Экспоненциальная</t>
  </si>
  <si>
    <t>Респ. Алтай</t>
  </si>
  <si>
    <t>Курганская обл.</t>
  </si>
  <si>
    <t>Алтайский край</t>
  </si>
  <si>
    <t>Оренбурская обл.</t>
  </si>
  <si>
    <t>Омская обл.</t>
  </si>
  <si>
    <t>Удмурская Респ.</t>
  </si>
  <si>
    <t>Кемеровская обл.</t>
  </si>
  <si>
    <t>Респ. Башкортостан</t>
  </si>
  <si>
    <t>Челябинская обл.</t>
  </si>
  <si>
    <t>Новосибирская обл.</t>
  </si>
  <si>
    <t>Свердловская обл.</t>
  </si>
  <si>
    <t>Пермская обл.</t>
  </si>
  <si>
    <r>
      <t xml:space="preserve"> Полученный коэффициент детерминации равен: r</t>
    </r>
    <r>
      <rPr>
        <vertAlign val="superscript"/>
        <sz val="8"/>
        <color theme="1"/>
        <rFont val="Times New Roman"/>
        <family val="1"/>
        <charset val="204"/>
      </rPr>
      <t>2</t>
    </r>
    <r>
      <rPr>
        <sz val="9"/>
        <color theme="1"/>
        <rFont val="Times New Roman"/>
        <family val="1"/>
        <charset val="204"/>
      </rPr>
      <t>xy</t>
    </r>
    <r>
      <rPr>
        <sz val="12"/>
        <color theme="1"/>
        <rFont val="Times New Roman"/>
        <family val="1"/>
        <charset val="204"/>
      </rPr>
      <t>=0,999, полученное уравнение регрессии среднего качества описывает зависимость между среднедушевым прожиточным минимумом в месяц одного трудоспособного и среднедневной заработной платой.</t>
    </r>
  </si>
  <si>
    <t xml:space="preserve">Среднедушевой прожиточный минимум в месяц одного трудоспособного, тыс. руб., </t>
  </si>
  <si>
    <t>При увеличении среднедушевого прожиточного минимума в месяц одного трудоспособного на 1 тыс.руб., среднедневная заработная плата увеличится на 0,81 тыс.руб.</t>
  </si>
  <si>
    <r>
      <t xml:space="preserve">
 t</t>
    </r>
    <r>
      <rPr>
        <sz val="9"/>
        <color theme="1"/>
        <rFont val="Aptos Narrow"/>
        <family val="2"/>
        <scheme val="minor"/>
      </rPr>
      <t>a</t>
    </r>
    <r>
      <rPr>
        <sz val="14"/>
        <color theme="1"/>
        <rFont val="Aptos Narrow"/>
        <family val="2"/>
        <scheme val="minor"/>
      </rPr>
      <t>=1,2 &lt;  t</t>
    </r>
    <r>
      <rPr>
        <sz val="9"/>
        <color theme="1"/>
        <rFont val="Aptos Narrow"/>
        <family val="2"/>
        <scheme val="minor"/>
      </rPr>
      <t>табл</t>
    </r>
    <r>
      <rPr>
        <sz val="14"/>
        <color theme="1"/>
        <rFont val="Aptos Narrow"/>
        <family val="2"/>
        <scheme val="minor"/>
      </rPr>
      <t>=2,2281
t</t>
    </r>
    <r>
      <rPr>
        <sz val="9"/>
        <color theme="1"/>
        <rFont val="Aptos Narrow"/>
        <family val="2"/>
        <scheme val="minor"/>
      </rPr>
      <t>b</t>
    </r>
    <r>
      <rPr>
        <sz val="14"/>
        <color theme="1"/>
        <rFont val="Aptos Narrow"/>
        <family val="2"/>
        <scheme val="minor"/>
      </rPr>
      <t>=100,45 &gt; t</t>
    </r>
    <r>
      <rPr>
        <sz val="9"/>
        <color theme="1"/>
        <rFont val="Aptos Narrow"/>
        <family val="2"/>
        <scheme val="minor"/>
      </rPr>
      <t>табл</t>
    </r>
    <r>
      <rPr>
        <sz val="14"/>
        <color theme="1"/>
        <rFont val="Aptos Narrow"/>
        <family val="2"/>
        <scheme val="minor"/>
      </rPr>
      <t>=2,2281
 t</t>
    </r>
    <r>
      <rPr>
        <sz val="9"/>
        <color theme="1"/>
        <rFont val="Aptos Narrow"/>
        <family val="2"/>
        <scheme val="minor"/>
      </rPr>
      <t>r</t>
    </r>
    <r>
      <rPr>
        <sz val="7"/>
        <color theme="1"/>
        <rFont val="Aptos Narrow"/>
        <family val="2"/>
        <scheme val="minor"/>
      </rPr>
      <t>xy</t>
    </r>
    <r>
      <rPr>
        <sz val="14"/>
        <color theme="1"/>
        <rFont val="Aptos Narrow"/>
        <family val="2"/>
        <scheme val="minor"/>
      </rPr>
      <t>=100,45&gt; t</t>
    </r>
    <r>
      <rPr>
        <sz val="9"/>
        <color theme="1"/>
        <rFont val="Aptos Narrow"/>
        <family val="2"/>
        <scheme val="minor"/>
      </rPr>
      <t>табл</t>
    </r>
    <r>
      <rPr>
        <sz val="14"/>
        <color theme="1"/>
        <rFont val="Aptos Narrow"/>
        <family val="2"/>
        <scheme val="minor"/>
      </rPr>
      <t>=2,2281
tb &gt; t таб; trxy &gt; t таб, говорит о том что b и rxy сформировались под влиянием систематически действующего фактора x. ta &lt; t таб  говорит о случайной природе формирования а</t>
    </r>
  </si>
  <si>
    <t>При увеличении среднедушевого прожиточного минимума в месяц одного трудоспособного на 1 тыс. Руб., среднедневная заработная плата увличется на 1,05 тыс. рубля.</t>
  </si>
  <si>
    <r>
      <t>t</t>
    </r>
    <r>
      <rPr>
        <sz val="9"/>
        <color theme="1"/>
        <rFont val="Times New Roman"/>
        <family val="1"/>
        <charset val="204"/>
      </rPr>
      <t>a</t>
    </r>
    <r>
      <rPr>
        <sz val="14"/>
        <color theme="1"/>
        <rFont val="Times New Roman"/>
        <family val="1"/>
        <charset val="204"/>
      </rPr>
      <t>= -6,78 &lt; t</t>
    </r>
    <r>
      <rPr>
        <sz val="9"/>
        <color theme="1"/>
        <rFont val="Times New Roman"/>
        <family val="1"/>
        <charset val="204"/>
      </rPr>
      <t>табл</t>
    </r>
    <r>
      <rPr>
        <sz val="14"/>
        <color theme="1"/>
        <rFont val="Times New Roman"/>
        <family val="1"/>
        <charset val="204"/>
      </rPr>
      <t>=2,2281
t</t>
    </r>
    <r>
      <rPr>
        <sz val="9"/>
        <color theme="1"/>
        <rFont val="Times New Roman"/>
        <family val="1"/>
        <charset val="204"/>
      </rPr>
      <t>b</t>
    </r>
    <r>
      <rPr>
        <sz val="14"/>
        <color theme="1"/>
        <rFont val="Times New Roman"/>
        <family val="1"/>
        <charset val="204"/>
      </rPr>
      <t>= 98,3 &gt;  t</t>
    </r>
    <r>
      <rPr>
        <sz val="9"/>
        <color theme="1"/>
        <rFont val="Times New Roman"/>
        <family val="1"/>
        <charset val="204"/>
      </rPr>
      <t>табл</t>
    </r>
    <r>
      <rPr>
        <sz val="14"/>
        <color theme="1"/>
        <rFont val="Times New Roman"/>
        <family val="1"/>
        <charset val="204"/>
      </rPr>
      <t>=2,2281
 t</t>
    </r>
    <r>
      <rPr>
        <sz val="10"/>
        <color theme="1"/>
        <rFont val="Times New Roman"/>
        <family val="1"/>
        <charset val="204"/>
      </rPr>
      <t>r</t>
    </r>
    <r>
      <rPr>
        <sz val="9"/>
        <color theme="1"/>
        <rFont val="Times New Roman"/>
        <family val="1"/>
        <charset val="204"/>
      </rPr>
      <t>xy</t>
    </r>
    <r>
      <rPr>
        <sz val="14"/>
        <color theme="1"/>
        <rFont val="Times New Roman"/>
        <family val="1"/>
        <charset val="204"/>
      </rPr>
      <t>= 100,84 &gt; t</t>
    </r>
    <r>
      <rPr>
        <sz val="9"/>
        <color theme="1"/>
        <rFont val="Times New Roman"/>
        <family val="1"/>
        <charset val="204"/>
      </rPr>
      <t>табл</t>
    </r>
    <r>
      <rPr>
        <sz val="14"/>
        <color theme="1"/>
        <rFont val="Times New Roman"/>
        <family val="1"/>
        <charset val="204"/>
      </rPr>
      <t>=2,2281
tb &gt; t таб; trxy &gt; t таб, говорит о том что b и t</t>
    </r>
    <r>
      <rPr>
        <sz val="11"/>
        <color theme="1"/>
        <rFont val="Times New Roman"/>
        <family val="1"/>
        <charset val="204"/>
      </rPr>
      <t>r</t>
    </r>
    <r>
      <rPr>
        <sz val="9"/>
        <color theme="1"/>
        <rFont val="Times New Roman"/>
        <family val="1"/>
        <charset val="204"/>
      </rPr>
      <t>xy</t>
    </r>
    <r>
      <rPr>
        <sz val="14"/>
        <color theme="1"/>
        <rFont val="Times New Roman"/>
        <family val="1"/>
        <charset val="204"/>
      </rPr>
      <t xml:space="preserve"> сформировались под влиянием систематически действующего фактора x. ta &lt; t таб  говорит о случайной природе формирования а</t>
    </r>
  </si>
  <si>
    <t>Средняя ошибка аппроксимацииA  i= 1%, говорит о том, что качество подобранной модели - хорошее, т. к. Ai &lt; 15 %</t>
  </si>
  <si>
    <t>Средняя ошибка аппроксимации А = 4 %, качество подобранной модели описывается как хорошее, так как коэффициент не превышает допустимые 15 процентов.</t>
  </si>
  <si>
    <t>Средняя ошибка аппроксимации А = 0,4%, качество подобранной модели описывается как хорошее, так как коэффициент не превышает допустимые 15 %.</t>
  </si>
  <si>
    <r>
      <t>t</t>
    </r>
    <r>
      <rPr>
        <sz val="9"/>
        <color theme="1"/>
        <rFont val="Times New Roman"/>
        <family val="1"/>
        <charset val="204"/>
      </rPr>
      <t>a</t>
    </r>
    <r>
      <rPr>
        <sz val="14"/>
        <color theme="1"/>
        <rFont val="Times New Roman"/>
        <family val="1"/>
        <charset val="204"/>
      </rPr>
      <t>= 37,02 &gt; t</t>
    </r>
    <r>
      <rPr>
        <sz val="9"/>
        <color theme="1"/>
        <rFont val="Times New Roman"/>
        <family val="1"/>
        <charset val="204"/>
      </rPr>
      <t>табл</t>
    </r>
    <r>
      <rPr>
        <sz val="14"/>
        <color theme="1"/>
        <rFont val="Times New Roman"/>
        <family val="1"/>
        <charset val="204"/>
      </rPr>
      <t>=2,2281
t</t>
    </r>
    <r>
      <rPr>
        <sz val="9"/>
        <color theme="1"/>
        <rFont val="Times New Roman"/>
        <family val="1"/>
        <charset val="204"/>
      </rPr>
      <t>b</t>
    </r>
    <r>
      <rPr>
        <sz val="14"/>
        <color theme="1"/>
        <rFont val="Times New Roman"/>
        <family val="1"/>
        <charset val="204"/>
      </rPr>
      <t>= 78,56 &lt; t</t>
    </r>
    <r>
      <rPr>
        <sz val="9"/>
        <color theme="1"/>
        <rFont val="Times New Roman"/>
        <family val="1"/>
        <charset val="204"/>
      </rPr>
      <t>табл</t>
    </r>
    <r>
      <rPr>
        <sz val="14"/>
        <color theme="1"/>
        <rFont val="Times New Roman"/>
        <family val="1"/>
        <charset val="204"/>
      </rPr>
      <t>=2,2281
 t</t>
    </r>
    <r>
      <rPr>
        <sz val="10"/>
        <color theme="1"/>
        <rFont val="Times New Roman"/>
        <family val="1"/>
        <charset val="204"/>
      </rPr>
      <t>r</t>
    </r>
    <r>
      <rPr>
        <sz val="9"/>
        <color theme="1"/>
        <rFont val="Times New Roman"/>
        <family val="1"/>
        <charset val="204"/>
      </rPr>
      <t>xy</t>
    </r>
    <r>
      <rPr>
        <sz val="14"/>
        <color theme="1"/>
        <rFont val="Times New Roman"/>
        <family val="1"/>
        <charset val="204"/>
      </rPr>
      <t>= 33,84 &gt; t</t>
    </r>
    <r>
      <rPr>
        <sz val="9"/>
        <color theme="1"/>
        <rFont val="Times New Roman"/>
        <family val="1"/>
        <charset val="204"/>
      </rPr>
      <t>табл</t>
    </r>
    <r>
      <rPr>
        <sz val="14"/>
        <color theme="1"/>
        <rFont val="Times New Roman"/>
        <family val="1"/>
        <charset val="204"/>
      </rPr>
      <t>=2,2281
tb&gt;tтабл , trxy &gt; tтабл, ta&gt;tтабл  гипотеза Ho отклоняется, т.е. b и rxy сформировались под влиянием систематически действующего фактора х.</t>
    </r>
  </si>
  <si>
    <t>r xy &gt; 0  - свидетельствует о наличии прямой связи между  среднедушевым прожиточным минимумом в месяц одного трудоспособного и среднемесечной заработной платой. r xy  = 0,99 - говорит о сильном характере связи между  среднедушевым прожиточным минимумом в месяц одного трудоспособного и среднемесечной заработной платой. Полученный коэффициент детерминации R²=0,99 говорит о том, что полученное уравнение регрессии высокого качества</t>
  </si>
  <si>
    <r>
      <t>t</t>
    </r>
    <r>
      <rPr>
        <sz val="9"/>
        <color theme="1"/>
        <rFont val="Times New Roman"/>
        <family val="1"/>
        <charset val="204"/>
      </rPr>
      <t>a</t>
    </r>
    <r>
      <rPr>
        <sz val="14"/>
        <color theme="1"/>
        <rFont val="Times New Roman"/>
        <family val="1"/>
        <charset val="204"/>
      </rPr>
      <t>= -22,23 &lt; t</t>
    </r>
    <r>
      <rPr>
        <sz val="9"/>
        <color theme="1"/>
        <rFont val="Times New Roman"/>
        <family val="1"/>
        <charset val="204"/>
      </rPr>
      <t>табл</t>
    </r>
    <r>
      <rPr>
        <sz val="14"/>
        <color theme="1"/>
        <rFont val="Times New Roman"/>
        <family val="1"/>
        <charset val="204"/>
      </rPr>
      <t>=2,2281
t</t>
    </r>
    <r>
      <rPr>
        <sz val="9"/>
        <color theme="1"/>
        <rFont val="Times New Roman"/>
        <family val="1"/>
        <charset val="204"/>
      </rPr>
      <t>b</t>
    </r>
    <r>
      <rPr>
        <sz val="14"/>
        <color theme="1"/>
        <rFont val="Times New Roman"/>
        <family val="1"/>
        <charset val="204"/>
      </rPr>
      <t>= 30,8 &gt; t</t>
    </r>
    <r>
      <rPr>
        <sz val="9"/>
        <color theme="1"/>
        <rFont val="Times New Roman"/>
        <family val="1"/>
        <charset val="204"/>
      </rPr>
      <t>табл</t>
    </r>
    <r>
      <rPr>
        <sz val="14"/>
        <color theme="1"/>
        <rFont val="Times New Roman"/>
        <family val="1"/>
        <charset val="204"/>
      </rPr>
      <t>=2,2281
 t</t>
    </r>
    <r>
      <rPr>
        <sz val="10"/>
        <color theme="1"/>
        <rFont val="Times New Roman"/>
        <family val="1"/>
        <charset val="204"/>
      </rPr>
      <t>r</t>
    </r>
    <r>
      <rPr>
        <sz val="9"/>
        <color theme="1"/>
        <rFont val="Times New Roman"/>
        <family val="1"/>
        <charset val="204"/>
      </rPr>
      <t>xy</t>
    </r>
    <r>
      <rPr>
        <sz val="14"/>
        <color theme="1"/>
        <rFont val="Times New Roman"/>
        <family val="1"/>
        <charset val="204"/>
      </rPr>
      <t>= 30,8 &gt; t</t>
    </r>
    <r>
      <rPr>
        <sz val="9"/>
        <color theme="1"/>
        <rFont val="Times New Roman"/>
        <family val="1"/>
        <charset val="204"/>
      </rPr>
      <t>табл</t>
    </r>
    <r>
      <rPr>
        <sz val="14"/>
        <color theme="1"/>
        <rFont val="Times New Roman"/>
        <family val="1"/>
        <charset val="204"/>
      </rPr>
      <t>=2,2281
tb &gt; t таб; trxy &gt; t таб, говорит о том что b и t</t>
    </r>
    <r>
      <rPr>
        <sz val="11"/>
        <color theme="1"/>
        <rFont val="Times New Roman"/>
        <family val="1"/>
        <charset val="204"/>
      </rPr>
      <t>r</t>
    </r>
    <r>
      <rPr>
        <sz val="9"/>
        <color theme="1"/>
        <rFont val="Times New Roman"/>
        <family val="1"/>
        <charset val="204"/>
      </rPr>
      <t>xy</t>
    </r>
    <r>
      <rPr>
        <sz val="14"/>
        <color theme="1"/>
        <rFont val="Times New Roman"/>
        <family val="1"/>
        <charset val="204"/>
      </rPr>
      <t xml:space="preserve"> сформировались под влиянием систематически действующего фактора x. ta &lt; t таб  говорит о случайной природе формирования а</t>
    </r>
  </si>
  <si>
    <r>
      <t>ρ</t>
    </r>
    <r>
      <rPr>
        <sz val="9"/>
        <color theme="1"/>
        <rFont val="Times New Roman"/>
        <family val="1"/>
        <charset val="204"/>
      </rPr>
      <t>xy</t>
    </r>
    <r>
      <rPr>
        <sz val="14"/>
        <color theme="1"/>
        <rFont val="Times New Roman"/>
        <family val="1"/>
        <charset val="204"/>
      </rPr>
      <t>=0,999. связь между среднедушевым прожиточным минимумом в месяц одного трудоспособного и среднедневной заработной платой является сильной. Полученный коэффициент детерминации равен: ρ</t>
    </r>
    <r>
      <rPr>
        <vertAlign val="superscript"/>
        <sz val="9"/>
        <color theme="1"/>
        <rFont val="Times New Roman"/>
        <family val="1"/>
        <charset val="204"/>
      </rPr>
      <t>2</t>
    </r>
    <r>
      <rPr>
        <sz val="9"/>
        <color theme="1"/>
        <rFont val="Times New Roman"/>
        <family val="1"/>
        <charset val="204"/>
      </rPr>
      <t>xy</t>
    </r>
    <r>
      <rPr>
        <sz val="14"/>
        <color theme="1"/>
        <rFont val="Times New Roman"/>
        <family val="1"/>
        <charset val="204"/>
      </rPr>
      <t>=0,999 полученное уравнение регрессии высоко описывает зависимость между среднедушевым прожиточным минимумом в месяц одного трудоспособного и среднедневной заработной платой.</t>
    </r>
  </si>
  <si>
    <r>
      <t>ý=0,7744*x</t>
    </r>
    <r>
      <rPr>
        <b/>
        <vertAlign val="superscript"/>
        <sz val="10"/>
        <color theme="1"/>
        <rFont val="Times New Roman"/>
        <family val="1"/>
        <charset val="204"/>
      </rPr>
      <t>1,0109</t>
    </r>
  </si>
  <si>
    <r>
      <t>ý=11,218e</t>
    </r>
    <r>
      <rPr>
        <b/>
        <vertAlign val="superscript"/>
        <sz val="10"/>
        <color theme="1"/>
        <rFont val="Aptos Narrow"/>
        <family val="2"/>
        <scheme val="minor"/>
      </rPr>
      <t>0,0262x</t>
    </r>
  </si>
  <si>
    <t>ý = 31,258ln (x) - 82,761</t>
  </si>
  <si>
    <t>ý=-0,8158*x-0,3793</t>
  </si>
  <si>
    <r>
      <t xml:space="preserve">p </t>
    </r>
    <r>
      <rPr>
        <sz val="11"/>
        <color theme="1"/>
        <rFont val="Times New Roman"/>
        <family val="1"/>
        <charset val="204"/>
      </rPr>
      <t>xy</t>
    </r>
    <r>
      <rPr>
        <sz val="14"/>
        <color theme="1"/>
        <rFont val="Times New Roman"/>
        <family val="1"/>
        <charset val="204"/>
      </rPr>
      <t xml:space="preserve"> &gt; 0  - свидетельствует о наличии прямой связи между  среднедушевым прожиточным минимумом в месяц одного трудоспособного и среднемесечной заработной платой. p xy  = 0,9956 - говорит о сильном характере связи между  среднедушевым прожиточным минимумом в месяц одного трудоспособного и среднемесечной заработной платой. Полученный коэффициент детерминации R²=0,99 говорит о том, что полученное уравнение регрессии высокого качества</t>
    </r>
  </si>
  <si>
    <t xml:space="preserve">Среднемесячная заработная плата, тыс. руб., </t>
  </si>
  <si>
    <r>
      <rPr>
        <sz val="14"/>
        <color theme="1"/>
        <rFont val="Times New Roman"/>
        <family val="1"/>
        <charset val="204"/>
      </rPr>
      <t>F</t>
    </r>
    <r>
      <rPr>
        <sz val="9"/>
        <color theme="1"/>
        <rFont val="Times New Roman"/>
        <family val="1"/>
      </rPr>
      <t>факт</t>
    </r>
    <r>
      <rPr>
        <sz val="9"/>
        <color theme="1"/>
        <rFont val="Times New Roman"/>
        <family val="1"/>
        <charset val="204"/>
      </rPr>
      <t xml:space="preserve"> </t>
    </r>
    <r>
      <rPr>
        <sz val="14"/>
        <color theme="1"/>
        <rFont val="Times New Roman"/>
        <family val="1"/>
        <charset val="204"/>
      </rPr>
      <t>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</si>
</sst>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43" formatCode="_-* #,##0.00_-;\-* #,##0.00_-;_-* &quot;-&quot;??_-;_-@_-"/>
    <numFmt numFmtId="164" formatCode="_-* #,##0.0\ _₽_-;\-* #,##0.0\ _₽_-;_-* &quot;-&quot;??\ _₽_-;_-@_-"/>
    <numFmt numFmtId="165" formatCode="_-* #,##0.0\ _₽_-;\-* #,##0.0\ _₽_-;_-* &quot;-&quot;?\ _₽_-;_-@_-"/>
    <numFmt numFmtId="166" formatCode="0.0%"/>
    <numFmt numFmtId="167" formatCode="_-* #,##0.000000\ _₽_-;\-* #,##0.000000\ _₽_-;_-* &quot;-&quot;?\ _₽_-;_-@_-"/>
    <numFmt numFmtId="168" formatCode="0.000000"/>
    <numFmt numFmtId="169" formatCode="0.00000"/>
    <numFmt numFmtId="170" formatCode="0.000"/>
    <numFmt numFmtId="171" formatCode="0.0000"/>
    <numFmt numFmtId="172" formatCode="#,##0.00\ &quot;₽&quot;"/>
    <numFmt numFmtId="173" formatCode="_-* #,##0.00\ _₽_-;\-* #,##0.00\ _₽_-;_-* &quot;-&quot;??\ _₽_-;_-@_-"/>
    <numFmt numFmtId="174" formatCode="_-* #,##0.00\ _₽_-;\-* #,##0.00\ _₽_-;_-* &quot;-&quot;????\ _₽_-;_-@_-"/>
    <numFmt numFmtId="175" formatCode="_-* #,##0.0000\ _₽_-;\-* #,##0.0000\ _₽_-;_-* &quot;-&quot;??\ _₽_-;_-@_-"/>
    <numFmt numFmtId="176" formatCode="_-* #,##0.000000\ _₽_-;\-* #,##0.000000\ _₽_-;_-* &quot;-&quot;??\ _₽_-;_-@_-"/>
    <numFmt numFmtId="177" formatCode="_-* #,##0.00\ _₽_-;\-* #,##0.00\ _₽_-;_-* &quot;-&quot;?\ _₽_-;_-@_-"/>
    <numFmt numFmtId="178" formatCode="_-* #,##0.000\ _₽_-;\-* #,##0.000\ _₽_-;_-* &quot;-&quot;?\ _₽_-;_-@_-"/>
    <numFmt numFmtId="179" formatCode="_-* #,##0.000\ _₽_-;\-* #,##0.000\ _₽_-;_-* &quot;-&quot;??\ _₽_-;_-@_-"/>
    <numFmt numFmtId="180" formatCode="0.00000E+00"/>
    <numFmt numFmtId="181" formatCode="_-* #,##0.0000\ _₽_-;\-* #,##0.0000\ _₽_-;_-* &quot;-&quot;?\ _₽_-;_-@_-"/>
    <numFmt numFmtId="182" formatCode="0.0E+00"/>
    <numFmt numFmtId="183" formatCode="0.0000000"/>
  </numFmts>
  <fonts count="57" x14ac:knownFonts="1"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charset val="204"/>
      <scheme val="minor"/>
    </font>
    <font>
      <sz val="11"/>
      <name val="Aptos Narrow"/>
      <family val="2"/>
      <charset val="204"/>
      <scheme val="minor"/>
    </font>
    <font>
      <sz val="11"/>
      <color rgb="FFFF0000"/>
      <name val="Aptos Narrow"/>
      <family val="2"/>
      <charset val="204"/>
      <scheme val="minor"/>
    </font>
    <font>
      <sz val="10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vertAlign val="superscript"/>
      <sz val="14"/>
      <color rgb="FF000000"/>
      <name val="Times New Roman"/>
      <family val="1"/>
      <charset val="204"/>
    </font>
    <font>
      <vertAlign val="subscript"/>
      <sz val="14"/>
      <color rgb="FF000000"/>
      <name val="Times New Roman"/>
      <family val="1"/>
      <charset val="204"/>
    </font>
    <font>
      <sz val="8"/>
      <color rgb="FF000000"/>
      <name val="Times New Roman"/>
      <family val="1"/>
      <charset val="204"/>
    </font>
    <font>
      <sz val="14"/>
      <color rgb="FF000000"/>
      <name val="Aptos Narrow"/>
      <family val="2"/>
    </font>
    <font>
      <sz val="14"/>
      <color rgb="FF000000"/>
      <name val="Times New Roman"/>
      <family val="2"/>
      <charset val="204"/>
    </font>
    <font>
      <i/>
      <sz val="14"/>
      <color rgb="FF000000"/>
      <name val="Symbol"/>
      <family val="1"/>
      <charset val="2"/>
    </font>
    <font>
      <sz val="14"/>
      <color rgb="FF000000"/>
      <name val="Symbol"/>
      <family val="1"/>
      <charset val="2"/>
    </font>
    <font>
      <i/>
      <sz val="11"/>
      <color theme="1"/>
      <name val="Aptos Narrow"/>
      <family val="2"/>
      <charset val="204"/>
      <scheme val="minor"/>
    </font>
    <font>
      <sz val="14"/>
      <color theme="1"/>
      <name val="Times New Roman"/>
      <family val="1"/>
      <charset val="204"/>
    </font>
    <font>
      <sz val="9"/>
      <color rgb="FF000000"/>
      <name val="Aptos Narrow"/>
      <family val="2"/>
    </font>
    <font>
      <b/>
      <sz val="20"/>
      <color theme="1"/>
      <name val="Aptos Narrow"/>
      <family val="2"/>
      <scheme val="minor"/>
    </font>
    <font>
      <vertAlign val="superscript"/>
      <sz val="9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sz val="14"/>
      <color rgb="FF000000"/>
      <name val="Calibri"/>
      <family val="2"/>
      <charset val="204"/>
    </font>
    <font>
      <i/>
      <sz val="11"/>
      <color theme="1"/>
      <name val="Aptos Narrow"/>
      <family val="2"/>
      <scheme val="minor"/>
    </font>
    <font>
      <sz val="12"/>
      <color theme="1"/>
      <name val="Times New Roman"/>
      <family val="1"/>
      <charset val="204"/>
    </font>
    <font>
      <vertAlign val="superscript"/>
      <sz val="8"/>
      <color theme="1"/>
      <name val="Times New Roman"/>
      <family val="1"/>
      <charset val="204"/>
    </font>
    <font>
      <sz val="9"/>
      <color theme="1"/>
      <name val="Aptos Narrow"/>
      <family val="2"/>
      <scheme val="minor"/>
    </font>
    <font>
      <sz val="7"/>
      <color theme="1"/>
      <name val="Aptos Narrow"/>
      <family val="2"/>
      <scheme val="minor"/>
    </font>
    <font>
      <vertAlign val="superscript"/>
      <sz val="9"/>
      <color rgb="FF000000"/>
      <name val="Times New Roman"/>
      <family val="1"/>
      <charset val="204"/>
    </font>
    <font>
      <sz val="2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8"/>
      <color theme="1"/>
      <name val="Aptos Narrow"/>
      <family val="2"/>
      <scheme val="minor"/>
    </font>
    <font>
      <sz val="11"/>
      <color theme="1"/>
      <name val="Aptos Narrow"/>
      <family val="2"/>
    </font>
    <font>
      <sz val="9.25"/>
      <color theme="1"/>
      <name val="Aptos Narrow"/>
      <family val="2"/>
      <charset val="204"/>
    </font>
    <font>
      <vertAlign val="superscript"/>
      <sz val="9.25"/>
      <color theme="1"/>
      <name val="Aptos Narrow"/>
      <family val="2"/>
    </font>
    <font>
      <vertAlign val="superscript"/>
      <sz val="9"/>
      <color theme="1"/>
      <name val="Times New Roman"/>
      <family val="1"/>
      <charset val="204"/>
    </font>
    <font>
      <vertAlign val="superscript"/>
      <sz val="10"/>
      <color rgb="FF000000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1"/>
      <color theme="1"/>
      <name val="Aptos Narrow"/>
      <family val="2"/>
      <charset val="204"/>
    </font>
    <font>
      <vertAlign val="superscript"/>
      <sz val="11"/>
      <color theme="1"/>
      <name val="Times New Roman"/>
      <family val="1"/>
      <charset val="204"/>
    </font>
    <font>
      <sz val="11"/>
      <color theme="1"/>
      <name val="Calibri"/>
      <family val="2"/>
      <charset val="204"/>
    </font>
    <font>
      <vertAlign val="superscript"/>
      <sz val="11"/>
      <color theme="1"/>
      <name val="Aptos Narrow"/>
      <family val="2"/>
    </font>
    <font>
      <vertAlign val="subscript"/>
      <sz val="12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  <font>
      <b/>
      <sz val="11"/>
      <color theme="1"/>
      <name val="Aptos Narrow"/>
      <family val="2"/>
      <charset val="204"/>
      <scheme val="minor"/>
    </font>
    <font>
      <sz val="8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4"/>
      <color rgb="FF000000"/>
      <name val="Symbol"/>
      <family val="1"/>
      <charset val="204"/>
    </font>
    <font>
      <b/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2"/>
      <charset val="204"/>
    </font>
    <font>
      <b/>
      <sz val="14"/>
      <color theme="1"/>
      <name val="Aptos Narrow"/>
      <family val="2"/>
      <charset val="204"/>
      <scheme val="minor"/>
    </font>
    <font>
      <sz val="14"/>
      <color theme="1"/>
      <name val="Aptos Narrow"/>
      <family val="2"/>
      <charset val="204"/>
      <scheme val="minor"/>
    </font>
    <font>
      <sz val="12"/>
      <color theme="1"/>
      <name val="Aptos Narrow"/>
      <family val="2"/>
      <scheme val="minor"/>
    </font>
    <font>
      <b/>
      <vertAlign val="superscript"/>
      <sz val="10"/>
      <color theme="1"/>
      <name val="Times New Roman"/>
      <family val="1"/>
      <charset val="204"/>
    </font>
    <font>
      <b/>
      <vertAlign val="superscript"/>
      <sz val="10"/>
      <color theme="1"/>
      <name val="Aptos Narrow"/>
      <family val="2"/>
      <scheme val="minor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1"/>
      </right>
      <top style="medium">
        <color indexed="64"/>
      </top>
      <bottom style="medium">
        <color indexed="64"/>
      </bottom>
      <diagonal/>
    </border>
    <border>
      <left/>
      <right style="thin">
        <color theme="1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53" fillId="0" borderId="0"/>
  </cellStyleXfs>
  <cellXfs count="171">
    <xf numFmtId="0" fontId="0" fillId="0" borderId="0" xfId="0"/>
    <xf numFmtId="0" fontId="0" fillId="0" borderId="0" xfId="0" applyAlignment="1">
      <alignment horizontal="left" vertical="top" wrapText="1"/>
    </xf>
    <xf numFmtId="164" fontId="2" fillId="0" borderId="0" xfId="1" applyNumberFormat="1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164" fontId="2" fillId="0" borderId="0" xfId="1" applyNumberFormat="1" applyFont="1"/>
    <xf numFmtId="0" fontId="5" fillId="0" borderId="4" xfId="0" applyFont="1" applyBorder="1" applyAlignment="1">
      <alignment horizontal="center" vertical="center" wrapText="1"/>
    </xf>
    <xf numFmtId="0" fontId="3" fillId="0" borderId="0" xfId="0" applyFont="1"/>
    <xf numFmtId="0" fontId="0" fillId="0" borderId="8" xfId="0" applyBorder="1"/>
    <xf numFmtId="165" fontId="0" fillId="0" borderId="8" xfId="0" applyNumberFormat="1" applyBorder="1"/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11" fillId="0" borderId="5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166" fontId="0" fillId="0" borderId="3" xfId="2" applyNumberFormat="1" applyFont="1" applyBorder="1"/>
    <xf numFmtId="164" fontId="4" fillId="0" borderId="7" xfId="0" applyNumberFormat="1" applyFont="1" applyBorder="1" applyAlignment="1">
      <alignment vertical="center" wrapText="1"/>
    </xf>
    <xf numFmtId="164" fontId="4" fillId="0" borderId="0" xfId="0" applyNumberFormat="1" applyFont="1" applyAlignment="1">
      <alignment vertical="center" wrapText="1"/>
    </xf>
    <xf numFmtId="0" fontId="0" fillId="0" borderId="11" xfId="0" applyBorder="1"/>
    <xf numFmtId="0" fontId="4" fillId="0" borderId="12" xfId="0" applyFont="1" applyBorder="1" applyAlignment="1">
      <alignment vertical="center" wrapText="1"/>
    </xf>
    <xf numFmtId="0" fontId="0" fillId="0" borderId="13" xfId="0" applyBorder="1"/>
    <xf numFmtId="0" fontId="0" fillId="0" borderId="14" xfId="0" applyBorder="1"/>
    <xf numFmtId="164" fontId="4" fillId="0" borderId="15" xfId="0" applyNumberFormat="1" applyFont="1" applyBorder="1" applyAlignment="1">
      <alignment vertical="center" wrapText="1"/>
    </xf>
    <xf numFmtId="164" fontId="4" fillId="0" borderId="16" xfId="0" applyNumberFormat="1" applyFont="1" applyBorder="1" applyAlignment="1">
      <alignment vertical="center" wrapText="1"/>
    </xf>
    <xf numFmtId="166" fontId="4" fillId="0" borderId="14" xfId="2" applyNumberFormat="1" applyFont="1" applyBorder="1" applyAlignment="1">
      <alignment vertical="center" wrapText="1"/>
    </xf>
    <xf numFmtId="164" fontId="4" fillId="0" borderId="6" xfId="0" applyNumberFormat="1" applyFont="1" applyBorder="1" applyAlignment="1">
      <alignment vertical="center" wrapText="1"/>
    </xf>
    <xf numFmtId="0" fontId="4" fillId="0" borderId="15" xfId="0" applyFont="1" applyBorder="1" applyAlignment="1">
      <alignment vertical="center" wrapText="1"/>
    </xf>
    <xf numFmtId="164" fontId="4" fillId="0" borderId="17" xfId="0" applyNumberFormat="1" applyFont="1" applyBorder="1" applyAlignment="1">
      <alignment vertical="center" wrapText="1"/>
    </xf>
    <xf numFmtId="164" fontId="4" fillId="0" borderId="3" xfId="0" applyNumberFormat="1" applyFont="1" applyBorder="1" applyAlignment="1">
      <alignment vertical="center" wrapText="1"/>
    </xf>
    <xf numFmtId="0" fontId="4" fillId="0" borderId="18" xfId="0" applyFont="1" applyBorder="1" applyAlignment="1">
      <alignment vertical="center" wrapText="1"/>
    </xf>
    <xf numFmtId="0" fontId="4" fillId="0" borderId="19" xfId="0" applyFont="1" applyBorder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165" fontId="0" fillId="0" borderId="0" xfId="0" applyNumberFormat="1"/>
    <xf numFmtId="0" fontId="14" fillId="0" borderId="0" xfId="0" applyFont="1" applyAlignment="1">
      <alignment horizontal="right"/>
    </xf>
    <xf numFmtId="0" fontId="16" fillId="0" borderId="0" xfId="0" applyFont="1"/>
    <xf numFmtId="0" fontId="19" fillId="0" borderId="0" xfId="0" applyFont="1" applyAlignment="1">
      <alignment horizontal="right"/>
    </xf>
    <xf numFmtId="0" fontId="20" fillId="0" borderId="0" xfId="0" applyFont="1" applyAlignment="1">
      <alignment horizontal="center" vertical="center" wrapText="1"/>
    </xf>
    <xf numFmtId="166" fontId="0" fillId="0" borderId="0" xfId="0" applyNumberFormat="1"/>
    <xf numFmtId="0" fontId="21" fillId="0" borderId="0" xfId="0" applyFont="1" applyAlignment="1">
      <alignment horizontal="right"/>
    </xf>
    <xf numFmtId="0" fontId="4" fillId="0" borderId="0" xfId="0" applyFont="1" applyAlignment="1">
      <alignment horizontal="left" indent="8"/>
    </xf>
    <xf numFmtId="0" fontId="22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right" vertical="center"/>
    </xf>
    <xf numFmtId="0" fontId="10" fillId="0" borderId="10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168" fontId="14" fillId="0" borderId="0" xfId="0" applyNumberFormat="1" applyFont="1" applyAlignment="1">
      <alignment horizontal="center" vertical="center"/>
    </xf>
    <xf numFmtId="2" fontId="14" fillId="0" borderId="0" xfId="0" applyNumberFormat="1" applyFont="1" applyAlignment="1">
      <alignment horizontal="center" vertical="center"/>
    </xf>
    <xf numFmtId="169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4" fillId="0" borderId="0" xfId="0" applyFont="1"/>
    <xf numFmtId="0" fontId="14" fillId="0" borderId="0" xfId="0" applyFont="1" applyAlignment="1">
      <alignment horizontal="right" vertical="center"/>
    </xf>
    <xf numFmtId="170" fontId="14" fillId="0" borderId="0" xfId="0" applyNumberFormat="1" applyFont="1" applyAlignment="1">
      <alignment horizontal="left" vertical="center"/>
    </xf>
    <xf numFmtId="172" fontId="14" fillId="0" borderId="0" xfId="0" applyNumberFormat="1" applyFont="1" applyAlignment="1">
      <alignment horizontal="left" vertical="center"/>
    </xf>
    <xf numFmtId="2" fontId="14" fillId="0" borderId="0" xfId="0" applyNumberFormat="1" applyFont="1" applyAlignment="1">
      <alignment horizontal="left" vertical="center"/>
    </xf>
    <xf numFmtId="170" fontId="14" fillId="0" borderId="0" xfId="0" applyNumberFormat="1" applyFont="1" applyAlignment="1">
      <alignment horizontal="right" vertical="center"/>
    </xf>
    <xf numFmtId="0" fontId="4" fillId="0" borderId="21" xfId="0" applyFont="1" applyBorder="1" applyAlignment="1">
      <alignment vertical="center" wrapText="1"/>
    </xf>
    <xf numFmtId="167" fontId="4" fillId="0" borderId="4" xfId="0" applyNumberFormat="1" applyFont="1" applyBorder="1" applyAlignment="1">
      <alignment horizontal="left" vertical="center" wrapText="1" indent="1"/>
    </xf>
    <xf numFmtId="0" fontId="4" fillId="0" borderId="6" xfId="0" applyFont="1" applyBorder="1" applyAlignment="1">
      <alignment vertical="center" wrapText="1"/>
    </xf>
    <xf numFmtId="167" fontId="4" fillId="0" borderId="6" xfId="0" applyNumberFormat="1" applyFont="1" applyBorder="1" applyAlignment="1">
      <alignment horizontal="left" vertical="center" wrapText="1" indent="1"/>
    </xf>
    <xf numFmtId="0" fontId="32" fillId="0" borderId="0" xfId="0" applyFont="1" applyAlignment="1">
      <alignment horizontal="right"/>
    </xf>
    <xf numFmtId="171" fontId="0" fillId="0" borderId="0" xfId="0" applyNumberFormat="1"/>
    <xf numFmtId="43" fontId="0" fillId="0" borderId="3" xfId="1" applyFont="1" applyBorder="1"/>
    <xf numFmtId="43" fontId="0" fillId="0" borderId="3" xfId="1" applyFont="1" applyBorder="1" applyAlignment="1">
      <alignment horizontal="center"/>
    </xf>
    <xf numFmtId="0" fontId="18" fillId="0" borderId="0" xfId="0" applyFont="1" applyAlignment="1">
      <alignment horizontal="center"/>
    </xf>
    <xf numFmtId="173" fontId="0" fillId="0" borderId="0" xfId="0" applyNumberFormat="1"/>
    <xf numFmtId="174" fontId="14" fillId="0" borderId="0" xfId="0" applyNumberFormat="1" applyFont="1" applyAlignment="1">
      <alignment horizontal="left" indent="2"/>
    </xf>
    <xf numFmtId="2" fontId="14" fillId="0" borderId="0" xfId="0" applyNumberFormat="1" applyFont="1" applyAlignment="1">
      <alignment horizontal="left" indent="9"/>
    </xf>
    <xf numFmtId="175" fontId="0" fillId="0" borderId="0" xfId="0" applyNumberFormat="1"/>
    <xf numFmtId="176" fontId="0" fillId="0" borderId="0" xfId="0" applyNumberFormat="1"/>
    <xf numFmtId="175" fontId="4" fillId="0" borderId="16" xfId="0" applyNumberFormat="1" applyFont="1" applyBorder="1" applyAlignment="1">
      <alignment vertical="center" wrapText="1"/>
    </xf>
    <xf numFmtId="176" fontId="4" fillId="0" borderId="16" xfId="0" applyNumberFormat="1" applyFont="1" applyBorder="1" applyAlignment="1">
      <alignment vertical="center" wrapText="1"/>
    </xf>
    <xf numFmtId="0" fontId="12" fillId="0" borderId="22" xfId="0" applyFont="1" applyBorder="1" applyAlignment="1">
      <alignment horizontal="center" vertical="center" wrapText="1"/>
    </xf>
    <xf numFmtId="167" fontId="4" fillId="0" borderId="23" xfId="0" applyNumberFormat="1" applyFont="1" applyBorder="1" applyAlignment="1">
      <alignment horizontal="left" vertical="center" wrapText="1" indent="1"/>
    </xf>
    <xf numFmtId="167" fontId="4" fillId="0" borderId="24" xfId="0" applyNumberFormat="1" applyFont="1" applyBorder="1" applyAlignment="1">
      <alignment horizontal="left" vertical="center" wrapText="1" indent="1"/>
    </xf>
    <xf numFmtId="167" fontId="4" fillId="0" borderId="22" xfId="0" applyNumberFormat="1" applyFont="1" applyBorder="1" applyAlignment="1">
      <alignment horizontal="left" vertical="center" wrapText="1" indent="1"/>
    </xf>
    <xf numFmtId="0" fontId="0" fillId="0" borderId="25" xfId="0" applyBorder="1"/>
    <xf numFmtId="165" fontId="0" fillId="0" borderId="1" xfId="0" applyNumberFormat="1" applyBorder="1"/>
    <xf numFmtId="0" fontId="29" fillId="0" borderId="10" xfId="0" applyFont="1" applyBorder="1" applyAlignment="1">
      <alignment horizontal="center" vertical="center" wrapText="1"/>
    </xf>
    <xf numFmtId="0" fontId="38" fillId="0" borderId="0" xfId="0" applyFont="1" applyAlignment="1">
      <alignment horizontal="right"/>
    </xf>
    <xf numFmtId="177" fontId="0" fillId="0" borderId="0" xfId="0" applyNumberFormat="1" applyAlignment="1">
      <alignment horizontal="left"/>
    </xf>
    <xf numFmtId="177" fontId="0" fillId="0" borderId="0" xfId="0" applyNumberFormat="1"/>
    <xf numFmtId="178" fontId="0" fillId="0" borderId="0" xfId="0" applyNumberFormat="1" applyAlignment="1">
      <alignment horizontal="left"/>
    </xf>
    <xf numFmtId="179" fontId="4" fillId="0" borderId="15" xfId="0" applyNumberFormat="1" applyFont="1" applyBorder="1" applyAlignment="1">
      <alignment vertical="center" wrapText="1"/>
    </xf>
    <xf numFmtId="179" fontId="4" fillId="0" borderId="16" xfId="0" applyNumberFormat="1" applyFont="1" applyBorder="1" applyAlignment="1">
      <alignment vertical="center" wrapText="1"/>
    </xf>
    <xf numFmtId="179" fontId="4" fillId="0" borderId="7" xfId="0" applyNumberFormat="1" applyFont="1" applyBorder="1" applyAlignment="1">
      <alignment vertical="center" wrapText="1"/>
    </xf>
    <xf numFmtId="2" fontId="0" fillId="0" borderId="0" xfId="0" applyNumberFormat="1"/>
    <xf numFmtId="0" fontId="14" fillId="0" borderId="0" xfId="3" applyFont="1"/>
    <xf numFmtId="180" fontId="0" fillId="0" borderId="0" xfId="0" applyNumberFormat="1"/>
    <xf numFmtId="0" fontId="5" fillId="0" borderId="0" xfId="3" applyFont="1"/>
    <xf numFmtId="0" fontId="18" fillId="0" borderId="0" xfId="0" applyFont="1"/>
    <xf numFmtId="0" fontId="19" fillId="0" borderId="0" xfId="0" applyFont="1"/>
    <xf numFmtId="170" fontId="0" fillId="0" borderId="0" xfId="0" applyNumberFormat="1"/>
    <xf numFmtId="2" fontId="0" fillId="0" borderId="0" xfId="0" applyNumberFormat="1" applyAlignment="1">
      <alignment horizontal="left" indent="5"/>
    </xf>
    <xf numFmtId="0" fontId="21" fillId="0" borderId="0" xfId="0" applyFont="1" applyAlignment="1">
      <alignment horizontal="left"/>
    </xf>
    <xf numFmtId="0" fontId="0" fillId="0" borderId="0" xfId="0" applyAlignment="1">
      <alignment vertical="top"/>
    </xf>
    <xf numFmtId="171" fontId="14" fillId="0" borderId="0" xfId="3" applyNumberFormat="1" applyFont="1" applyAlignment="1">
      <alignment vertical="top" wrapText="1"/>
    </xf>
    <xf numFmtId="2" fontId="0" fillId="0" borderId="0" xfId="0" applyNumberFormat="1" applyAlignment="1">
      <alignment horizontal="left"/>
    </xf>
    <xf numFmtId="0" fontId="5" fillId="0" borderId="15" xfId="0" applyFont="1" applyBorder="1" applyAlignment="1">
      <alignment horizontal="center" vertical="center" wrapText="1"/>
    </xf>
    <xf numFmtId="179" fontId="4" fillId="0" borderId="0" xfId="0" applyNumberFormat="1" applyFont="1" applyAlignment="1">
      <alignment vertical="center" wrapText="1"/>
    </xf>
    <xf numFmtId="167" fontId="4" fillId="0" borderId="0" xfId="0" applyNumberFormat="1" applyFont="1" applyAlignment="1">
      <alignment horizontal="left" vertical="center" wrapText="1" indent="1"/>
    </xf>
    <xf numFmtId="0" fontId="11" fillId="0" borderId="7" xfId="0" applyFont="1" applyBorder="1" applyAlignment="1">
      <alignment horizontal="center" vertical="center" wrapText="1"/>
    </xf>
    <xf numFmtId="0" fontId="0" fillId="0" borderId="7" xfId="0" applyBorder="1"/>
    <xf numFmtId="0" fontId="45" fillId="0" borderId="0" xfId="0" applyFont="1"/>
    <xf numFmtId="165" fontId="45" fillId="0" borderId="0" xfId="0" applyNumberFormat="1" applyFont="1"/>
    <xf numFmtId="0" fontId="48" fillId="0" borderId="0" xfId="0" applyFont="1" applyAlignment="1">
      <alignment horizontal="center" vertical="center" wrapText="1"/>
    </xf>
    <xf numFmtId="0" fontId="49" fillId="0" borderId="0" xfId="0" applyFont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51" fillId="0" borderId="0" xfId="0" applyFont="1" applyAlignment="1">
      <alignment horizontal="center"/>
    </xf>
    <xf numFmtId="0" fontId="45" fillId="0" borderId="0" xfId="0" applyFont="1" applyAlignment="1">
      <alignment horizontal="center"/>
    </xf>
    <xf numFmtId="0" fontId="14" fillId="0" borderId="26" xfId="0" applyFont="1" applyBorder="1" applyAlignment="1">
      <alignment horizontal="center" vertical="center" wrapText="1"/>
    </xf>
    <xf numFmtId="0" fontId="14" fillId="0" borderId="26" xfId="0" applyFont="1" applyBorder="1"/>
    <xf numFmtId="0" fontId="14" fillId="0" borderId="26" xfId="0" applyFont="1" applyBorder="1" applyAlignment="1">
      <alignment horizontal="center" vertical="center"/>
    </xf>
    <xf numFmtId="0" fontId="14" fillId="2" borderId="26" xfId="0" applyFont="1" applyFill="1" applyBorder="1" applyAlignment="1">
      <alignment horizontal="center" vertical="center"/>
    </xf>
    <xf numFmtId="0" fontId="41" fillId="0" borderId="0" xfId="0" applyFont="1"/>
    <xf numFmtId="0" fontId="27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52" fillId="0" borderId="0" xfId="0" applyFont="1"/>
    <xf numFmtId="0" fontId="53" fillId="0" borderId="27" xfId="4" applyBorder="1"/>
    <xf numFmtId="0" fontId="53" fillId="0" borderId="28" xfId="4" applyBorder="1"/>
    <xf numFmtId="0" fontId="53" fillId="0" borderId="29" xfId="4" applyBorder="1"/>
    <xf numFmtId="0" fontId="53" fillId="0" borderId="30" xfId="4" applyBorder="1"/>
    <xf numFmtId="0" fontId="53" fillId="0" borderId="31" xfId="4" applyBorder="1"/>
    <xf numFmtId="9" fontId="0" fillId="0" borderId="0" xfId="2" applyFont="1"/>
    <xf numFmtId="9" fontId="4" fillId="0" borderId="16" xfId="2" applyFont="1" applyBorder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0" fillId="0" borderId="3" xfId="0" applyBorder="1" applyAlignment="1">
      <alignment horizontal="center"/>
    </xf>
    <xf numFmtId="176" fontId="0" fillId="0" borderId="3" xfId="0" applyNumberFormat="1" applyBorder="1"/>
    <xf numFmtId="176" fontId="4" fillId="0" borderId="17" xfId="0" applyNumberFormat="1" applyFont="1" applyBorder="1" applyAlignment="1">
      <alignment vertical="center" wrapText="1"/>
    </xf>
    <xf numFmtId="0" fontId="0" fillId="0" borderId="3" xfId="0" applyBorder="1"/>
    <xf numFmtId="0" fontId="0" fillId="0" borderId="2" xfId="0" applyBorder="1"/>
    <xf numFmtId="173" fontId="0" fillId="0" borderId="0" xfId="0" applyNumberFormat="1" applyAlignment="1">
      <alignment horizontal="left"/>
    </xf>
    <xf numFmtId="0" fontId="13" fillId="0" borderId="20" xfId="0" applyFont="1" applyBorder="1" applyAlignment="1">
      <alignment horizontal="center"/>
    </xf>
    <xf numFmtId="0" fontId="13" fillId="0" borderId="20" xfId="0" applyFont="1" applyBorder="1" applyAlignment="1">
      <alignment horizontal="centerContinuous"/>
    </xf>
    <xf numFmtId="181" fontId="0" fillId="0" borderId="0" xfId="0" applyNumberFormat="1"/>
    <xf numFmtId="169" fontId="14" fillId="0" borderId="0" xfId="0" applyNumberFormat="1" applyFont="1" applyAlignment="1">
      <alignment horizontal="right" indent="1"/>
    </xf>
    <xf numFmtId="183" fontId="14" fillId="0" borderId="0" xfId="0" applyNumberFormat="1" applyFont="1" applyAlignment="1">
      <alignment horizontal="right" indent="1"/>
    </xf>
    <xf numFmtId="169" fontId="0" fillId="0" borderId="0" xfId="0" applyNumberFormat="1"/>
    <xf numFmtId="171" fontId="19" fillId="0" borderId="0" xfId="0" applyNumberFormat="1" applyFont="1"/>
    <xf numFmtId="10" fontId="14" fillId="0" borderId="26" xfId="0" applyNumberFormat="1" applyFont="1" applyBorder="1" applyAlignment="1">
      <alignment horizontal="center" vertical="center"/>
    </xf>
    <xf numFmtId="9" fontId="14" fillId="0" borderId="26" xfId="0" applyNumberFormat="1" applyFont="1" applyBorder="1" applyAlignment="1">
      <alignment horizontal="center" vertical="center"/>
    </xf>
    <xf numFmtId="9" fontId="14" fillId="2" borderId="26" xfId="0" applyNumberFormat="1" applyFont="1" applyFill="1" applyBorder="1" applyAlignment="1">
      <alignment horizontal="center" vertical="center"/>
    </xf>
    <xf numFmtId="182" fontId="0" fillId="0" borderId="0" xfId="0" applyNumberFormat="1" applyAlignment="1">
      <alignment horizontal="left"/>
    </xf>
    <xf numFmtId="2" fontId="14" fillId="0" borderId="0" xfId="0" applyNumberFormat="1" applyFont="1" applyAlignment="1">
      <alignment horizontal="left" indent="1"/>
    </xf>
    <xf numFmtId="0" fontId="4" fillId="0" borderId="32" xfId="0" applyFont="1" applyBorder="1" applyAlignment="1">
      <alignment vertical="center" wrapText="1"/>
    </xf>
    <xf numFmtId="167" fontId="4" fillId="0" borderId="15" xfId="0" applyNumberFormat="1" applyFont="1" applyBorder="1" applyAlignment="1">
      <alignment horizontal="left" vertical="center" wrapText="1" indent="1"/>
    </xf>
    <xf numFmtId="164" fontId="4" fillId="0" borderId="32" xfId="0" applyNumberFormat="1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33" xfId="0" applyFont="1" applyBorder="1" applyAlignment="1">
      <alignment vertical="center" wrapText="1"/>
    </xf>
    <xf numFmtId="167" fontId="4" fillId="0" borderId="16" xfId="0" applyNumberFormat="1" applyFont="1" applyBorder="1" applyAlignment="1">
      <alignment horizontal="left" vertical="center" wrapText="1" indent="1"/>
    </xf>
    <xf numFmtId="0" fontId="0" fillId="0" borderId="0" xfId="0" applyAlignment="1">
      <alignment horizontal="left" vertical="top" wrapText="1"/>
    </xf>
    <xf numFmtId="0" fontId="18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23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25" fillId="0" borderId="0" xfId="0" applyFont="1" applyAlignment="1">
      <alignment horizontal="left" vertical="top" wrapText="1"/>
    </xf>
    <xf numFmtId="0" fontId="1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 vertical="top" wrapText="1"/>
    </xf>
    <xf numFmtId="0" fontId="14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top"/>
    </xf>
    <xf numFmtId="0" fontId="14" fillId="0" borderId="0" xfId="0" applyFont="1" applyAlignment="1">
      <alignment horizontal="center" vertical="top" wrapText="1"/>
    </xf>
    <xf numFmtId="171" fontId="14" fillId="0" borderId="0" xfId="3" applyNumberFormat="1" applyFont="1" applyAlignment="1">
      <alignment horizontal="left" vertical="top" wrapText="1"/>
    </xf>
  </cellXfs>
  <cellStyles count="5">
    <cellStyle name="Обычный" xfId="0" builtinId="0"/>
    <cellStyle name="Обычный 2" xfId="4" xr:uid="{99AE2FAC-701D-4EA3-AAA1-A9B820286D98}"/>
    <cellStyle name="Обычный 2 2" xfId="3" xr:uid="{D9BF3E8A-416C-4894-9DDD-30B7288F7E7A}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calcChain" Target="calcChain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Среднедневная заработная плата, тыс</a:t>
            </a:r>
            <a:r>
              <a:rPr lang="en-US"/>
              <a:t>.</a:t>
            </a:r>
            <a:r>
              <a:rPr lang="ru-RU"/>
              <a:t>руб.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5530765334011351E-2"/>
          <c:y val="6.3030050124775888E-2"/>
          <c:w val="0.88653545285385849"/>
          <c:h val="0.87388068686941989"/>
        </c:manualLayout>
      </c:layout>
      <c:scatterChart>
        <c:scatterStyle val="lineMarker"/>
        <c:varyColors val="0"/>
        <c:ser>
          <c:idx val="0"/>
          <c:order val="0"/>
          <c:tx>
            <c:strRef>
              <c:f>ИД!$C$1</c:f>
              <c:strCache>
                <c:ptCount val="1"/>
                <c:pt idx="0">
                  <c:v>Среднемесячная заработная плата, тыс. руб., 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dash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7760279748428756"/>
                  <c:y val="0.5325261535252831"/>
                </c:manualLayout>
              </c:layout>
              <c:numFmt formatCode="General" sourceLinked="0"/>
              <c:spPr>
                <a:noFill/>
                <a:ln>
                  <a:solidFill>
                    <a:schemeClr val="bg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1371054669442771E-2"/>
                  <c:y val="0.514269221055669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rgbClr val="00B050"/>
                </a:solidFill>
                <a:prstDash val="dash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4.3620499170990201E-2"/>
                  <c:y val="0.51419953433454868"/>
                </c:manualLayout>
              </c:layout>
              <c:numFmt formatCode="General" sourceLinked="0"/>
              <c:spPr>
                <a:noFill/>
                <a:ln>
                  <a:solidFill>
                    <a:schemeClr val="bg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tx1"/>
                </a:solidFill>
                <a:prstDash val="dash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7447241773268385"/>
                  <c:y val="0.495275718065648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ИД!$B$2:$B$15</c:f>
              <c:numCache>
                <c:formatCode>General</c:formatCode>
                <c:ptCount val="14"/>
                <c:pt idx="0">
                  <c:v>29.9</c:v>
                </c:pt>
                <c:pt idx="1">
                  <c:v>30.4</c:v>
                </c:pt>
                <c:pt idx="2">
                  <c:v>37.4</c:v>
                </c:pt>
                <c:pt idx="3">
                  <c:v>37.799999999999997</c:v>
                </c:pt>
                <c:pt idx="4">
                  <c:v>38.799999999999997</c:v>
                </c:pt>
                <c:pt idx="5">
                  <c:v>38.9</c:v>
                </c:pt>
                <c:pt idx="6">
                  <c:v>39.4</c:v>
                </c:pt>
                <c:pt idx="7">
                  <c:v>40.200000000000003</c:v>
                </c:pt>
                <c:pt idx="8">
                  <c:v>41.6</c:v>
                </c:pt>
                <c:pt idx="9">
                  <c:v>41.7</c:v>
                </c:pt>
                <c:pt idx="10">
                  <c:v>47.8</c:v>
                </c:pt>
                <c:pt idx="11">
                  <c:v>49.3</c:v>
                </c:pt>
              </c:numCache>
            </c:numRef>
          </c:xVal>
          <c:yVal>
            <c:numRef>
              <c:f>ИД!$C$2:$C$15</c:f>
              <c:numCache>
                <c:formatCode>General</c:formatCode>
                <c:ptCount val="14"/>
                <c:pt idx="0">
                  <c:v>24.2</c:v>
                </c:pt>
                <c:pt idx="1">
                  <c:v>24.3</c:v>
                </c:pt>
                <c:pt idx="2">
                  <c:v>30.1</c:v>
                </c:pt>
                <c:pt idx="3">
                  <c:v>30.5</c:v>
                </c:pt>
                <c:pt idx="4">
                  <c:v>31.3</c:v>
                </c:pt>
                <c:pt idx="5">
                  <c:v>31.4</c:v>
                </c:pt>
                <c:pt idx="6">
                  <c:v>31.6</c:v>
                </c:pt>
                <c:pt idx="7">
                  <c:v>32.1</c:v>
                </c:pt>
                <c:pt idx="8">
                  <c:v>33.700000000000003</c:v>
                </c:pt>
                <c:pt idx="9">
                  <c:v>33.799999999999997</c:v>
                </c:pt>
                <c:pt idx="10">
                  <c:v>38.700000000000003</c:v>
                </c:pt>
                <c:pt idx="11">
                  <c:v>39.799999999999997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3B-49BB-9038-DBA31D318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960064"/>
        <c:axId val="82687840"/>
      </c:scatterChart>
      <c:valAx>
        <c:axId val="1630960064"/>
        <c:scaling>
          <c:orientation val="minMax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687840"/>
        <c:crosses val="autoZero"/>
        <c:crossBetween val="midCat"/>
      </c:valAx>
      <c:valAx>
        <c:axId val="82687840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096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Y 1 </a:t>
            </a:r>
            <a:r>
              <a:rPr lang="ru-RU"/>
              <a:t>График остатков</a:t>
            </a:r>
          </a:p>
        </c:rich>
      </c:tx>
      <c:layout>
        <c:manualLayout>
          <c:xMode val="edge"/>
          <c:yMode val="edge"/>
          <c:x val="0.31871126725081644"/>
          <c:y val="3.940886699507389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'ПА Экспоненциальная'!$B$25:$B$36</c:f>
              <c:numCache>
                <c:formatCode>General</c:formatCode>
                <c:ptCount val="12"/>
                <c:pt idx="0">
                  <c:v>3.1997052242363546</c:v>
                </c:pt>
                <c:pt idx="1">
                  <c:v>3.2127853048368951</c:v>
                </c:pt>
                <c:pt idx="2">
                  <c:v>3.3959064332444613</c:v>
                </c:pt>
                <c:pt idx="3">
                  <c:v>3.4063704977248936</c:v>
                </c:pt>
                <c:pt idx="4">
                  <c:v>3.4325306589259745</c:v>
                </c:pt>
                <c:pt idx="5">
                  <c:v>3.4351466750460826</c:v>
                </c:pt>
                <c:pt idx="6">
                  <c:v>3.4482267556466231</c:v>
                </c:pt>
                <c:pt idx="7">
                  <c:v>3.4691548846074878</c:v>
                </c:pt>
                <c:pt idx="8">
                  <c:v>3.505779110289001</c:v>
                </c:pt>
                <c:pt idx="9">
                  <c:v>3.5083951264091091</c:v>
                </c:pt>
                <c:pt idx="10">
                  <c:v>3.6679721097357021</c:v>
                </c:pt>
                <c:pt idx="11">
                  <c:v>3.7072123515373239</c:v>
                </c:pt>
              </c:numCache>
            </c:numRef>
          </c:xVal>
          <c:yVal>
            <c:numRef>
              <c:f>'ПА Экспоненциальная'!$C$25:$C$36</c:f>
              <c:numCache>
                <c:formatCode>General</c:formatCode>
                <c:ptCount val="12"/>
                <c:pt idx="0">
                  <c:v>-1.3352591073713782E-2</c:v>
                </c:pt>
                <c:pt idx="1">
                  <c:v>-2.2308954490392274E-2</c:v>
                </c:pt>
                <c:pt idx="2">
                  <c:v>8.6187385103686509E-3</c:v>
                </c:pt>
                <c:pt idx="3">
                  <c:v>1.1356185888472314E-2</c:v>
                </c:pt>
                <c:pt idx="4">
                  <c:v>1.108743862013295E-2</c:v>
                </c:pt>
                <c:pt idx="5">
                  <c:v>1.1661217868125018E-2</c:v>
                </c:pt>
                <c:pt idx="6">
                  <c:v>4.9303649462433263E-3</c:v>
                </c:pt>
                <c:pt idx="7">
                  <c:v>-2.9885447151745126E-4</c:v>
                </c:pt>
                <c:pt idx="8">
                  <c:v>1.1718727069315094E-2</c:v>
                </c:pt>
                <c:pt idx="9">
                  <c:v>1.2065676079863863E-2</c:v>
                </c:pt>
                <c:pt idx="10">
                  <c:v>-1.2132509699966043E-2</c:v>
                </c:pt>
                <c:pt idx="11">
                  <c:v>-2.3345439246932109E-2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01-4BAC-BFA2-139701C59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695040"/>
        <c:axId val="791693600"/>
      </c:scatterChart>
      <c:valAx>
        <c:axId val="791695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Y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1693600"/>
        <c:crosses val="autoZero"/>
        <c:crossBetween val="midCat"/>
      </c:valAx>
      <c:valAx>
        <c:axId val="791693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16950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1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'Логарифмическая регрессия'!$D$2:$D$13</c:f>
              <c:numCache>
                <c:formatCode>General</c:formatCode>
                <c:ptCount val="12"/>
                <c:pt idx="0">
                  <c:v>3.3978584803966405</c:v>
                </c:pt>
                <c:pt idx="1">
                  <c:v>3.414442608412176</c:v>
                </c:pt>
                <c:pt idx="2">
                  <c:v>3.6216707044204863</c:v>
                </c:pt>
                <c:pt idx="3">
                  <c:v>3.6323091026255421</c:v>
                </c:pt>
                <c:pt idx="4">
                  <c:v>3.6584202466292277</c:v>
                </c:pt>
                <c:pt idx="5">
                  <c:v>3.6609942506244004</c:v>
                </c:pt>
                <c:pt idx="6">
                  <c:v>3.673765816303888</c:v>
                </c:pt>
                <c:pt idx="7">
                  <c:v>3.6938669956249757</c:v>
                </c:pt>
                <c:pt idx="8">
                  <c:v>3.7281001672672178</c:v>
                </c:pt>
                <c:pt idx="9">
                  <c:v>3.730501128804756</c:v>
                </c:pt>
                <c:pt idx="10">
                  <c:v>3.8670256394974101</c:v>
                </c:pt>
                <c:pt idx="11">
                  <c:v>3.8979240810486444</c:v>
                </c:pt>
              </c:numCache>
            </c:numRef>
          </c:xVal>
          <c:yVal>
            <c:numRef>
              <c:f>'ПА Логарифмическая'!$C$25:$C$36</c:f>
              <c:numCache>
                <c:formatCode>General</c:formatCode>
                <c:ptCount val="12"/>
                <c:pt idx="0">
                  <c:v>0.75053352536208351</c:v>
                </c:pt>
                <c:pt idx="1">
                  <c:v>0.33214562894592703</c:v>
                </c:pt>
                <c:pt idx="2">
                  <c:v>-0.34540547699352686</c:v>
                </c:pt>
                <c:pt idx="3">
                  <c:v>-0.27794131255812715</c:v>
                </c:pt>
                <c:pt idx="4">
                  <c:v>-0.29412537724997989</c:v>
                </c:pt>
                <c:pt idx="5">
                  <c:v>-0.27458378393705374</c:v>
                </c:pt>
                <c:pt idx="6">
                  <c:v>-0.47379832571629521</c:v>
                </c:pt>
                <c:pt idx="7">
                  <c:v>-0.60212247118726481</c:v>
                </c:pt>
                <c:pt idx="8">
                  <c:v>-7.2185474720001253E-2</c:v>
                </c:pt>
                <c:pt idx="9">
                  <c:v>-4.7234907506251034E-2</c:v>
                </c:pt>
                <c:pt idx="10">
                  <c:v>0.58527187000339609</c:v>
                </c:pt>
                <c:pt idx="11">
                  <c:v>0.71944610555696897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F5-4421-AC86-CD2F32482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696480"/>
        <c:axId val="1148566912"/>
      </c:scatterChart>
      <c:valAx>
        <c:axId val="791696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8566912"/>
        <c:crosses val="autoZero"/>
        <c:crossBetween val="midCat"/>
      </c:valAx>
      <c:valAx>
        <c:axId val="1148566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16964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'ПА Логарифмическая'!$E$25:$E$36</c:f>
              <c:numCache>
                <c:formatCode>General</c:formatCode>
                <c:ptCount val="12"/>
                <c:pt idx="0">
                  <c:v>4.166666666666667</c:v>
                </c:pt>
                <c:pt idx="1">
                  <c:v>12.5</c:v>
                </c:pt>
                <c:pt idx="2">
                  <c:v>20.833333333333336</c:v>
                </c:pt>
                <c:pt idx="3">
                  <c:v>29.166666666666668</c:v>
                </c:pt>
                <c:pt idx="4">
                  <c:v>37.5</c:v>
                </c:pt>
                <c:pt idx="5">
                  <c:v>45.833333333333336</c:v>
                </c:pt>
                <c:pt idx="6">
                  <c:v>54.166666666666664</c:v>
                </c:pt>
                <c:pt idx="7">
                  <c:v>62.5</c:v>
                </c:pt>
                <c:pt idx="8">
                  <c:v>70.833333333333343</c:v>
                </c:pt>
                <c:pt idx="9">
                  <c:v>79.166666666666671</c:v>
                </c:pt>
                <c:pt idx="10">
                  <c:v>87.500000000000014</c:v>
                </c:pt>
                <c:pt idx="11">
                  <c:v>95.833333333333343</c:v>
                </c:pt>
              </c:numCache>
            </c:numRef>
          </c:xVal>
          <c:yVal>
            <c:numRef>
              <c:f>'ПА Логарифмическая'!$F$25:$F$36</c:f>
              <c:numCache>
                <c:formatCode>General</c:formatCode>
                <c:ptCount val="12"/>
                <c:pt idx="0">
                  <c:v>24.2</c:v>
                </c:pt>
                <c:pt idx="1">
                  <c:v>24.3</c:v>
                </c:pt>
                <c:pt idx="2">
                  <c:v>30.1</c:v>
                </c:pt>
                <c:pt idx="3">
                  <c:v>30.5</c:v>
                </c:pt>
                <c:pt idx="4">
                  <c:v>31.3</c:v>
                </c:pt>
                <c:pt idx="5">
                  <c:v>31.4</c:v>
                </c:pt>
                <c:pt idx="6">
                  <c:v>31.6</c:v>
                </c:pt>
                <c:pt idx="7">
                  <c:v>32.1</c:v>
                </c:pt>
                <c:pt idx="8">
                  <c:v>33.700000000000003</c:v>
                </c:pt>
                <c:pt idx="9">
                  <c:v>33.799999999999997</c:v>
                </c:pt>
                <c:pt idx="10">
                  <c:v>38.700000000000003</c:v>
                </c:pt>
                <c:pt idx="11">
                  <c:v>39.799999999999997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48-45E0-AD86-21D2BF8BD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993728"/>
        <c:axId val="1148552992"/>
      </c:scatterChart>
      <c:valAx>
        <c:axId val="79299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8552992"/>
        <c:crosses val="autoZero"/>
        <c:crossBetween val="midCat"/>
      </c:valAx>
      <c:valAx>
        <c:axId val="1148552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29937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Y 1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'ПА Логарифмическая'!$B$25:$B$36</c:f>
              <c:numCache>
                <c:formatCode>General</c:formatCode>
                <c:ptCount val="12"/>
                <c:pt idx="0">
                  <c:v>23.449466474637916</c:v>
                </c:pt>
                <c:pt idx="1">
                  <c:v>23.967854371054074</c:v>
                </c:pt>
                <c:pt idx="2">
                  <c:v>30.445405476993528</c:v>
                </c:pt>
                <c:pt idx="3">
                  <c:v>30.777941312558127</c:v>
                </c:pt>
                <c:pt idx="4">
                  <c:v>31.594125377249981</c:v>
                </c:pt>
                <c:pt idx="5">
                  <c:v>31.674583783937052</c:v>
                </c:pt>
                <c:pt idx="6">
                  <c:v>32.073798325716297</c:v>
                </c:pt>
                <c:pt idx="7">
                  <c:v>32.702122471187266</c:v>
                </c:pt>
                <c:pt idx="8">
                  <c:v>33.772185474720004</c:v>
                </c:pt>
                <c:pt idx="9">
                  <c:v>33.847234907506248</c:v>
                </c:pt>
                <c:pt idx="10">
                  <c:v>38.114728129996607</c:v>
                </c:pt>
                <c:pt idx="11">
                  <c:v>39.080553894443028</c:v>
                </c:pt>
              </c:numCache>
            </c:numRef>
          </c:xVal>
          <c:yVal>
            <c:numRef>
              <c:f>'ПА Логарифмическая'!$C$25:$C$36</c:f>
              <c:numCache>
                <c:formatCode>General</c:formatCode>
                <c:ptCount val="12"/>
                <c:pt idx="0">
                  <c:v>0.75053352536208351</c:v>
                </c:pt>
                <c:pt idx="1">
                  <c:v>0.33214562894592703</c:v>
                </c:pt>
                <c:pt idx="2">
                  <c:v>-0.34540547699352686</c:v>
                </c:pt>
                <c:pt idx="3">
                  <c:v>-0.27794131255812715</c:v>
                </c:pt>
                <c:pt idx="4">
                  <c:v>-0.29412537724997989</c:v>
                </c:pt>
                <c:pt idx="5">
                  <c:v>-0.27458378393705374</c:v>
                </c:pt>
                <c:pt idx="6">
                  <c:v>-0.47379832571629521</c:v>
                </c:pt>
                <c:pt idx="7">
                  <c:v>-0.60212247118726481</c:v>
                </c:pt>
                <c:pt idx="8">
                  <c:v>-7.2185474720001253E-2</c:v>
                </c:pt>
                <c:pt idx="9">
                  <c:v>-4.7234907506251034E-2</c:v>
                </c:pt>
                <c:pt idx="10">
                  <c:v>0.58527187000339609</c:v>
                </c:pt>
                <c:pt idx="11">
                  <c:v>0.71944610555696897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FC-4DB3-8469-4677F5B1F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696480"/>
        <c:axId val="1148566912"/>
      </c:scatterChart>
      <c:valAx>
        <c:axId val="791696480"/>
        <c:scaling>
          <c:orientation val="minMax"/>
          <c:min val="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Y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8566912"/>
        <c:crosses val="autoZero"/>
        <c:crossBetween val="midCat"/>
      </c:valAx>
      <c:valAx>
        <c:axId val="1148566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16964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1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'Линейная регрессия'!$B$2:$B$13</c:f>
              <c:numCache>
                <c:formatCode>General</c:formatCode>
                <c:ptCount val="12"/>
                <c:pt idx="0">
                  <c:v>29.9</c:v>
                </c:pt>
                <c:pt idx="1">
                  <c:v>30.4</c:v>
                </c:pt>
                <c:pt idx="2">
                  <c:v>37.4</c:v>
                </c:pt>
                <c:pt idx="3">
                  <c:v>37.799999999999997</c:v>
                </c:pt>
                <c:pt idx="4">
                  <c:v>38.799999999999997</c:v>
                </c:pt>
                <c:pt idx="5">
                  <c:v>38.9</c:v>
                </c:pt>
                <c:pt idx="6">
                  <c:v>39.4</c:v>
                </c:pt>
                <c:pt idx="7">
                  <c:v>40.200000000000003</c:v>
                </c:pt>
                <c:pt idx="8">
                  <c:v>41.6</c:v>
                </c:pt>
                <c:pt idx="9">
                  <c:v>41.7</c:v>
                </c:pt>
                <c:pt idx="10">
                  <c:v>47.8</c:v>
                </c:pt>
                <c:pt idx="11">
                  <c:v>49.3</c:v>
                </c:pt>
              </c:numCache>
            </c:numRef>
          </c:xVal>
          <c:yVal>
            <c:numRef>
              <c:f>'П.А. Линейная'!$C$25:$C$36</c:f>
              <c:numCache>
                <c:formatCode>General</c:formatCode>
                <c:ptCount val="12"/>
                <c:pt idx="0">
                  <c:v>0.18598915433640428</c:v>
                </c:pt>
                <c:pt idx="1">
                  <c:v>-0.12192985725466343</c:v>
                </c:pt>
                <c:pt idx="2">
                  <c:v>-3.2796019529644838E-2</c:v>
                </c:pt>
                <c:pt idx="3">
                  <c:v>4.0868771197501985E-2</c:v>
                </c:pt>
                <c:pt idx="4">
                  <c:v>2.5030748015360871E-2</c:v>
                </c:pt>
                <c:pt idx="5">
                  <c:v>4.3446945697144912E-2</c:v>
                </c:pt>
                <c:pt idx="6">
                  <c:v>-0.16447206589392138</c:v>
                </c:pt>
                <c:pt idx="7">
                  <c:v>-0.31714248443963555</c:v>
                </c:pt>
                <c:pt idx="8">
                  <c:v>0.14068428310537229</c:v>
                </c:pt>
                <c:pt idx="9">
                  <c:v>0.15910048078714567</c:v>
                </c:pt>
                <c:pt idx="10">
                  <c:v>8.2488539376100789E-2</c:v>
                </c:pt>
                <c:pt idx="11">
                  <c:v>-4.1268495397119409E-2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C2-4C6D-80F1-82642C3AA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565472"/>
        <c:axId val="1148542432"/>
      </c:scatterChart>
      <c:valAx>
        <c:axId val="1148565472"/>
        <c:scaling>
          <c:orientation val="minMax"/>
          <c:min val="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8542432"/>
        <c:crosses val="autoZero"/>
        <c:crossBetween val="midCat"/>
      </c:valAx>
      <c:valAx>
        <c:axId val="1148542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85654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'П.А. Линейная'!$E$25:$E$36</c:f>
              <c:numCache>
                <c:formatCode>General</c:formatCode>
                <c:ptCount val="12"/>
                <c:pt idx="0">
                  <c:v>4.166666666666667</c:v>
                </c:pt>
                <c:pt idx="1">
                  <c:v>12.5</c:v>
                </c:pt>
                <c:pt idx="2">
                  <c:v>20.833333333333336</c:v>
                </c:pt>
                <c:pt idx="3">
                  <c:v>29.166666666666668</c:v>
                </c:pt>
                <c:pt idx="4">
                  <c:v>37.5</c:v>
                </c:pt>
                <c:pt idx="5">
                  <c:v>45.833333333333336</c:v>
                </c:pt>
                <c:pt idx="6">
                  <c:v>54.166666666666664</c:v>
                </c:pt>
                <c:pt idx="7">
                  <c:v>62.5</c:v>
                </c:pt>
                <c:pt idx="8">
                  <c:v>70.833333333333343</c:v>
                </c:pt>
                <c:pt idx="9">
                  <c:v>79.166666666666671</c:v>
                </c:pt>
                <c:pt idx="10">
                  <c:v>87.500000000000014</c:v>
                </c:pt>
                <c:pt idx="11">
                  <c:v>95.833333333333343</c:v>
                </c:pt>
              </c:numCache>
            </c:numRef>
          </c:xVal>
          <c:yVal>
            <c:numRef>
              <c:f>'П.А. Линейная'!$F$25:$F$36</c:f>
              <c:numCache>
                <c:formatCode>General</c:formatCode>
                <c:ptCount val="12"/>
                <c:pt idx="0">
                  <c:v>24.2</c:v>
                </c:pt>
                <c:pt idx="1">
                  <c:v>24.3</c:v>
                </c:pt>
                <c:pt idx="2">
                  <c:v>30.1</c:v>
                </c:pt>
                <c:pt idx="3">
                  <c:v>30.5</c:v>
                </c:pt>
                <c:pt idx="4">
                  <c:v>31.3</c:v>
                </c:pt>
                <c:pt idx="5">
                  <c:v>31.4</c:v>
                </c:pt>
                <c:pt idx="6">
                  <c:v>31.6</c:v>
                </c:pt>
                <c:pt idx="7">
                  <c:v>32.1</c:v>
                </c:pt>
                <c:pt idx="8">
                  <c:v>33.700000000000003</c:v>
                </c:pt>
                <c:pt idx="9">
                  <c:v>33.799999999999997</c:v>
                </c:pt>
                <c:pt idx="10">
                  <c:v>38.700000000000003</c:v>
                </c:pt>
                <c:pt idx="11">
                  <c:v>39.799999999999997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DA-42FD-BDC2-75D3DBAAE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537152"/>
        <c:axId val="1148556352"/>
      </c:scatterChart>
      <c:valAx>
        <c:axId val="1148537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8556352"/>
        <c:crosses val="autoZero"/>
        <c:crossBetween val="midCat"/>
      </c:valAx>
      <c:valAx>
        <c:axId val="1148556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85371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Y 1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'П.А. Линейная'!$B$25:$B$36</c:f>
              <c:numCache>
                <c:formatCode>General</c:formatCode>
                <c:ptCount val="12"/>
                <c:pt idx="0">
                  <c:v>24.014010845663595</c:v>
                </c:pt>
                <c:pt idx="1">
                  <c:v>24.421929857254664</c:v>
                </c:pt>
                <c:pt idx="2">
                  <c:v>30.132796019529646</c:v>
                </c:pt>
                <c:pt idx="3">
                  <c:v>30.459131228802498</c:v>
                </c:pt>
                <c:pt idx="4">
                  <c:v>31.27496925198464</c:v>
                </c:pt>
                <c:pt idx="5">
                  <c:v>31.356553054302854</c:v>
                </c:pt>
                <c:pt idx="6">
                  <c:v>31.764472065893923</c:v>
                </c:pt>
                <c:pt idx="7">
                  <c:v>32.417142484439637</c:v>
                </c:pt>
                <c:pt idx="8">
                  <c:v>33.559315716894631</c:v>
                </c:pt>
                <c:pt idx="9">
                  <c:v>33.640899519212851</c:v>
                </c:pt>
                <c:pt idx="10">
                  <c:v>38.617511460623902</c:v>
                </c:pt>
                <c:pt idx="11">
                  <c:v>39.841268495397117</c:v>
                </c:pt>
              </c:numCache>
            </c:numRef>
          </c:xVal>
          <c:yVal>
            <c:numRef>
              <c:f>'П.А. Линейная'!$C$25:$C$36</c:f>
              <c:numCache>
                <c:formatCode>General</c:formatCode>
                <c:ptCount val="12"/>
                <c:pt idx="0">
                  <c:v>0.18598915433640428</c:v>
                </c:pt>
                <c:pt idx="1">
                  <c:v>-0.12192985725466343</c:v>
                </c:pt>
                <c:pt idx="2">
                  <c:v>-3.2796019529644838E-2</c:v>
                </c:pt>
                <c:pt idx="3">
                  <c:v>4.0868771197501985E-2</c:v>
                </c:pt>
                <c:pt idx="4">
                  <c:v>2.5030748015360871E-2</c:v>
                </c:pt>
                <c:pt idx="5">
                  <c:v>4.3446945697144912E-2</c:v>
                </c:pt>
                <c:pt idx="6">
                  <c:v>-0.16447206589392138</c:v>
                </c:pt>
                <c:pt idx="7">
                  <c:v>-0.31714248443963555</c:v>
                </c:pt>
                <c:pt idx="8">
                  <c:v>0.14068428310537229</c:v>
                </c:pt>
                <c:pt idx="9">
                  <c:v>0.15910048078714567</c:v>
                </c:pt>
                <c:pt idx="10">
                  <c:v>8.2488539376100789E-2</c:v>
                </c:pt>
                <c:pt idx="11">
                  <c:v>-4.1268495397119409E-2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2C-4277-8A70-8405CD8D8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565472"/>
        <c:axId val="1148542432"/>
      </c:scatterChart>
      <c:valAx>
        <c:axId val="1148565472"/>
        <c:scaling>
          <c:orientation val="minMax"/>
          <c:min val="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Y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8542432"/>
        <c:crosses val="autoZero"/>
        <c:crossBetween val="midCat"/>
      </c:valAx>
      <c:valAx>
        <c:axId val="1148542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85654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1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664577571179017"/>
          <c:y val="0.28322849448864723"/>
          <c:w val="0.84085306296484152"/>
          <c:h val="0.55103276056409489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'Степенная регрессия'!$D$2:$D$13</c:f>
              <c:numCache>
                <c:formatCode>General</c:formatCode>
                <c:ptCount val="12"/>
                <c:pt idx="0">
                  <c:v>1.4756711883244296</c:v>
                </c:pt>
                <c:pt idx="1">
                  <c:v>1.4828735836087537</c:v>
                </c:pt>
                <c:pt idx="2">
                  <c:v>1.5728716022004801</c:v>
                </c:pt>
                <c:pt idx="3">
                  <c:v>1.5774917998372253</c:v>
                </c:pt>
                <c:pt idx="4">
                  <c:v>1.5888317255942073</c:v>
                </c:pt>
                <c:pt idx="5">
                  <c:v>1.5899496013257077</c:v>
                </c:pt>
                <c:pt idx="6">
                  <c:v>1.5954962218255742</c:v>
                </c:pt>
                <c:pt idx="7">
                  <c:v>1.6042260530844701</c:v>
                </c:pt>
                <c:pt idx="8">
                  <c:v>1.6190933306267428</c:v>
                </c:pt>
                <c:pt idx="9">
                  <c:v>1.6201360549737576</c:v>
                </c:pt>
                <c:pt idx="10">
                  <c:v>1.6794278966121188</c:v>
                </c:pt>
                <c:pt idx="11">
                  <c:v>1.69284691927723</c:v>
                </c:pt>
              </c:numCache>
            </c:numRef>
          </c:xVal>
          <c:yVal>
            <c:numRef>
              <c:f>'П.А. Степенная'!$C$25:$C$36</c:f>
              <c:numCache>
                <c:formatCode>General</c:formatCode>
                <c:ptCount val="12"/>
                <c:pt idx="0">
                  <c:v>3.0636226578157899E-3</c:v>
                </c:pt>
                <c:pt idx="1">
                  <c:v>-2.4266387530254008E-3</c:v>
                </c:pt>
                <c:pt idx="2">
                  <c:v>-4.4875801314159247E-4</c:v>
                </c:pt>
                <c:pt idx="3">
                  <c:v>6.1385626561305529E-4</c:v>
                </c:pt>
                <c:pt idx="4">
                  <c:v>3.9440213410424363E-4</c:v>
                </c:pt>
                <c:pt idx="5">
                  <c:v>6.4961054444312438E-4</c:v>
                </c:pt>
                <c:pt idx="6">
                  <c:v>-2.2002396820883785E-3</c:v>
                </c:pt>
                <c:pt idx="7">
                  <c:v>-4.2076007094529189E-3</c:v>
                </c:pt>
                <c:pt idx="8">
                  <c:v>1.8873844322508937E-3</c:v>
                </c:pt>
                <c:pt idx="9">
                  <c:v>2.1200550492870285E-3</c:v>
                </c:pt>
                <c:pt idx="10">
                  <c:v>9.7399383637775117E-4</c:v>
                </c:pt>
                <c:pt idx="11">
                  <c:v>-4.1968776218226367E-4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9F-43EB-A435-6F056F562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544352"/>
        <c:axId val="1148539072"/>
      </c:scatterChart>
      <c:valAx>
        <c:axId val="114854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8539072"/>
        <c:crosses val="autoZero"/>
        <c:crossBetween val="midCat"/>
      </c:valAx>
      <c:valAx>
        <c:axId val="1148539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85443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'П.А. Степенная'!$E$25:$E$36</c:f>
              <c:numCache>
                <c:formatCode>General</c:formatCode>
                <c:ptCount val="12"/>
                <c:pt idx="0">
                  <c:v>4.166666666666667</c:v>
                </c:pt>
                <c:pt idx="1">
                  <c:v>12.5</c:v>
                </c:pt>
                <c:pt idx="2">
                  <c:v>20.833333333333336</c:v>
                </c:pt>
                <c:pt idx="3">
                  <c:v>29.166666666666668</c:v>
                </c:pt>
                <c:pt idx="4">
                  <c:v>37.5</c:v>
                </c:pt>
                <c:pt idx="5">
                  <c:v>45.833333333333336</c:v>
                </c:pt>
                <c:pt idx="6">
                  <c:v>54.166666666666664</c:v>
                </c:pt>
                <c:pt idx="7">
                  <c:v>62.5</c:v>
                </c:pt>
                <c:pt idx="8">
                  <c:v>70.833333333333343</c:v>
                </c:pt>
                <c:pt idx="9">
                  <c:v>79.166666666666671</c:v>
                </c:pt>
                <c:pt idx="10">
                  <c:v>87.500000000000014</c:v>
                </c:pt>
                <c:pt idx="11">
                  <c:v>95.833333333333343</c:v>
                </c:pt>
              </c:numCache>
            </c:numRef>
          </c:xVal>
          <c:yVal>
            <c:numRef>
              <c:f>'П.А. Степенная'!$F$25:$F$36</c:f>
              <c:numCache>
                <c:formatCode>General</c:formatCode>
                <c:ptCount val="12"/>
                <c:pt idx="0">
                  <c:v>1.3838153659804313</c:v>
                </c:pt>
                <c:pt idx="1">
                  <c:v>1.3856062735983121</c:v>
                </c:pt>
                <c:pt idx="2">
                  <c:v>1.4785664955938433</c:v>
                </c:pt>
                <c:pt idx="3">
                  <c:v>1.4842998393467859</c:v>
                </c:pt>
                <c:pt idx="4">
                  <c:v>1.4955443375464486</c:v>
                </c:pt>
                <c:pt idx="5">
                  <c:v>1.4969296480732148</c:v>
                </c:pt>
                <c:pt idx="6">
                  <c:v>1.4996870826184039</c:v>
                </c:pt>
                <c:pt idx="7">
                  <c:v>1.5065050324048721</c:v>
                </c:pt>
                <c:pt idx="8">
                  <c:v>1.5276299008713388</c:v>
                </c:pt>
                <c:pt idx="9">
                  <c:v>1.5289167002776547</c:v>
                </c:pt>
                <c:pt idx="10">
                  <c:v>1.5877109650189114</c:v>
                </c:pt>
                <c:pt idx="11">
                  <c:v>1.5998830720736879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01-4587-B762-C62231B46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561152"/>
        <c:axId val="1148565472"/>
      </c:scatterChart>
      <c:valAx>
        <c:axId val="114856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8565472"/>
        <c:crosses val="autoZero"/>
        <c:crossBetween val="midCat"/>
      </c:valAx>
      <c:valAx>
        <c:axId val="1148565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85611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Y 1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'П.А. Степенная'!$B$25:$B$36</c:f>
              <c:numCache>
                <c:formatCode>General</c:formatCode>
                <c:ptCount val="12"/>
                <c:pt idx="0">
                  <c:v>1.3807517433226155</c:v>
                </c:pt>
                <c:pt idx="1">
                  <c:v>1.3880329123513375</c:v>
                </c:pt>
                <c:pt idx="2">
                  <c:v>1.4790152536069849</c:v>
                </c:pt>
                <c:pt idx="3">
                  <c:v>1.4836859830811728</c:v>
                </c:pt>
                <c:pt idx="4">
                  <c:v>1.4951499354123443</c:v>
                </c:pt>
                <c:pt idx="5">
                  <c:v>1.4962800375287717</c:v>
                </c:pt>
                <c:pt idx="6">
                  <c:v>1.5018873223004923</c:v>
                </c:pt>
                <c:pt idx="7">
                  <c:v>1.510712633114325</c:v>
                </c:pt>
                <c:pt idx="8">
                  <c:v>1.5257425164390879</c:v>
                </c:pt>
                <c:pt idx="9">
                  <c:v>1.5267966452283677</c:v>
                </c:pt>
                <c:pt idx="10">
                  <c:v>1.5867369711825337</c:v>
                </c:pt>
                <c:pt idx="11">
                  <c:v>1.6003027598358701</c:v>
                </c:pt>
              </c:numCache>
            </c:numRef>
          </c:xVal>
          <c:yVal>
            <c:numRef>
              <c:f>'П.А. Степенная'!$C$25:$C$36</c:f>
              <c:numCache>
                <c:formatCode>General</c:formatCode>
                <c:ptCount val="12"/>
                <c:pt idx="0">
                  <c:v>3.0636226578157899E-3</c:v>
                </c:pt>
                <c:pt idx="1">
                  <c:v>-2.4266387530254008E-3</c:v>
                </c:pt>
                <c:pt idx="2">
                  <c:v>-4.4875801314159247E-4</c:v>
                </c:pt>
                <c:pt idx="3">
                  <c:v>6.1385626561305529E-4</c:v>
                </c:pt>
                <c:pt idx="4">
                  <c:v>3.9440213410424363E-4</c:v>
                </c:pt>
                <c:pt idx="5">
                  <c:v>6.4961054444312438E-4</c:v>
                </c:pt>
                <c:pt idx="6">
                  <c:v>-2.2002396820883785E-3</c:v>
                </c:pt>
                <c:pt idx="7">
                  <c:v>-4.2076007094529189E-3</c:v>
                </c:pt>
                <c:pt idx="8">
                  <c:v>1.8873844322508937E-3</c:v>
                </c:pt>
                <c:pt idx="9">
                  <c:v>2.1200550492870285E-3</c:v>
                </c:pt>
                <c:pt idx="10">
                  <c:v>9.7399383637775117E-4</c:v>
                </c:pt>
                <c:pt idx="11">
                  <c:v>-4.1968776218226367E-4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DE-4BEA-B2C4-D3F88CA8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544352"/>
        <c:axId val="1148539072"/>
      </c:scatterChart>
      <c:valAx>
        <c:axId val="114854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Y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8539072"/>
        <c:crosses val="autoZero"/>
        <c:crossBetween val="midCat"/>
      </c:valAx>
      <c:valAx>
        <c:axId val="1148539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85443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1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'Экспоненциальная регрессия '!$B$2:$B$13</c:f>
              <c:numCache>
                <c:formatCode>General</c:formatCode>
                <c:ptCount val="12"/>
                <c:pt idx="0">
                  <c:v>29.9</c:v>
                </c:pt>
                <c:pt idx="1">
                  <c:v>30.4</c:v>
                </c:pt>
                <c:pt idx="2">
                  <c:v>37.4</c:v>
                </c:pt>
                <c:pt idx="3">
                  <c:v>37.799999999999997</c:v>
                </c:pt>
                <c:pt idx="4">
                  <c:v>38.799999999999997</c:v>
                </c:pt>
                <c:pt idx="5">
                  <c:v>38.9</c:v>
                </c:pt>
                <c:pt idx="6">
                  <c:v>39.4</c:v>
                </c:pt>
                <c:pt idx="7">
                  <c:v>40.200000000000003</c:v>
                </c:pt>
                <c:pt idx="8">
                  <c:v>41.6</c:v>
                </c:pt>
                <c:pt idx="9">
                  <c:v>41.7</c:v>
                </c:pt>
                <c:pt idx="10">
                  <c:v>47.8</c:v>
                </c:pt>
                <c:pt idx="11">
                  <c:v>49.3</c:v>
                </c:pt>
              </c:numCache>
            </c:numRef>
          </c:xVal>
          <c:yVal>
            <c:numRef>
              <c:f>'ПА Экспоненциальная'!$C$25:$C$36</c:f>
              <c:numCache>
                <c:formatCode>General</c:formatCode>
                <c:ptCount val="12"/>
                <c:pt idx="0">
                  <c:v>-1.3352591073713782E-2</c:v>
                </c:pt>
                <c:pt idx="1">
                  <c:v>-2.2308954490392274E-2</c:v>
                </c:pt>
                <c:pt idx="2">
                  <c:v>8.6187385103686509E-3</c:v>
                </c:pt>
                <c:pt idx="3">
                  <c:v>1.1356185888472314E-2</c:v>
                </c:pt>
                <c:pt idx="4">
                  <c:v>1.108743862013295E-2</c:v>
                </c:pt>
                <c:pt idx="5">
                  <c:v>1.1661217868125018E-2</c:v>
                </c:pt>
                <c:pt idx="6">
                  <c:v>4.9303649462433263E-3</c:v>
                </c:pt>
                <c:pt idx="7">
                  <c:v>-2.9885447151745126E-4</c:v>
                </c:pt>
                <c:pt idx="8">
                  <c:v>1.1718727069315094E-2</c:v>
                </c:pt>
                <c:pt idx="9">
                  <c:v>1.2065676079863863E-2</c:v>
                </c:pt>
                <c:pt idx="10">
                  <c:v>-1.2132509699966043E-2</c:v>
                </c:pt>
                <c:pt idx="11">
                  <c:v>-2.3345439246932109E-2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0E-4847-8E1A-64FE2C040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695040"/>
        <c:axId val="791693600"/>
      </c:scatterChart>
      <c:valAx>
        <c:axId val="791695040"/>
        <c:scaling>
          <c:orientation val="minMax"/>
          <c:min val="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1693600"/>
        <c:crosses val="autoZero"/>
        <c:crossBetween val="midCat"/>
      </c:valAx>
      <c:valAx>
        <c:axId val="791693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16950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'ПА Экспоненциальная'!$E$25:$E$36</c:f>
              <c:numCache>
                <c:formatCode>General</c:formatCode>
                <c:ptCount val="12"/>
                <c:pt idx="0">
                  <c:v>4.166666666666667</c:v>
                </c:pt>
                <c:pt idx="1">
                  <c:v>12.5</c:v>
                </c:pt>
                <c:pt idx="2">
                  <c:v>20.833333333333336</c:v>
                </c:pt>
                <c:pt idx="3">
                  <c:v>29.166666666666668</c:v>
                </c:pt>
                <c:pt idx="4">
                  <c:v>37.5</c:v>
                </c:pt>
                <c:pt idx="5">
                  <c:v>45.833333333333336</c:v>
                </c:pt>
                <c:pt idx="6">
                  <c:v>54.166666666666664</c:v>
                </c:pt>
                <c:pt idx="7">
                  <c:v>62.5</c:v>
                </c:pt>
                <c:pt idx="8">
                  <c:v>70.833333333333343</c:v>
                </c:pt>
                <c:pt idx="9">
                  <c:v>79.166666666666671</c:v>
                </c:pt>
                <c:pt idx="10">
                  <c:v>87.500000000000014</c:v>
                </c:pt>
                <c:pt idx="11">
                  <c:v>95.833333333333343</c:v>
                </c:pt>
              </c:numCache>
            </c:numRef>
          </c:xVal>
          <c:yVal>
            <c:numRef>
              <c:f>'ПА Экспоненциальная'!$F$25:$F$36</c:f>
              <c:numCache>
                <c:formatCode>General</c:formatCode>
                <c:ptCount val="12"/>
                <c:pt idx="0">
                  <c:v>3.1863526331626408</c:v>
                </c:pt>
                <c:pt idx="1">
                  <c:v>3.1904763503465028</c:v>
                </c:pt>
                <c:pt idx="2">
                  <c:v>3.4045251717548299</c:v>
                </c:pt>
                <c:pt idx="3">
                  <c:v>3.417726683613366</c:v>
                </c:pt>
                <c:pt idx="4">
                  <c:v>3.4436180975461075</c:v>
                </c:pt>
                <c:pt idx="5">
                  <c:v>3.4468078929142076</c:v>
                </c:pt>
                <c:pt idx="6">
                  <c:v>3.4531571205928664</c:v>
                </c:pt>
                <c:pt idx="7">
                  <c:v>3.4688560301359703</c:v>
                </c:pt>
                <c:pt idx="8">
                  <c:v>3.5174978373583161</c:v>
                </c:pt>
                <c:pt idx="9">
                  <c:v>3.520460802488973</c:v>
                </c:pt>
                <c:pt idx="10">
                  <c:v>3.655839600035736</c:v>
                </c:pt>
                <c:pt idx="11">
                  <c:v>3.6838669122903918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FB-4430-85A1-44F18A086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552992"/>
        <c:axId val="1148566432"/>
      </c:scatterChart>
      <c:valAx>
        <c:axId val="1148552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8566432"/>
        <c:crosses val="autoZero"/>
        <c:crossBetween val="midCat"/>
      </c:valAx>
      <c:valAx>
        <c:axId val="1148566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85529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F96ED0D-06DE-43B8-A2FB-F3B37115C368}">
  <sheetPr/>
  <sheetViews>
    <sheetView tabSelected="1" zoomScale="139" workbookViewId="0"/>
  </sheetViews>
  <pageMargins left="0.7" right="0.7" top="0.75" bottom="0.75" header="0.3" footer="0.3"/>
  <drawing r:id="rId1"/>
</chartsheet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5" Type="http://schemas.openxmlformats.org/officeDocument/2006/relationships/image" Target="../media/image33.png"/><Relationship Id="rId4" Type="http://schemas.openxmlformats.org/officeDocument/2006/relationships/image" Target="../media/image32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7.png"/><Relationship Id="rId3" Type="http://schemas.openxmlformats.org/officeDocument/2006/relationships/image" Target="../media/image22.png"/><Relationship Id="rId7" Type="http://schemas.openxmlformats.org/officeDocument/2006/relationships/image" Target="../media/image26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6" Type="http://schemas.openxmlformats.org/officeDocument/2006/relationships/image" Target="../media/image25.png"/><Relationship Id="rId5" Type="http://schemas.openxmlformats.org/officeDocument/2006/relationships/image" Target="../media/image24.png"/><Relationship Id="rId10" Type="http://schemas.openxmlformats.org/officeDocument/2006/relationships/image" Target="../media/image29.png"/><Relationship Id="rId4" Type="http://schemas.openxmlformats.org/officeDocument/2006/relationships/image" Target="../media/image23.png"/><Relationship Id="rId9" Type="http://schemas.openxmlformats.org/officeDocument/2006/relationships/image" Target="../media/image28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4" Type="http://schemas.openxmlformats.org/officeDocument/2006/relationships/image" Target="../media/image3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10.emf"/><Relationship Id="rId3" Type="http://schemas.openxmlformats.org/officeDocument/2006/relationships/image" Target="../media/image5.emf"/><Relationship Id="rId7" Type="http://schemas.openxmlformats.org/officeDocument/2006/relationships/image" Target="../media/image9.emf"/><Relationship Id="rId2" Type="http://schemas.openxmlformats.org/officeDocument/2006/relationships/image" Target="../media/image4.emf"/><Relationship Id="rId1" Type="http://schemas.openxmlformats.org/officeDocument/2006/relationships/image" Target="../media/image3.emf"/><Relationship Id="rId6" Type="http://schemas.openxmlformats.org/officeDocument/2006/relationships/image" Target="../media/image8.emf"/><Relationship Id="rId5" Type="http://schemas.openxmlformats.org/officeDocument/2006/relationships/image" Target="../media/image7.emf"/><Relationship Id="rId10" Type="http://schemas.openxmlformats.org/officeDocument/2006/relationships/image" Target="../media/image12.emf"/><Relationship Id="rId4" Type="http://schemas.openxmlformats.org/officeDocument/2006/relationships/image" Target="../media/image6.emf"/><Relationship Id="rId9" Type="http://schemas.openxmlformats.org/officeDocument/2006/relationships/image" Target="../media/image11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openxmlformats.org/officeDocument/2006/relationships/image" Target="../media/image16.emf"/><Relationship Id="rId1" Type="http://schemas.openxmlformats.org/officeDocument/2006/relationships/image" Target="../media/image15.emf"/><Relationship Id="rId5" Type="http://schemas.openxmlformats.org/officeDocument/2006/relationships/image" Target="../media/image19.wmf"/><Relationship Id="rId4" Type="http://schemas.openxmlformats.org/officeDocument/2006/relationships/image" Target="../media/image18.w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8.wmf"/><Relationship Id="rId2" Type="http://schemas.openxmlformats.org/officeDocument/2006/relationships/image" Target="../media/image16.emf"/><Relationship Id="rId1" Type="http://schemas.openxmlformats.org/officeDocument/2006/relationships/image" Target="../media/image30.emf"/><Relationship Id="rId4" Type="http://schemas.openxmlformats.org/officeDocument/2006/relationships/image" Target="../media/image19.wmf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19.wmf"/><Relationship Id="rId1" Type="http://schemas.openxmlformats.org/officeDocument/2006/relationships/image" Target="../media/image18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0</xdr:row>
          <xdr:rowOff>0</xdr:rowOff>
        </xdr:from>
        <xdr:to>
          <xdr:col>1</xdr:col>
          <xdr:colOff>139700</xdr:colOff>
          <xdr:row>0</xdr:row>
          <xdr:rowOff>152400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0</xdr:row>
          <xdr:rowOff>0</xdr:rowOff>
        </xdr:from>
        <xdr:to>
          <xdr:col>2</xdr:col>
          <xdr:colOff>152400</xdr:colOff>
          <xdr:row>0</xdr:row>
          <xdr:rowOff>190500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215900</xdr:colOff>
          <xdr:row>0</xdr:row>
          <xdr:rowOff>0</xdr:rowOff>
        </xdr:from>
        <xdr:to>
          <xdr:col>8</xdr:col>
          <xdr:colOff>406400</xdr:colOff>
          <xdr:row>1</xdr:row>
          <xdr:rowOff>12700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8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76200</xdr:colOff>
          <xdr:row>0</xdr:row>
          <xdr:rowOff>0</xdr:rowOff>
        </xdr:from>
        <xdr:to>
          <xdr:col>9</xdr:col>
          <xdr:colOff>647700</xdr:colOff>
          <xdr:row>0</xdr:row>
          <xdr:rowOff>228600</xdr:rowOff>
        </xdr:to>
        <xdr:sp macro="" textlink="">
          <xdr:nvSpPr>
            <xdr:cNvPr id="10242" name="Object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8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10</xdr:col>
      <xdr:colOff>172358</xdr:colOff>
      <xdr:row>0</xdr:row>
      <xdr:rowOff>0</xdr:rowOff>
    </xdr:from>
    <xdr:to>
      <xdr:col>10</xdr:col>
      <xdr:colOff>788778</xdr:colOff>
      <xdr:row>0</xdr:row>
      <xdr:rowOff>228600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0038" y="0"/>
          <a:ext cx="616420" cy="228600"/>
        </a:xfrm>
        <a:prstGeom prst="rect">
          <a:avLst/>
        </a:prstGeom>
      </xdr:spPr>
    </xdr:pic>
    <xdr:clientData/>
  </xdr:twoCellAnchor>
  <xdr:twoCellAnchor editAs="oneCell">
    <xdr:from>
      <xdr:col>11</xdr:col>
      <xdr:colOff>108857</xdr:colOff>
      <xdr:row>0</xdr:row>
      <xdr:rowOff>0</xdr:rowOff>
    </xdr:from>
    <xdr:to>
      <xdr:col>11</xdr:col>
      <xdr:colOff>493867</xdr:colOff>
      <xdr:row>0</xdr:row>
      <xdr:rowOff>213360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34797" y="0"/>
          <a:ext cx="385010" cy="213360"/>
        </a:xfrm>
        <a:prstGeom prst="rect">
          <a:avLst/>
        </a:prstGeom>
      </xdr:spPr>
    </xdr:pic>
    <xdr:clientData/>
  </xdr:twoCellAnchor>
  <xdr:twoCellAnchor editAs="oneCell">
    <xdr:from>
      <xdr:col>12</xdr:col>
      <xdr:colOff>263072</xdr:colOff>
      <xdr:row>0</xdr:row>
      <xdr:rowOff>1</xdr:rowOff>
    </xdr:from>
    <xdr:to>
      <xdr:col>12</xdr:col>
      <xdr:colOff>789215</xdr:colOff>
      <xdr:row>0</xdr:row>
      <xdr:rowOff>213361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44332" y="1"/>
          <a:ext cx="526143" cy="213360"/>
        </a:xfrm>
        <a:prstGeom prst="rect">
          <a:avLst/>
        </a:prstGeom>
      </xdr:spPr>
    </xdr:pic>
    <xdr:clientData/>
  </xdr:twoCellAnchor>
  <xdr:oneCellAnchor>
    <xdr:from>
      <xdr:col>13</xdr:col>
      <xdr:colOff>45357</xdr:colOff>
      <xdr:row>0</xdr:row>
      <xdr:rowOff>36286</xdr:rowOff>
    </xdr:from>
    <xdr:ext cx="718039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800-000005000000}"/>
                </a:ext>
              </a:extLst>
            </xdr:cNvPr>
            <xdr:cNvSpPr txBox="1"/>
          </xdr:nvSpPr>
          <xdr:spPr>
            <a:xfrm>
              <a:off x="11460117" y="36286"/>
              <a:ext cx="71803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𝑋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− </m:t>
                    </m:r>
                    <m:acc>
                      <m:accPr>
                        <m:chr m:val="̅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</m:acc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31B39FC-C224-47A3-AB7E-AD166849C5C1}"/>
                </a:ext>
              </a:extLst>
            </xdr:cNvPr>
            <xdr:cNvSpPr txBox="1"/>
          </xdr:nvSpPr>
          <xdr:spPr>
            <a:xfrm>
              <a:off x="11460117" y="36286"/>
              <a:ext cx="71803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(𝑋 − 𝑋 ̅)^2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15</xdr:col>
      <xdr:colOff>45357</xdr:colOff>
      <xdr:row>0</xdr:row>
      <xdr:rowOff>27215</xdr:rowOff>
    </xdr:from>
    <xdr:ext cx="943429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800-000006000000}"/>
                </a:ext>
              </a:extLst>
            </xdr:cNvPr>
            <xdr:cNvSpPr txBox="1"/>
          </xdr:nvSpPr>
          <xdr:spPr>
            <a:xfrm>
              <a:off x="13182237" y="27215"/>
              <a:ext cx="943429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Aptos Narrow" panose="020B0004020202020204" pitchFamily="34" charset="0"/>
                </a:rPr>
                <a:t>Y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𝐴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+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𝑏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 ∗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𝑋</m:t>
                  </m:r>
                </m:oMath>
              </a14:m>
              <a:endParaRPr lang="ru-RU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B74EF72-40A4-4E8F-BD38-83C0FA6AC629}"/>
                </a:ext>
              </a:extLst>
            </xdr:cNvPr>
            <xdr:cNvSpPr txBox="1"/>
          </xdr:nvSpPr>
          <xdr:spPr>
            <a:xfrm>
              <a:off x="13182237" y="27215"/>
              <a:ext cx="943429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Aptos Narrow" panose="020B0004020202020204" pitchFamily="34" charset="0"/>
                </a:rPr>
                <a:t>Y</a:t>
              </a:r>
              <a:r>
                <a:rPr lang="en-US" sz="1100" b="0" i="0">
                  <a:latin typeface="Cambria Math" panose="02040503050406030204" pitchFamily="18" charset="0"/>
                </a:rPr>
                <a:t>=𝐴+𝑏 ∗𝑋</a:t>
              </a:r>
              <a:endParaRPr lang="ru-RU" sz="1100"/>
            </a:p>
          </xdr:txBody>
        </xdr:sp>
      </mc:Fallback>
    </mc:AlternateContent>
    <xdr:clientData/>
  </xdr:oneCellAnchor>
  <xdr:twoCellAnchor editAs="oneCell">
    <xdr:from>
      <xdr:col>0</xdr:col>
      <xdr:colOff>601980</xdr:colOff>
      <xdr:row>23</xdr:row>
      <xdr:rowOff>53340</xdr:rowOff>
    </xdr:from>
    <xdr:to>
      <xdr:col>1</xdr:col>
      <xdr:colOff>1442982</xdr:colOff>
      <xdr:row>25</xdr:row>
      <xdr:rowOff>137160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1980" y="4983480"/>
          <a:ext cx="1467747" cy="44958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1439544</xdr:colOff>
      <xdr:row>28</xdr:row>
      <xdr:rowOff>53340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5661660"/>
          <a:ext cx="1456689" cy="23622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2</xdr:row>
      <xdr:rowOff>38100</xdr:rowOff>
    </xdr:from>
    <xdr:to>
      <xdr:col>23</xdr:col>
      <xdr:colOff>0</xdr:colOff>
      <xdr:row>12</xdr:row>
      <xdr:rowOff>47625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447674</xdr:colOff>
      <xdr:row>12</xdr:row>
      <xdr:rowOff>161925</xdr:rowOff>
    </xdr:from>
    <xdr:to>
      <xdr:col>22</xdr:col>
      <xdr:colOff>590549</xdr:colOff>
      <xdr:row>22</xdr:row>
      <xdr:rowOff>152400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514350</xdr:colOff>
      <xdr:row>23</xdr:row>
      <xdr:rowOff>171450</xdr:rowOff>
    </xdr:from>
    <xdr:to>
      <xdr:col>22</xdr:col>
      <xdr:colOff>552450</xdr:colOff>
      <xdr:row>34</xdr:row>
      <xdr:rowOff>9525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158116</xdr:colOff>
      <xdr:row>0</xdr:row>
      <xdr:rowOff>0</xdr:rowOff>
    </xdr:from>
    <xdr:ext cx="279168" cy="3073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A00-000002000000}"/>
                </a:ext>
              </a:extLst>
            </xdr:cNvPr>
            <xdr:cNvSpPr txBox="1"/>
          </xdr:nvSpPr>
          <xdr:spPr>
            <a:xfrm>
              <a:off x="1721082" y="0"/>
              <a:ext cx="279168" cy="3073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𝑥𝑦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A00-000002000000}"/>
                </a:ext>
              </a:extLst>
            </xdr:cNvPr>
            <xdr:cNvSpPr txBox="1"/>
          </xdr:nvSpPr>
          <xdr:spPr>
            <a:xfrm>
              <a:off x="1721082" y="0"/>
              <a:ext cx="279168" cy="3073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𝑟_𝑥𝑦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8833</xdr:colOff>
      <xdr:row>0</xdr:row>
      <xdr:rowOff>0</xdr:rowOff>
    </xdr:from>
    <xdr:ext cx="598068" cy="2868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A00-000003000000}"/>
                </a:ext>
              </a:extLst>
            </xdr:cNvPr>
            <xdr:cNvSpPr txBox="1"/>
          </xdr:nvSpPr>
          <xdr:spPr>
            <a:xfrm>
              <a:off x="2182265" y="0"/>
              <a:ext cx="598068" cy="2868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8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A00-000003000000}"/>
                </a:ext>
              </a:extLst>
            </xdr:cNvPr>
            <xdr:cNvSpPr txBox="1"/>
          </xdr:nvSpPr>
          <xdr:spPr>
            <a:xfrm>
              <a:off x="2182265" y="0"/>
              <a:ext cx="598068" cy="2868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800" b="0" i="0">
                  <a:latin typeface="Cambria Math" panose="02040503050406030204" pitchFamily="18" charset="0"/>
                </a:rPr>
                <a:t>𝑅</a:t>
              </a:r>
              <a:r>
                <a:rPr lang="ru-RU" sz="1800" b="0" i="0">
                  <a:latin typeface="Cambria Math" panose="02040503050406030204" pitchFamily="18" charset="0"/>
                </a:rPr>
                <a:t>^</a:t>
              </a:r>
              <a:r>
                <a:rPr lang="en-US" sz="1800" b="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607350</xdr:colOff>
      <xdr:row>0</xdr:row>
      <xdr:rowOff>0</xdr:rowOff>
    </xdr:from>
    <xdr:ext cx="598068" cy="2562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A00-000004000000}"/>
                </a:ext>
              </a:extLst>
            </xdr:cNvPr>
            <xdr:cNvSpPr txBox="1"/>
          </xdr:nvSpPr>
          <xdr:spPr>
            <a:xfrm>
              <a:off x="2780782" y="0"/>
              <a:ext cx="598068" cy="2562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6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A00-000004000000}"/>
                </a:ext>
              </a:extLst>
            </xdr:cNvPr>
            <xdr:cNvSpPr txBox="1"/>
          </xdr:nvSpPr>
          <xdr:spPr>
            <a:xfrm>
              <a:off x="2780782" y="0"/>
              <a:ext cx="598068" cy="2562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𝐴</a:t>
              </a:r>
              <a:r>
                <a:rPr lang="ru-RU" sz="1600" b="0" i="0">
                  <a:latin typeface="Cambria Math" panose="02040503050406030204" pitchFamily="18" charset="0"/>
                </a:rPr>
                <a:t>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71723</xdr:colOff>
      <xdr:row>0</xdr:row>
      <xdr:rowOff>0</xdr:rowOff>
    </xdr:from>
    <xdr:ext cx="491032" cy="268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A00-000005000000}"/>
                </a:ext>
              </a:extLst>
            </xdr:cNvPr>
            <xdr:cNvSpPr txBox="1"/>
          </xdr:nvSpPr>
          <xdr:spPr>
            <a:xfrm>
              <a:off x="3466087" y="0"/>
              <a:ext cx="491032" cy="268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факт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A00-000005000000}"/>
                </a:ext>
              </a:extLst>
            </xdr:cNvPr>
            <xdr:cNvSpPr txBox="1"/>
          </xdr:nvSpPr>
          <xdr:spPr>
            <a:xfrm>
              <a:off x="3466087" y="0"/>
              <a:ext cx="491032" cy="268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𝐹</a:t>
              </a:r>
              <a:r>
                <a:rPr lang="ru-RU" sz="1600" b="0" i="0">
                  <a:latin typeface="Cambria Math" panose="02040503050406030204" pitchFamily="18" charset="0"/>
                </a:rPr>
                <a:t>_факт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207670</xdr:colOff>
      <xdr:row>0</xdr:row>
      <xdr:rowOff>7028</xdr:rowOff>
    </xdr:from>
    <xdr:ext cx="226536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A00-000006000000}"/>
                </a:ext>
              </a:extLst>
            </xdr:cNvPr>
            <xdr:cNvSpPr txBox="1"/>
          </xdr:nvSpPr>
          <xdr:spPr>
            <a:xfrm>
              <a:off x="4212500" y="7028"/>
              <a:ext cx="226536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A00-000006000000}"/>
                </a:ext>
              </a:extLst>
            </xdr:cNvPr>
            <xdr:cNvSpPr txBox="1"/>
          </xdr:nvSpPr>
          <xdr:spPr>
            <a:xfrm>
              <a:off x="4212500" y="7028"/>
              <a:ext cx="226536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𝑡</a:t>
              </a:r>
              <a:r>
                <a:rPr lang="ru-RU" sz="1600" b="0" i="0">
                  <a:latin typeface="Cambria Math" panose="02040503050406030204" pitchFamily="18" charset="0"/>
                </a:rPr>
                <a:t>_</a:t>
              </a:r>
              <a:r>
                <a:rPr lang="en-US" sz="1600" b="0" i="0">
                  <a:latin typeface="Cambria Math" panose="02040503050406030204" pitchFamily="18" charset="0"/>
                </a:rPr>
                <a:t>𝑏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226202</xdr:colOff>
      <xdr:row>0</xdr:row>
      <xdr:rowOff>0</xdr:rowOff>
    </xdr:from>
    <xdr:ext cx="230063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A00-000007000000}"/>
                </a:ext>
              </a:extLst>
            </xdr:cNvPr>
            <xdr:cNvSpPr txBox="1"/>
          </xdr:nvSpPr>
          <xdr:spPr>
            <a:xfrm>
              <a:off x="4841497" y="0"/>
              <a:ext cx="230063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A00-000007000000}"/>
                </a:ext>
              </a:extLst>
            </xdr:cNvPr>
            <xdr:cNvSpPr txBox="1"/>
          </xdr:nvSpPr>
          <xdr:spPr>
            <a:xfrm>
              <a:off x="4841497" y="0"/>
              <a:ext cx="230063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𝑡</a:t>
              </a:r>
              <a:r>
                <a:rPr lang="ru-RU" sz="1600" b="0" i="0">
                  <a:latin typeface="Cambria Math" panose="02040503050406030204" pitchFamily="18" charset="0"/>
                </a:rPr>
                <a:t>_</a:t>
              </a:r>
              <a:r>
                <a:rPr lang="en-US" sz="1600" b="0" i="0">
                  <a:latin typeface="Cambria Math" panose="02040503050406030204" pitchFamily="18" charset="0"/>
                </a:rPr>
                <a:t>𝑎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130952</xdr:colOff>
      <xdr:row>0</xdr:row>
      <xdr:rowOff>0</xdr:rowOff>
    </xdr:from>
    <xdr:ext cx="366447" cy="2937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A00-000008000000}"/>
                </a:ext>
              </a:extLst>
            </xdr:cNvPr>
            <xdr:cNvSpPr txBox="1"/>
          </xdr:nvSpPr>
          <xdr:spPr>
            <a:xfrm>
              <a:off x="5356713" y="0"/>
              <a:ext cx="366447" cy="2937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sSub>
                          <m:sSubPr>
                            <m:ctrlPr>
                              <a:rPr lang="ru-RU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𝑥𝑦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A00-000008000000}"/>
                </a:ext>
              </a:extLst>
            </xdr:cNvPr>
            <xdr:cNvSpPr txBox="1"/>
          </xdr:nvSpPr>
          <xdr:spPr>
            <a:xfrm>
              <a:off x="5356713" y="0"/>
              <a:ext cx="366447" cy="2937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𝑡</a:t>
              </a:r>
              <a:r>
                <a:rPr lang="ru-RU" sz="1600" b="0" i="0">
                  <a:latin typeface="Cambria Math" panose="02040503050406030204" pitchFamily="18" charset="0"/>
                </a:rPr>
                <a:t>_(</a:t>
              </a:r>
              <a:r>
                <a:rPr lang="en-US" sz="1600" b="0" i="0">
                  <a:latin typeface="Cambria Math" panose="02040503050406030204" pitchFamily="18" charset="0"/>
                </a:rPr>
                <a:t>𝑟</a:t>
              </a:r>
              <a:r>
                <a:rPr lang="ru-RU" sz="1600" b="0" i="0">
                  <a:latin typeface="Cambria Math" panose="02040503050406030204" pitchFamily="18" charset="0"/>
                </a:rPr>
                <a:t>_</a:t>
              </a:r>
              <a:r>
                <a:rPr lang="en-US" sz="1600" b="0" i="0">
                  <a:latin typeface="Cambria Math" panose="02040503050406030204" pitchFamily="18" charset="0"/>
                </a:rPr>
                <a:t>𝑥𝑦 </a:t>
              </a:r>
              <a:r>
                <a:rPr lang="ru-RU" sz="1600" b="0" i="0"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1151" cy="6066763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0.50084</cdr:x>
      <cdr:y>0.72714</cdr:y>
    </cdr:from>
    <cdr:to>
      <cdr:x>0.60355</cdr:x>
      <cdr:y>0.76539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CD55D5-D4F0-88E8-F3C6-C71EEF5AF6D8}"/>
            </a:ext>
          </a:extLst>
        </cdr:cNvPr>
        <cdr:cNvSpPr txBox="1"/>
      </cdr:nvSpPr>
      <cdr:spPr>
        <a:xfrm xmlns:a="http://schemas.openxmlformats.org/drawingml/2006/main">
          <a:off x="4653381" y="4413755"/>
          <a:ext cx="954299" cy="2321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800">
              <a:latin typeface="Times New Roman" panose="02020603050405020304" pitchFamily="18" charset="0"/>
              <a:cs typeface="Times New Roman" panose="02020603050405020304" pitchFamily="18" charset="0"/>
            </a:rPr>
            <a:t>Экспоненциальная</a:t>
          </a:r>
        </a:p>
      </cdr:txBody>
    </cdr:sp>
  </cdr:relSizeAnchor>
  <cdr:relSizeAnchor xmlns:cdr="http://schemas.openxmlformats.org/drawingml/2006/chartDrawing">
    <cdr:from>
      <cdr:x>0.63656</cdr:x>
      <cdr:y>0.72846</cdr:y>
    </cdr:from>
    <cdr:to>
      <cdr:x>0.70075</cdr:x>
      <cdr:y>0.76999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CD050A7-1F7B-3A4F-A119-39D6C20A9B82}"/>
            </a:ext>
          </a:extLst>
        </cdr:cNvPr>
        <cdr:cNvSpPr txBox="1"/>
      </cdr:nvSpPr>
      <cdr:spPr>
        <a:xfrm xmlns:a="http://schemas.openxmlformats.org/drawingml/2006/main">
          <a:off x="5914431" y="4421758"/>
          <a:ext cx="596403" cy="2520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800">
              <a:latin typeface="Times New Roman" panose="02020603050405020304" pitchFamily="18" charset="0"/>
              <a:cs typeface="Times New Roman" panose="02020603050405020304" pitchFamily="18" charset="0"/>
            </a:rPr>
            <a:t>Линейная</a:t>
          </a:r>
        </a:p>
      </cdr:txBody>
    </cdr:sp>
  </cdr:relSizeAnchor>
  <cdr:relSizeAnchor xmlns:cdr="http://schemas.openxmlformats.org/drawingml/2006/chartDrawing">
    <cdr:from>
      <cdr:x>0.74638</cdr:x>
      <cdr:y>0.72661</cdr:y>
    </cdr:from>
    <cdr:to>
      <cdr:x>0.81414</cdr:x>
      <cdr:y>0.7594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F565575F-7E95-A393-4C24-62438ACAEA03}"/>
            </a:ext>
          </a:extLst>
        </cdr:cNvPr>
        <cdr:cNvSpPr txBox="1"/>
      </cdr:nvSpPr>
      <cdr:spPr>
        <a:xfrm xmlns:a="http://schemas.openxmlformats.org/drawingml/2006/main">
          <a:off x="6934740" y="4410515"/>
          <a:ext cx="629572" cy="1990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800">
              <a:latin typeface="Times New Roman" panose="02020603050405020304" pitchFamily="18" charset="0"/>
              <a:cs typeface="Times New Roman" panose="02020603050405020304" pitchFamily="18" charset="0"/>
            </a:rPr>
            <a:t>Степенная</a:t>
          </a:r>
        </a:p>
      </cdr:txBody>
    </cdr:sp>
  </cdr:relSizeAnchor>
  <cdr:relSizeAnchor xmlns:cdr="http://schemas.openxmlformats.org/drawingml/2006/chartDrawing">
    <cdr:from>
      <cdr:x>0.84553</cdr:x>
      <cdr:y>0.72552</cdr:y>
    </cdr:from>
    <cdr:to>
      <cdr:x>0.93754</cdr:x>
      <cdr:y>0.76158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E381AE45-9E12-EB7A-FEF5-04AA614310A4}"/>
            </a:ext>
          </a:extLst>
        </cdr:cNvPr>
        <cdr:cNvSpPr txBox="1"/>
      </cdr:nvSpPr>
      <cdr:spPr>
        <a:xfrm xmlns:a="http://schemas.openxmlformats.org/drawingml/2006/main">
          <a:off x="7855963" y="4403899"/>
          <a:ext cx="854884" cy="2188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800">
              <a:latin typeface="Times New Roman" panose="02020603050405020304" pitchFamily="18" charset="0"/>
              <a:cs typeface="Times New Roman" panose="02020603050405020304" pitchFamily="18" charset="0"/>
            </a:rPr>
            <a:t>Логарифмическая</a:t>
          </a:r>
          <a:r>
            <a:rPr lang="ru-RU" sz="8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endParaRPr lang="ru-RU" sz="8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17</xdr:row>
          <xdr:rowOff>101600</xdr:rowOff>
        </xdr:from>
        <xdr:to>
          <xdr:col>1</xdr:col>
          <xdr:colOff>1003300</xdr:colOff>
          <xdr:row>19</xdr:row>
          <xdr:rowOff>215900</xdr:rowOff>
        </xdr:to>
        <xdr:sp macro="" textlink="">
          <xdr:nvSpPr>
            <xdr:cNvPr id="3079" name="Object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2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20</xdr:row>
          <xdr:rowOff>139700</xdr:rowOff>
        </xdr:from>
        <xdr:to>
          <xdr:col>1</xdr:col>
          <xdr:colOff>990600</xdr:colOff>
          <xdr:row>22</xdr:row>
          <xdr:rowOff>63500</xdr:rowOff>
        </xdr:to>
        <xdr:sp macro="" textlink="">
          <xdr:nvSpPr>
            <xdr:cNvPr id="3080" name="Object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2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393700</xdr:colOff>
          <xdr:row>32</xdr:row>
          <xdr:rowOff>139700</xdr:rowOff>
        </xdr:from>
        <xdr:to>
          <xdr:col>2</xdr:col>
          <xdr:colOff>101600</xdr:colOff>
          <xdr:row>34</xdr:row>
          <xdr:rowOff>177800</xdr:rowOff>
        </xdr:to>
        <xdr:sp macro="" textlink="">
          <xdr:nvSpPr>
            <xdr:cNvPr id="3081" name="Object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2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38</xdr:row>
          <xdr:rowOff>101600</xdr:rowOff>
        </xdr:from>
        <xdr:to>
          <xdr:col>1</xdr:col>
          <xdr:colOff>1054100</xdr:colOff>
          <xdr:row>40</xdr:row>
          <xdr:rowOff>139700</xdr:rowOff>
        </xdr:to>
        <xdr:sp macro="" textlink="">
          <xdr:nvSpPr>
            <xdr:cNvPr id="3083" name="Object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2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45</xdr:row>
          <xdr:rowOff>63500</xdr:rowOff>
        </xdr:from>
        <xdr:to>
          <xdr:col>2</xdr:col>
          <xdr:colOff>939800</xdr:colOff>
          <xdr:row>48</xdr:row>
          <xdr:rowOff>165100</xdr:rowOff>
        </xdr:to>
        <xdr:sp macro="" textlink="">
          <xdr:nvSpPr>
            <xdr:cNvPr id="3085" name="Object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2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48</xdr:row>
          <xdr:rowOff>139700</xdr:rowOff>
        </xdr:from>
        <xdr:to>
          <xdr:col>2</xdr:col>
          <xdr:colOff>939800</xdr:colOff>
          <xdr:row>52</xdr:row>
          <xdr:rowOff>38100</xdr:rowOff>
        </xdr:to>
        <xdr:sp macro="" textlink="">
          <xdr:nvSpPr>
            <xdr:cNvPr id="3086" name="Object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2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52</xdr:row>
          <xdr:rowOff>152400</xdr:rowOff>
        </xdr:from>
        <xdr:to>
          <xdr:col>1</xdr:col>
          <xdr:colOff>1028700</xdr:colOff>
          <xdr:row>55</xdr:row>
          <xdr:rowOff>139700</xdr:rowOff>
        </xdr:to>
        <xdr:sp macro="" textlink="">
          <xdr:nvSpPr>
            <xdr:cNvPr id="3087" name="Object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2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355600</xdr:colOff>
          <xdr:row>56</xdr:row>
          <xdr:rowOff>50800</xdr:rowOff>
        </xdr:from>
        <xdr:to>
          <xdr:col>1</xdr:col>
          <xdr:colOff>977900</xdr:colOff>
          <xdr:row>58</xdr:row>
          <xdr:rowOff>139700</xdr:rowOff>
        </xdr:to>
        <xdr:sp macro="" textlink="">
          <xdr:nvSpPr>
            <xdr:cNvPr id="3089" name="Object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2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355600</xdr:colOff>
          <xdr:row>59</xdr:row>
          <xdr:rowOff>25400</xdr:rowOff>
        </xdr:from>
        <xdr:to>
          <xdr:col>1</xdr:col>
          <xdr:colOff>977900</xdr:colOff>
          <xdr:row>61</xdr:row>
          <xdr:rowOff>139700</xdr:rowOff>
        </xdr:to>
        <xdr:sp macro="" textlink="">
          <xdr:nvSpPr>
            <xdr:cNvPr id="3090" name="Object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2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342900</xdr:colOff>
          <xdr:row>62</xdr:row>
          <xdr:rowOff>25400</xdr:rowOff>
        </xdr:from>
        <xdr:to>
          <xdr:col>1</xdr:col>
          <xdr:colOff>977900</xdr:colOff>
          <xdr:row>64</xdr:row>
          <xdr:rowOff>114300</xdr:rowOff>
        </xdr:to>
        <xdr:sp macro="" textlink="">
          <xdr:nvSpPr>
            <xdr:cNvPr id="3091" name="Object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2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</xdr:col>
      <xdr:colOff>53341</xdr:colOff>
      <xdr:row>0</xdr:row>
      <xdr:rowOff>38100</xdr:rowOff>
    </xdr:from>
    <xdr:to>
      <xdr:col>9</xdr:col>
      <xdr:colOff>588433</xdr:colOff>
      <xdr:row>0</xdr:row>
      <xdr:rowOff>220980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44841" y="38100"/>
          <a:ext cx="535092" cy="182880"/>
        </a:xfrm>
        <a:prstGeom prst="rect">
          <a:avLst/>
        </a:prstGeom>
      </xdr:spPr>
    </xdr:pic>
    <xdr:clientData/>
  </xdr:twoCellAnchor>
  <xdr:twoCellAnchor editAs="oneCell">
    <xdr:from>
      <xdr:col>10</xdr:col>
      <xdr:colOff>60960</xdr:colOff>
      <xdr:row>0</xdr:row>
      <xdr:rowOff>15240</xdr:rowOff>
    </xdr:from>
    <xdr:to>
      <xdr:col>10</xdr:col>
      <xdr:colOff>547257</xdr:colOff>
      <xdr:row>0</xdr:row>
      <xdr:rowOff>213361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62060" y="15240"/>
          <a:ext cx="486297" cy="19812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557579</xdr:colOff>
      <xdr:row>2</xdr:row>
      <xdr:rowOff>16852</xdr:rowOff>
    </xdr:from>
    <xdr:to>
      <xdr:col>15</xdr:col>
      <xdr:colOff>557579</xdr:colOff>
      <xdr:row>12</xdr:row>
      <xdr:rowOff>26377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550251</xdr:colOff>
      <xdr:row>12</xdr:row>
      <xdr:rowOff>142875</xdr:rowOff>
    </xdr:from>
    <xdr:to>
      <xdr:col>15</xdr:col>
      <xdr:colOff>550251</xdr:colOff>
      <xdr:row>22</xdr:row>
      <xdr:rowOff>133349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556846</xdr:colOff>
      <xdr:row>23</xdr:row>
      <xdr:rowOff>139212</xdr:rowOff>
    </xdr:from>
    <xdr:to>
      <xdr:col>15</xdr:col>
      <xdr:colOff>556846</xdr:colOff>
      <xdr:row>33</xdr:row>
      <xdr:rowOff>163391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71457</xdr:colOff>
      <xdr:row>26</xdr:row>
      <xdr:rowOff>114995</xdr:rowOff>
    </xdr:from>
    <xdr:to>
      <xdr:col>2</xdr:col>
      <xdr:colOff>780144</xdr:colOff>
      <xdr:row>28</xdr:row>
      <xdr:rowOff>117927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SpPr txBox="1"/>
          </xdr:nvSpPr>
          <xdr:spPr>
            <a:xfrm>
              <a:off x="860671" y="6283566"/>
              <a:ext cx="1688402" cy="456504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8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= </m:t>
                    </m:r>
                    <m:acc>
                      <m:accPr>
                        <m:chr m:val="̅"/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</m:acc>
                    <m:r>
                      <a:rPr lang="en-US" sz="18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∗</m:t>
                    </m:r>
                    <m:acc>
                      <m:accPr>
                        <m:chr m:val="̅"/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</m:acc>
                  </m:oMath>
                </m:oMathPara>
              </a14:m>
              <a:endParaRPr lang="ru-RU" sz="18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SpPr txBox="1"/>
          </xdr:nvSpPr>
          <xdr:spPr>
            <a:xfrm>
              <a:off x="860671" y="6283566"/>
              <a:ext cx="1688402" cy="456504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US" sz="1800" b="0" i="0">
                  <a:latin typeface="Cambria Math" panose="02040503050406030204" pitchFamily="18" charset="0"/>
                </a:rPr>
                <a:t>𝐴= 𝑌 ̅+𝑏∗𝑋 ̅</a:t>
              </a:r>
              <a:endParaRPr lang="ru-RU" sz="1800"/>
            </a:p>
          </xdr:txBody>
        </xdr:sp>
      </mc:Fallback>
    </mc:AlternateContent>
    <xdr:clientData/>
  </xdr:twoCellAnchor>
  <xdr:oneCellAnchor>
    <xdr:from>
      <xdr:col>2</xdr:col>
      <xdr:colOff>952500</xdr:colOff>
      <xdr:row>22</xdr:row>
      <xdr:rowOff>30480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/>
      </xdr:nvSpPr>
      <xdr:spPr>
        <a:xfrm>
          <a:off x="2994660" y="5181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215900</xdr:colOff>
          <xdr:row>0</xdr:row>
          <xdr:rowOff>0</xdr:rowOff>
        </xdr:from>
        <xdr:to>
          <xdr:col>8</xdr:col>
          <xdr:colOff>406400</xdr:colOff>
          <xdr:row>1</xdr:row>
          <xdr:rowOff>12700</xdr:rowOff>
        </xdr:to>
        <xdr:sp macro="" textlink="">
          <xdr:nvSpPr>
            <xdr:cNvPr id="5125" name="Object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4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228600</xdr:colOff>
          <xdr:row>0</xdr:row>
          <xdr:rowOff>12700</xdr:rowOff>
        </xdr:from>
        <xdr:to>
          <xdr:col>9</xdr:col>
          <xdr:colOff>635000</xdr:colOff>
          <xdr:row>0</xdr:row>
          <xdr:rowOff>215900</xdr:rowOff>
        </xdr:to>
        <xdr:sp macro="" textlink="">
          <xdr:nvSpPr>
            <xdr:cNvPr id="5171" name="Object 51" hidden="1">
              <a:extLst>
                <a:ext uri="{63B3BB69-23CF-44E3-9099-C40C66FF867C}">
                  <a14:compatExt spid="_x0000_s5171"/>
                </a:ext>
                <a:ext uri="{FF2B5EF4-FFF2-40B4-BE49-F238E27FC236}">
                  <a16:creationId xmlns:a16="http://schemas.microsoft.com/office/drawing/2014/main" id="{00000000-0008-0000-0400-00003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10</xdr:col>
      <xdr:colOff>172358</xdr:colOff>
      <xdr:row>0</xdr:row>
      <xdr:rowOff>0</xdr:rowOff>
    </xdr:from>
    <xdr:to>
      <xdr:col>10</xdr:col>
      <xdr:colOff>788778</xdr:colOff>
      <xdr:row>0</xdr:row>
      <xdr:rowOff>217714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70358" y="0"/>
          <a:ext cx="616420" cy="217714"/>
        </a:xfrm>
        <a:prstGeom prst="rect">
          <a:avLst/>
        </a:prstGeom>
      </xdr:spPr>
    </xdr:pic>
    <xdr:clientData/>
  </xdr:twoCellAnchor>
  <xdr:twoCellAnchor editAs="oneCell">
    <xdr:from>
      <xdr:col>11</xdr:col>
      <xdr:colOff>108857</xdr:colOff>
      <xdr:row>0</xdr:row>
      <xdr:rowOff>0</xdr:rowOff>
    </xdr:from>
    <xdr:to>
      <xdr:col>11</xdr:col>
      <xdr:colOff>493867</xdr:colOff>
      <xdr:row>0</xdr:row>
      <xdr:rowOff>217714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68428" y="0"/>
          <a:ext cx="385010" cy="217714"/>
        </a:xfrm>
        <a:prstGeom prst="rect">
          <a:avLst/>
        </a:prstGeom>
      </xdr:spPr>
    </xdr:pic>
    <xdr:clientData/>
  </xdr:twoCellAnchor>
  <xdr:twoCellAnchor editAs="oneCell">
    <xdr:from>
      <xdr:col>12</xdr:col>
      <xdr:colOff>263072</xdr:colOff>
      <xdr:row>0</xdr:row>
      <xdr:rowOff>0</xdr:rowOff>
    </xdr:from>
    <xdr:to>
      <xdr:col>12</xdr:col>
      <xdr:colOff>789215</xdr:colOff>
      <xdr:row>1</xdr:row>
      <xdr:rowOff>2329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75786" y="0"/>
          <a:ext cx="526143" cy="23818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901700</xdr:colOff>
          <xdr:row>34</xdr:row>
          <xdr:rowOff>266700</xdr:rowOff>
        </xdr:from>
        <xdr:to>
          <xdr:col>3</xdr:col>
          <xdr:colOff>825500</xdr:colOff>
          <xdr:row>36</xdr:row>
          <xdr:rowOff>203200</xdr:rowOff>
        </xdr:to>
        <xdr:sp macro="" textlink="">
          <xdr:nvSpPr>
            <xdr:cNvPr id="5177" name="Object 57" hidden="1">
              <a:extLst>
                <a:ext uri="{63B3BB69-23CF-44E3-9099-C40C66FF867C}">
                  <a14:compatExt spid="_x0000_s5177"/>
                </a:ext>
                <a:ext uri="{FF2B5EF4-FFF2-40B4-BE49-F238E27FC236}">
                  <a16:creationId xmlns:a16="http://schemas.microsoft.com/office/drawing/2014/main" id="{00000000-0008-0000-0400-00003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330200</xdr:colOff>
          <xdr:row>36</xdr:row>
          <xdr:rowOff>215900</xdr:rowOff>
        </xdr:from>
        <xdr:to>
          <xdr:col>3</xdr:col>
          <xdr:colOff>850900</xdr:colOff>
          <xdr:row>38</xdr:row>
          <xdr:rowOff>25400</xdr:rowOff>
        </xdr:to>
        <xdr:sp macro="" textlink="">
          <xdr:nvSpPr>
            <xdr:cNvPr id="5179" name="Object 59" hidden="1">
              <a:extLst>
                <a:ext uri="{63B3BB69-23CF-44E3-9099-C40C66FF867C}">
                  <a14:compatExt spid="_x0000_s5179"/>
                </a:ext>
                <a:ext uri="{FF2B5EF4-FFF2-40B4-BE49-F238E27FC236}">
                  <a16:creationId xmlns:a16="http://schemas.microsoft.com/office/drawing/2014/main" id="{00000000-0008-0000-0400-00003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139700</xdr:colOff>
          <xdr:row>39</xdr:row>
          <xdr:rowOff>279400</xdr:rowOff>
        </xdr:from>
        <xdr:to>
          <xdr:col>3</xdr:col>
          <xdr:colOff>850900</xdr:colOff>
          <xdr:row>42</xdr:row>
          <xdr:rowOff>12700</xdr:rowOff>
        </xdr:to>
        <xdr:sp macro="" textlink="">
          <xdr:nvSpPr>
            <xdr:cNvPr id="5180" name="Object 60" hidden="1">
              <a:extLst>
                <a:ext uri="{63B3BB69-23CF-44E3-9099-C40C66FF867C}">
                  <a14:compatExt spid="_x0000_s5180"/>
                </a:ext>
                <a:ext uri="{FF2B5EF4-FFF2-40B4-BE49-F238E27FC236}">
                  <a16:creationId xmlns:a16="http://schemas.microsoft.com/office/drawing/2014/main" id="{00000000-0008-0000-0400-00003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460829</xdr:colOff>
      <xdr:row>45</xdr:row>
      <xdr:rowOff>29028</xdr:rowOff>
    </xdr:from>
    <xdr:to>
      <xdr:col>3</xdr:col>
      <xdr:colOff>19957</xdr:colOff>
      <xdr:row>48</xdr:row>
      <xdr:rowOff>3328</xdr:rowOff>
    </xdr:to>
    <xdr:pic>
      <xdr:nvPicPr>
        <xdr:cNvPr id="39" name="Рисунок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0829" y="11763828"/>
          <a:ext cx="2569028" cy="622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52</xdr:row>
      <xdr:rowOff>56696</xdr:rowOff>
    </xdr:from>
    <xdr:to>
      <xdr:col>2</xdr:col>
      <xdr:colOff>902285</xdr:colOff>
      <xdr:row>54</xdr:row>
      <xdr:rowOff>129269</xdr:rowOff>
    </xdr:to>
    <xdr:pic>
      <xdr:nvPicPr>
        <xdr:cNvPr id="40" name="Рисунок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6750" y="13369017"/>
          <a:ext cx="1947767" cy="548822"/>
        </a:xfrm>
        <a:prstGeom prst="rect">
          <a:avLst/>
        </a:prstGeom>
      </xdr:spPr>
    </xdr:pic>
    <xdr:clientData/>
  </xdr:twoCellAnchor>
  <xdr:twoCellAnchor editAs="oneCell">
    <xdr:from>
      <xdr:col>0</xdr:col>
      <xdr:colOff>288018</xdr:colOff>
      <xdr:row>55</xdr:row>
      <xdr:rowOff>54429</xdr:rowOff>
    </xdr:from>
    <xdr:to>
      <xdr:col>2</xdr:col>
      <xdr:colOff>903513</xdr:colOff>
      <xdr:row>57</xdr:row>
      <xdr:rowOff>179401</xdr:rowOff>
    </xdr:to>
    <xdr:pic>
      <xdr:nvPicPr>
        <xdr:cNvPr id="41" name="Рисунок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88018" y="14081125"/>
          <a:ext cx="2327727" cy="601222"/>
        </a:xfrm>
        <a:prstGeom prst="rect">
          <a:avLst/>
        </a:prstGeom>
      </xdr:spPr>
    </xdr:pic>
    <xdr:clientData/>
  </xdr:twoCellAnchor>
  <xdr:twoCellAnchor editAs="oneCell">
    <xdr:from>
      <xdr:col>1</xdr:col>
      <xdr:colOff>444500</xdr:colOff>
      <xdr:row>57</xdr:row>
      <xdr:rowOff>222251</xdr:rowOff>
    </xdr:from>
    <xdr:to>
      <xdr:col>3</xdr:col>
      <xdr:colOff>0</xdr:colOff>
      <xdr:row>61</xdr:row>
      <xdr:rowOff>499</xdr:rowOff>
    </xdr:to>
    <xdr:pic>
      <xdr:nvPicPr>
        <xdr:cNvPr id="42" name="Рисунок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04232" y="14725197"/>
          <a:ext cx="1426482" cy="724935"/>
        </a:xfrm>
        <a:prstGeom prst="rect">
          <a:avLst/>
        </a:prstGeom>
      </xdr:spPr>
    </xdr:pic>
    <xdr:clientData/>
  </xdr:twoCellAnchor>
  <xdr:twoCellAnchor editAs="oneCell">
    <xdr:from>
      <xdr:col>1</xdr:col>
      <xdr:colOff>796019</xdr:colOff>
      <xdr:row>62</xdr:row>
      <xdr:rowOff>151947</xdr:rowOff>
    </xdr:from>
    <xdr:to>
      <xdr:col>2</xdr:col>
      <xdr:colOff>902308</xdr:colOff>
      <xdr:row>65</xdr:row>
      <xdr:rowOff>1351</xdr:rowOff>
    </xdr:to>
    <xdr:pic>
      <xdr:nvPicPr>
        <xdr:cNvPr id="43" name="Рисунок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55751" y="15845518"/>
          <a:ext cx="1058789" cy="557966"/>
        </a:xfrm>
        <a:prstGeom prst="rect">
          <a:avLst/>
        </a:prstGeom>
      </xdr:spPr>
    </xdr:pic>
    <xdr:clientData/>
  </xdr:twoCellAnchor>
  <xdr:twoCellAnchor editAs="oneCell">
    <xdr:from>
      <xdr:col>1</xdr:col>
      <xdr:colOff>870858</xdr:colOff>
      <xdr:row>66</xdr:row>
      <xdr:rowOff>77108</xdr:rowOff>
    </xdr:from>
    <xdr:to>
      <xdr:col>2</xdr:col>
      <xdr:colOff>910462</xdr:colOff>
      <xdr:row>68</xdr:row>
      <xdr:rowOff>147484</xdr:rowOff>
    </xdr:to>
    <xdr:pic>
      <xdr:nvPicPr>
        <xdr:cNvPr id="44" name="Рисунок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630590" y="16723179"/>
          <a:ext cx="992104" cy="546627"/>
        </a:xfrm>
        <a:prstGeom prst="rect">
          <a:avLst/>
        </a:prstGeom>
      </xdr:spPr>
    </xdr:pic>
    <xdr:clientData/>
  </xdr:twoCellAnchor>
  <xdr:twoCellAnchor editAs="oneCell">
    <xdr:from>
      <xdr:col>1</xdr:col>
      <xdr:colOff>582840</xdr:colOff>
      <xdr:row>69</xdr:row>
      <xdr:rowOff>145144</xdr:rowOff>
    </xdr:from>
    <xdr:to>
      <xdr:col>3</xdr:col>
      <xdr:colOff>6671</xdr:colOff>
      <xdr:row>72</xdr:row>
      <xdr:rowOff>72200</xdr:rowOff>
    </xdr:to>
    <xdr:pic>
      <xdr:nvPicPr>
        <xdr:cNvPr id="46" name="Рисунок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42572" y="17505590"/>
          <a:ext cx="1287418" cy="596071"/>
        </a:xfrm>
        <a:prstGeom prst="rect">
          <a:avLst/>
        </a:prstGeom>
      </xdr:spPr>
    </xdr:pic>
    <xdr:clientData/>
  </xdr:twoCellAnchor>
  <xdr:oneCellAnchor>
    <xdr:from>
      <xdr:col>13</xdr:col>
      <xdr:colOff>45357</xdr:colOff>
      <xdr:row>0</xdr:row>
      <xdr:rowOff>36286</xdr:rowOff>
    </xdr:from>
    <xdr:ext cx="718039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TextBox 48">
              <a:extLst>
                <a:ext uri="{FF2B5EF4-FFF2-40B4-BE49-F238E27FC236}">
                  <a16:creationId xmlns:a16="http://schemas.microsoft.com/office/drawing/2014/main" id="{00000000-0008-0000-0400-000031000000}"/>
                </a:ext>
              </a:extLst>
            </xdr:cNvPr>
            <xdr:cNvSpPr txBox="1"/>
          </xdr:nvSpPr>
          <xdr:spPr>
            <a:xfrm>
              <a:off x="12092214" y="36286"/>
              <a:ext cx="71803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𝑋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− </m:t>
                    </m:r>
                    <m:acc>
                      <m:accPr>
                        <m:chr m:val="̅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</m:acc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9" name="TextBox 48">
              <a:extLst>
                <a:ext uri="{FF2B5EF4-FFF2-40B4-BE49-F238E27FC236}">
                  <a16:creationId xmlns:a16="http://schemas.microsoft.com/office/drawing/2014/main" id="{E1AF4468-1035-47A2-9F1B-F5C1CE5EADD6}"/>
                </a:ext>
              </a:extLst>
            </xdr:cNvPr>
            <xdr:cNvSpPr txBox="1"/>
          </xdr:nvSpPr>
          <xdr:spPr>
            <a:xfrm>
              <a:off x="12092214" y="36286"/>
              <a:ext cx="71803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(𝑋 − 𝑋 ̅)^2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15</xdr:col>
      <xdr:colOff>45357</xdr:colOff>
      <xdr:row>0</xdr:row>
      <xdr:rowOff>27215</xdr:rowOff>
    </xdr:from>
    <xdr:ext cx="943429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TextBox 49">
              <a:extLst>
                <a:ext uri="{FF2B5EF4-FFF2-40B4-BE49-F238E27FC236}">
                  <a16:creationId xmlns:a16="http://schemas.microsoft.com/office/drawing/2014/main" id="{00000000-0008-0000-0400-000032000000}"/>
                </a:ext>
              </a:extLst>
            </xdr:cNvPr>
            <xdr:cNvSpPr txBox="1"/>
          </xdr:nvSpPr>
          <xdr:spPr>
            <a:xfrm>
              <a:off x="13534571" y="27215"/>
              <a:ext cx="943429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Aptos Narrow" panose="020B0004020202020204" pitchFamily="34" charset="0"/>
                </a:rPr>
                <a:t>Y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𝐴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+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𝑏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 ∗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𝑋</m:t>
                  </m:r>
                </m:oMath>
              </a14:m>
              <a:endParaRPr lang="ru-RU" sz="1100"/>
            </a:p>
          </xdr:txBody>
        </xdr:sp>
      </mc:Choice>
      <mc:Fallback xmlns="">
        <xdr:sp macro="" textlink="">
          <xdr:nvSpPr>
            <xdr:cNvPr id="50" name="TextBox 49">
              <a:extLst>
                <a:ext uri="{FF2B5EF4-FFF2-40B4-BE49-F238E27FC236}">
                  <a16:creationId xmlns:a16="http://schemas.microsoft.com/office/drawing/2014/main" id="{7A81F12A-9917-4164-A167-10B6008169F6}"/>
                </a:ext>
              </a:extLst>
            </xdr:cNvPr>
            <xdr:cNvSpPr txBox="1"/>
          </xdr:nvSpPr>
          <xdr:spPr>
            <a:xfrm>
              <a:off x="13534571" y="27215"/>
              <a:ext cx="943429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Aptos Narrow" panose="020B0004020202020204" pitchFamily="34" charset="0"/>
                </a:rPr>
                <a:t>Y</a:t>
              </a:r>
              <a:r>
                <a:rPr lang="en-US" sz="1100" b="0" i="0">
                  <a:latin typeface="Cambria Math" panose="02040503050406030204" pitchFamily="18" charset="0"/>
                </a:rPr>
                <a:t>=𝐴+𝑏 ∗𝑋</a:t>
              </a:r>
              <a:endParaRPr lang="ru-RU" sz="1100"/>
            </a:p>
          </xdr:txBody>
        </xdr:sp>
      </mc:Fallback>
    </mc:AlternateContent>
    <xdr:clientData/>
  </xdr:oneCellAnchor>
  <xdr:twoCellAnchor editAs="oneCell">
    <xdr:from>
      <xdr:col>1</xdr:col>
      <xdr:colOff>523875</xdr:colOff>
      <xdr:row>23</xdr:row>
      <xdr:rowOff>57150</xdr:rowOff>
    </xdr:from>
    <xdr:to>
      <xdr:col>2</xdr:col>
      <xdr:colOff>784336</xdr:colOff>
      <xdr:row>25</xdr:row>
      <xdr:rowOff>117394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Object 3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SpPr txBox="1"/>
          </xdr:nvSpPr>
          <xdr:spPr>
            <a:xfrm>
              <a:off x="1290016" y="6124161"/>
              <a:ext cx="1212961" cy="536494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𝑏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bar>
                          <m:barPr>
                            <m:pos m:val="top"/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bar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𝑌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⋅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𝑋</m:t>
                            </m:r>
                          </m:e>
                        </m:bar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bar>
                          <m:barPr>
                            <m:pos m:val="top"/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bar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𝑌</m:t>
                            </m:r>
                          </m:e>
                        </m:bar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⋅</m:t>
                        </m:r>
                        <m:bar>
                          <m:barPr>
                            <m:pos m:val="top"/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bar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𝑋</m:t>
                            </m:r>
                          </m:e>
                        </m:bar>
                      </m:num>
                      <m:den>
                        <m:bar>
                          <m:barPr>
                            <m:pos m:val="top"/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barPr>
                          <m:e>
                            <m:sSup>
                              <m:sSupPr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𝑋</m:t>
                                </m:r>
                              </m:e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bar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sSubSup>
                          <m:sSubSup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bar>
                              <m:barPr>
                                <m:pos m:val="top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barPr>
                              <m:e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𝑋</m:t>
                                </m:r>
                              </m:e>
                            </m:bar>
                          </m:e>
                          <m:sub/>
                          <m:sup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den>
                    </m:f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2" name="Object 3">
              <a:extLst>
                <a:ext uri="{63B3BB69-23CF-44E3-9099-C40C66FF867C}">
                  <a14:compatExt xmlns:a14="http://schemas.microsoft.com/office/drawing/2010/main" spid="_x0000_s5123"/>
                </a:ext>
                <a:ext uri="{FF2B5EF4-FFF2-40B4-BE49-F238E27FC236}">
                  <a16:creationId xmlns:a16="http://schemas.microsoft.com/office/drawing/2014/main" id="{00000000-0008-0000-0400-000003140000}"/>
                </a:ext>
              </a:extLst>
            </xdr:cNvPr>
            <xdr:cNvSpPr txBox="1"/>
          </xdr:nvSpPr>
          <xdr:spPr>
            <a:xfrm>
              <a:off x="1290016" y="6124161"/>
              <a:ext cx="1212961" cy="536494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𝑏=(¯(𝑌⋅𝑋)−¯𝑌⋅¯𝑋)/(¯(𝑋^2 )−¯𝑋_^2 )</a:t>
              </a:r>
              <a:endParaRPr lang="ru-RU"/>
            </a:p>
          </xdr:txBody>
        </xdr:sp>
      </mc:Fallback>
    </mc:AlternateContent>
    <xdr:clientData/>
  </xdr:twoCellAnchor>
  <xdr:oneCellAnchor>
    <xdr:from>
      <xdr:col>1</xdr:col>
      <xdr:colOff>736600</xdr:colOff>
      <xdr:row>74</xdr:row>
      <xdr:rowOff>12700</xdr:rowOff>
    </xdr:from>
    <xdr:ext cx="1448276" cy="2212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SpPr txBox="1"/>
          </xdr:nvSpPr>
          <xdr:spPr>
            <a:xfrm>
              <a:off x="1612900" y="18478500"/>
              <a:ext cx="1448276" cy="221214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m:rPr>
                        <m:sty m:val="p"/>
                      </m:rPr>
                      <a:rPr lang="en-US" sz="14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a</m:t>
                    </m:r>
                    <m:r>
                      <a:rPr lang="en-US" sz="14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ru-RU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таб</m:t>
                        </m:r>
                      </m:sub>
                    </m:sSub>
                    <m:r>
                      <a:rPr lang="ru-RU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ru-RU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n-US" sz="14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146CDB4-7C3E-021A-1F60-3774C11BAD47}"/>
                </a:ext>
              </a:extLst>
            </xdr:cNvPr>
            <xdr:cNvSpPr txBox="1"/>
          </xdr:nvSpPr>
          <xdr:spPr>
            <a:xfrm>
              <a:off x="1612900" y="18478500"/>
              <a:ext cx="1448276" cy="221214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a=𝑡_</a:t>
              </a:r>
              <a:r>
                <a:rPr lang="ru-RU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таб∗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𝑚</a:t>
              </a:r>
              <a:r>
                <a:rPr lang="ru-RU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𝑎= 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1</xdr:col>
      <xdr:colOff>736600</xdr:colOff>
      <xdr:row>75</xdr:row>
      <xdr:rowOff>177800</xdr:rowOff>
    </xdr:from>
    <xdr:ext cx="1448276" cy="2212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 txBox="1"/>
          </xdr:nvSpPr>
          <xdr:spPr>
            <a:xfrm>
              <a:off x="1612900" y="18884900"/>
              <a:ext cx="1448276" cy="221214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m:rPr>
                        <m:sty m:val="p"/>
                      </m:rPr>
                      <a:rPr lang="en-US" sz="14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b</m:t>
                    </m:r>
                    <m:r>
                      <a:rPr lang="en-US" sz="14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ru-RU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таб</m:t>
                        </m:r>
                      </m:sub>
                    </m:sSub>
                    <m:r>
                      <a:rPr lang="ru-RU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ru-RU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n-US" sz="14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53D7322D-C68E-A54D-9D70-A874C9C9A0E3}"/>
                </a:ext>
              </a:extLst>
            </xdr:cNvPr>
            <xdr:cNvSpPr txBox="1"/>
          </xdr:nvSpPr>
          <xdr:spPr>
            <a:xfrm>
              <a:off x="1612900" y="18884900"/>
              <a:ext cx="1448276" cy="221214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b=𝑡_</a:t>
              </a:r>
              <a:r>
                <a:rPr lang="ru-RU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таб∗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𝑚</a:t>
              </a:r>
              <a:r>
                <a:rPr lang="ru-RU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𝑏= 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2</xdr:col>
      <xdr:colOff>591128</xdr:colOff>
      <xdr:row>79</xdr:row>
      <xdr:rowOff>5003</xdr:rowOff>
    </xdr:from>
    <xdr:ext cx="432569" cy="23474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400-000005000000}"/>
                </a:ext>
              </a:extLst>
            </xdr:cNvPr>
            <xdr:cNvSpPr txBox="1"/>
          </xdr:nvSpPr>
          <xdr:spPr>
            <a:xfrm>
              <a:off x="2561552" y="19663064"/>
              <a:ext cx="432569" cy="234744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ru-RU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р</m:t>
                        </m:r>
                      </m:sub>
                    </m:sSub>
                    <m:r>
                      <a:rPr lang="en-US" sz="14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4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400-000005000000}"/>
                </a:ext>
              </a:extLst>
            </xdr:cNvPr>
            <xdr:cNvSpPr txBox="1"/>
          </xdr:nvSpPr>
          <xdr:spPr>
            <a:xfrm>
              <a:off x="2561552" y="19663064"/>
              <a:ext cx="432569" cy="234744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ru-RU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ru-RU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р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2</xdr:col>
      <xdr:colOff>580737</xdr:colOff>
      <xdr:row>80</xdr:row>
      <xdr:rowOff>2309</xdr:rowOff>
    </xdr:from>
    <xdr:ext cx="450657" cy="23474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241A8A65-F5B1-1F47-B2D7-A577FAF3EE6D}"/>
                </a:ext>
              </a:extLst>
            </xdr:cNvPr>
            <xdr:cNvSpPr txBox="1"/>
          </xdr:nvSpPr>
          <xdr:spPr>
            <a:xfrm>
              <a:off x="2551161" y="19898976"/>
              <a:ext cx="450657" cy="234744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ru-RU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р</m:t>
                        </m:r>
                      </m:sub>
                    </m:sSub>
                    <m:r>
                      <a:rPr lang="en-US" sz="14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4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241A8A65-F5B1-1F47-B2D7-A577FAF3EE6D}"/>
                </a:ext>
              </a:extLst>
            </xdr:cNvPr>
            <xdr:cNvSpPr txBox="1"/>
          </xdr:nvSpPr>
          <xdr:spPr>
            <a:xfrm>
              <a:off x="2551161" y="19898976"/>
              <a:ext cx="450657" cy="234744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𝑦_</a:t>
              </a:r>
              <a:r>
                <a:rPr lang="ru-RU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р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2</xdr:col>
      <xdr:colOff>469515</xdr:colOff>
      <xdr:row>82</xdr:row>
      <xdr:rowOff>23861</xdr:rowOff>
    </xdr:from>
    <xdr:ext cx="560339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9219CA94-C49A-9641-A778-092AD7A6C38E}"/>
                </a:ext>
              </a:extLst>
            </xdr:cNvPr>
            <xdr:cNvSpPr txBox="1"/>
          </xdr:nvSpPr>
          <xdr:spPr>
            <a:xfrm>
              <a:off x="2439939" y="20305376"/>
              <a:ext cx="560339" cy="221214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ru-RU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ост</m:t>
                        </m:r>
                      </m:sub>
                    </m:sSub>
                    <m:r>
                      <a:rPr lang="en-US" sz="14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4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9219CA94-C49A-9641-A778-092AD7A6C38E}"/>
                </a:ext>
              </a:extLst>
            </xdr:cNvPr>
            <xdr:cNvSpPr txBox="1"/>
          </xdr:nvSpPr>
          <xdr:spPr>
            <a:xfrm>
              <a:off x="2439939" y="20305376"/>
              <a:ext cx="560339" cy="221214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ru-RU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ост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2</xdr:col>
      <xdr:colOff>492606</xdr:colOff>
      <xdr:row>83</xdr:row>
      <xdr:rowOff>153171</xdr:rowOff>
    </xdr:from>
    <xdr:ext cx="535709" cy="25628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FB09616C-C39C-4147-8FE9-985A3811750D}"/>
                </a:ext>
              </a:extLst>
            </xdr:cNvPr>
            <xdr:cNvSpPr txBox="1"/>
          </xdr:nvSpPr>
          <xdr:spPr>
            <a:xfrm>
              <a:off x="2463030" y="20673292"/>
              <a:ext cx="535709" cy="256289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e>
                      <m:sub>
                        <m:sSub>
                          <m:sSubPr>
                            <m:ctrlPr>
                              <a:rPr lang="ru-RU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lang="ru-RU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</m:acc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𝑝</m:t>
                            </m:r>
                          </m:sub>
                        </m:sSub>
                      </m:sub>
                    </m:sSub>
                    <m:r>
                      <a:rPr lang="en-US" sz="14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400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FB09616C-C39C-4147-8FE9-985A3811750D}"/>
                </a:ext>
              </a:extLst>
            </xdr:cNvPr>
            <xdr:cNvSpPr txBox="1"/>
          </xdr:nvSpPr>
          <xdr:spPr>
            <a:xfrm>
              <a:off x="2463030" y="20673292"/>
              <a:ext cx="535709" cy="256289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𝑚_(𝑦</a:t>
              </a:r>
              <a:r>
                <a:rPr lang="ru-RU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 ̂_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𝑝</a:t>
              </a:r>
              <a:r>
                <a:rPr lang="ru-RU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)= 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1</xdr:col>
      <xdr:colOff>831272</xdr:colOff>
      <xdr:row>86</xdr:row>
      <xdr:rowOff>169333</xdr:rowOff>
    </xdr:from>
    <xdr:ext cx="1305406" cy="25628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8E1651BC-56E6-DB4E-8D36-234C9738C084}"/>
                </a:ext>
              </a:extLst>
            </xdr:cNvPr>
            <xdr:cNvSpPr txBox="1"/>
          </xdr:nvSpPr>
          <xdr:spPr>
            <a:xfrm>
              <a:off x="1708727" y="21266727"/>
              <a:ext cx="1305406" cy="256289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acc>
                          <m:accPr>
                            <m:chr m:val="̂"/>
                            <m:ctrlP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𝑦</m:t>
                            </m:r>
                          </m:e>
                        </m:acc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𝑝</m:t>
                        </m:r>
                      </m:sub>
                    </m:sSub>
                    <m:r>
                      <a:rPr lang="en-US" sz="14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ru-RU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таб</m:t>
                        </m:r>
                      </m:sub>
                    </m:sSub>
                    <m:r>
                      <a:rPr lang="ru-RU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e>
                      <m:sub>
                        <m:sSub>
                          <m:sSubPr>
                            <m:ctrlPr>
                              <a:rPr lang="ru-RU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lang="ru-RU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</m:acc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𝑝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ru-RU" sz="1400"/>
            </a:p>
          </xdr:txBody>
        </xdr:sp>
      </mc:Choice>
      <mc:Fallback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8E1651BC-56E6-DB4E-8D36-234C9738C084}"/>
                </a:ext>
              </a:extLst>
            </xdr:cNvPr>
            <xdr:cNvSpPr txBox="1"/>
          </xdr:nvSpPr>
          <xdr:spPr>
            <a:xfrm>
              <a:off x="1708727" y="21266727"/>
              <a:ext cx="1305406" cy="256289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〖∆𝑦 ̂〗_𝑝=𝑡_</a:t>
              </a:r>
              <a:r>
                <a:rPr lang="ru-RU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таб∗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𝑚_(𝑦</a:t>
              </a:r>
              <a:r>
                <a:rPr lang="ru-RU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 ̂_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𝑝 )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2</xdr:col>
      <xdr:colOff>369455</xdr:colOff>
      <xdr:row>91</xdr:row>
      <xdr:rowOff>182419</xdr:rowOff>
    </xdr:from>
    <xdr:ext cx="657321" cy="23647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391E6A95-213A-5D43-A314-FF80A8620563}"/>
                </a:ext>
              </a:extLst>
            </xdr:cNvPr>
            <xdr:cNvSpPr txBox="1"/>
          </xdr:nvSpPr>
          <xdr:spPr>
            <a:xfrm>
              <a:off x="2339879" y="22241934"/>
              <a:ext cx="657321" cy="23647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sSub>
                          <m:sSubPr>
                            <m:ctrlPr>
                              <a:rPr lang="ru-RU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𝑝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𝑚𝑖𝑛</m:t>
                            </m:r>
                          </m:sub>
                        </m:sSub>
                      </m:sub>
                    </m:sSub>
                    <m:r>
                      <a:rPr lang="en-US" sz="14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400"/>
            </a:p>
          </xdr:txBody>
        </xdr:sp>
      </mc:Choice>
      <mc:Fallback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391E6A95-213A-5D43-A314-FF80A8620563}"/>
                </a:ext>
              </a:extLst>
            </xdr:cNvPr>
            <xdr:cNvSpPr txBox="1"/>
          </xdr:nvSpPr>
          <xdr:spPr>
            <a:xfrm>
              <a:off x="2339879" y="22241934"/>
              <a:ext cx="657321" cy="23647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𝑌_(𝑝</a:t>
              </a:r>
              <a:r>
                <a:rPr lang="ru-RU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𝑚𝑖𝑛</a:t>
              </a:r>
              <a:r>
                <a:rPr lang="ru-RU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)= 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2</xdr:col>
      <xdr:colOff>352522</xdr:colOff>
      <xdr:row>93</xdr:row>
      <xdr:rowOff>188577</xdr:rowOff>
    </xdr:from>
    <xdr:ext cx="657321" cy="23647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7EC113BF-96C0-D342-8C15-9796C011B69D}"/>
                </a:ext>
              </a:extLst>
            </xdr:cNvPr>
            <xdr:cNvSpPr txBox="1"/>
          </xdr:nvSpPr>
          <xdr:spPr>
            <a:xfrm>
              <a:off x="2322946" y="22632941"/>
              <a:ext cx="657321" cy="23647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sSub>
                          <m:sSubPr>
                            <m:ctrlPr>
                              <a:rPr lang="ru-RU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𝑝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𝑚𝑎𝑥</m:t>
                            </m:r>
                          </m:sub>
                        </m:sSub>
                      </m:sub>
                    </m:sSub>
                    <m:r>
                      <a:rPr lang="en-US" sz="14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400"/>
            </a:p>
          </xdr:txBody>
        </xdr:sp>
      </mc:Choice>
      <mc:Fallback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7EC113BF-96C0-D342-8C15-9796C011B69D}"/>
                </a:ext>
              </a:extLst>
            </xdr:cNvPr>
            <xdr:cNvSpPr txBox="1"/>
          </xdr:nvSpPr>
          <xdr:spPr>
            <a:xfrm>
              <a:off x="2322946" y="22632941"/>
              <a:ext cx="657321" cy="23647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𝑌_(𝑝</a:t>
              </a:r>
              <a:r>
                <a:rPr lang="ru-RU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𝑚𝑎𝑥</a:t>
              </a:r>
              <a:r>
                <a:rPr lang="ru-RU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)= 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2</xdr:col>
      <xdr:colOff>306339</xdr:colOff>
      <xdr:row>89</xdr:row>
      <xdr:rowOff>157788</xdr:rowOff>
    </xdr:from>
    <xdr:ext cx="2495357" cy="23205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67877D0E-C43A-914E-95D1-248AB84B9459}"/>
                </a:ext>
              </a:extLst>
            </xdr:cNvPr>
            <xdr:cNvSpPr txBox="1"/>
          </xdr:nvSpPr>
          <xdr:spPr>
            <a:xfrm>
              <a:off x="2276763" y="21832455"/>
              <a:ext cx="2495357" cy="232051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𝑝</m:t>
                        </m:r>
                      </m:sub>
                    </m:sSub>
                    <m:r>
                      <a:rPr lang="en-US" sz="14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=35 </m:t>
                    </m:r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±0,09 </m:t>
                    </m:r>
                    <m:r>
                      <a:rPr lang="ru-RU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тыс. руб</m:t>
                    </m:r>
                  </m:oMath>
                </m:oMathPara>
              </a14:m>
              <a:endParaRPr lang="ru-RU" sz="1400"/>
            </a:p>
          </xdr:txBody>
        </xdr:sp>
      </mc:Choice>
      <mc:Fallback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67877D0E-C43A-914E-95D1-248AB84B9459}"/>
                </a:ext>
              </a:extLst>
            </xdr:cNvPr>
            <xdr:cNvSpPr txBox="1"/>
          </xdr:nvSpPr>
          <xdr:spPr>
            <a:xfrm>
              <a:off x="2276763" y="21832455"/>
              <a:ext cx="2495357" cy="232051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𝑌_𝑝=35 ±0,09 </a:t>
              </a:r>
              <a:r>
                <a:rPr lang="ru-RU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тыс. руб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5</xdr:col>
      <xdr:colOff>500303</xdr:colOff>
      <xdr:row>74</xdr:row>
      <xdr:rowOff>3464</xdr:rowOff>
    </xdr:from>
    <xdr:ext cx="2078182" cy="22115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ECF73EC2-5688-3647-BFE0-916CB22E3C3A}"/>
                </a:ext>
              </a:extLst>
            </xdr:cNvPr>
            <xdr:cNvSpPr txBox="1"/>
          </xdr:nvSpPr>
          <xdr:spPr>
            <a:xfrm>
              <a:off x="6242242" y="18560858"/>
              <a:ext cx="2078182" cy="221151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n-US" sz="14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ru-RU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0,77 </m:t>
                    </m:r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±</m:t>
                    </m:r>
                    <m:r>
                      <a:rPr lang="en-US" sz="14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0,036 </m:t>
                    </m:r>
                  </m:oMath>
                </m:oMathPara>
              </a14:m>
              <a:endParaRPr lang="ru-RU" sz="1400"/>
            </a:p>
          </xdr:txBody>
        </xdr:sp>
      </mc:Choice>
      <mc:Fallback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ECF73EC2-5688-3647-BFE0-916CB22E3C3A}"/>
                </a:ext>
              </a:extLst>
            </xdr:cNvPr>
            <xdr:cNvSpPr txBox="1"/>
          </xdr:nvSpPr>
          <xdr:spPr>
            <a:xfrm>
              <a:off x="6242242" y="18560858"/>
              <a:ext cx="2078182" cy="221151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𝑦_𝑎=</a:t>
              </a:r>
              <a:r>
                <a:rPr lang="ru-RU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0,77 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±0,036 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5</xdr:col>
      <xdr:colOff>584971</xdr:colOff>
      <xdr:row>75</xdr:row>
      <xdr:rowOff>148167</xdr:rowOff>
    </xdr:from>
    <xdr:ext cx="651164" cy="23647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56C99E97-9140-EB49-86E0-69DA9060EFFA}"/>
                </a:ext>
              </a:extLst>
            </xdr:cNvPr>
            <xdr:cNvSpPr txBox="1"/>
          </xdr:nvSpPr>
          <xdr:spPr>
            <a:xfrm>
              <a:off x="5880486" y="18944167"/>
              <a:ext cx="651164" cy="23647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sSub>
                          <m:sSubPr>
                            <m:ctrlP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𝑚𝑖𝑛</m:t>
                            </m:r>
                          </m:sub>
                        </m:sSub>
                      </m:sub>
                    </m:sSub>
                    <m:r>
                      <a:rPr lang="en-US" sz="14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400"/>
            </a:p>
          </xdr:txBody>
        </xdr:sp>
      </mc:Choice>
      <mc:Fallback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56C99E97-9140-EB49-86E0-69DA9060EFFA}"/>
                </a:ext>
              </a:extLst>
            </xdr:cNvPr>
            <xdr:cNvSpPr txBox="1"/>
          </xdr:nvSpPr>
          <xdr:spPr>
            <a:xfrm>
              <a:off x="5880486" y="18944167"/>
              <a:ext cx="651164" cy="23647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𝑦_(𝑎_𝑚𝑖𝑛</a:t>
              </a:r>
              <a:r>
                <a:rPr lang="ru-RU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)= 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5</xdr:col>
      <xdr:colOff>591129</xdr:colOff>
      <xdr:row>77</xdr:row>
      <xdr:rowOff>223598</xdr:rowOff>
    </xdr:from>
    <xdr:ext cx="651164" cy="23647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F1BF2568-B635-4245-A6E7-1924B2C63627}"/>
                </a:ext>
              </a:extLst>
            </xdr:cNvPr>
            <xdr:cNvSpPr txBox="1"/>
          </xdr:nvSpPr>
          <xdr:spPr>
            <a:xfrm>
              <a:off x="5886644" y="19404446"/>
              <a:ext cx="651164" cy="23647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sSub>
                          <m:sSubPr>
                            <m:ctrlP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𝑚𝑎𝑥</m:t>
                            </m:r>
                          </m:sub>
                        </m:sSub>
                      </m:sub>
                    </m:sSub>
                    <m:r>
                      <a:rPr lang="en-US" sz="14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400"/>
            </a:p>
          </xdr:txBody>
        </xdr:sp>
      </mc:Choice>
      <mc:Fallback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F1BF2568-B635-4245-A6E7-1924B2C63627}"/>
                </a:ext>
              </a:extLst>
            </xdr:cNvPr>
            <xdr:cNvSpPr txBox="1"/>
          </xdr:nvSpPr>
          <xdr:spPr>
            <a:xfrm>
              <a:off x="5886644" y="19404446"/>
              <a:ext cx="651164" cy="23647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𝑦_(𝑎_𝑚𝑎𝑥</a:t>
              </a:r>
              <a:r>
                <a:rPr lang="ru-RU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)= 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5</xdr:col>
      <xdr:colOff>591128</xdr:colOff>
      <xdr:row>81</xdr:row>
      <xdr:rowOff>185112</xdr:rowOff>
    </xdr:from>
    <xdr:ext cx="651164" cy="23647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A1972B9C-9B51-2048-9697-8866F4205B02}"/>
                </a:ext>
              </a:extLst>
            </xdr:cNvPr>
            <xdr:cNvSpPr txBox="1"/>
          </xdr:nvSpPr>
          <xdr:spPr>
            <a:xfrm>
              <a:off x="5886643" y="20274203"/>
              <a:ext cx="651164" cy="23647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sSub>
                          <m:sSubPr>
                            <m:ctrlP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𝑚𝑖𝑛</m:t>
                            </m:r>
                          </m:sub>
                        </m:sSub>
                      </m:sub>
                    </m:sSub>
                    <m:r>
                      <a:rPr lang="en-US" sz="14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400"/>
            </a:p>
          </xdr:txBody>
        </xdr:sp>
      </mc:Choice>
      <mc:Fallback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A1972B9C-9B51-2048-9697-8866F4205B02}"/>
                </a:ext>
              </a:extLst>
            </xdr:cNvPr>
            <xdr:cNvSpPr txBox="1"/>
          </xdr:nvSpPr>
          <xdr:spPr>
            <a:xfrm>
              <a:off x="5886643" y="20274203"/>
              <a:ext cx="651164" cy="23647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𝑦_(𝑏_𝑚𝑖𝑛</a:t>
              </a:r>
              <a:r>
                <a:rPr lang="ru-RU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)= 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5</xdr:col>
      <xdr:colOff>581892</xdr:colOff>
      <xdr:row>83</xdr:row>
      <xdr:rowOff>152786</xdr:rowOff>
    </xdr:from>
    <xdr:ext cx="651164" cy="2350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DECB954E-D13B-A249-B844-33B7AB53695C}"/>
                </a:ext>
              </a:extLst>
            </xdr:cNvPr>
            <xdr:cNvSpPr txBox="1"/>
          </xdr:nvSpPr>
          <xdr:spPr>
            <a:xfrm>
              <a:off x="6323831" y="20626725"/>
              <a:ext cx="651164" cy="235001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sSub>
                          <m:sSubPr>
                            <m:ctrlP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𝑚𝑎𝑥</m:t>
                            </m:r>
                          </m:sub>
                        </m:sSub>
                      </m:sub>
                    </m:sSub>
                    <m:r>
                      <a:rPr lang="en-US" sz="14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400"/>
            </a:p>
          </xdr:txBody>
        </xdr:sp>
      </mc:Choice>
      <mc:Fallback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DECB954E-D13B-A249-B844-33B7AB53695C}"/>
                </a:ext>
              </a:extLst>
            </xdr:cNvPr>
            <xdr:cNvSpPr txBox="1"/>
          </xdr:nvSpPr>
          <xdr:spPr>
            <a:xfrm>
              <a:off x="6323831" y="20626725"/>
              <a:ext cx="651164" cy="235001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𝑦_(𝑏_𝑚𝑎𝑥</a:t>
              </a:r>
              <a:r>
                <a:rPr lang="ru-RU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)= 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5</xdr:col>
      <xdr:colOff>608061</xdr:colOff>
      <xdr:row>79</xdr:row>
      <xdr:rowOff>207818</xdr:rowOff>
    </xdr:from>
    <xdr:ext cx="1854970" cy="22115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5A0D0D33-2AA0-EC41-9DB0-3B0308EB98F1}"/>
                </a:ext>
              </a:extLst>
            </xdr:cNvPr>
            <xdr:cNvSpPr txBox="1"/>
          </xdr:nvSpPr>
          <xdr:spPr>
            <a:xfrm>
              <a:off x="6350000" y="19819697"/>
              <a:ext cx="1854970" cy="221151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n-US" sz="14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ru-RU" sz="14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1</m:t>
                    </m:r>
                    <m:r>
                      <a:rPr lang="ru-RU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,01 </m:t>
                    </m:r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±</m:t>
                    </m:r>
                    <m:r>
                      <a:rPr lang="en-US" sz="14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0,0</m:t>
                    </m:r>
                    <m:r>
                      <a:rPr lang="ru-RU" sz="14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23</m:t>
                    </m:r>
                  </m:oMath>
                </m:oMathPara>
              </a14:m>
              <a:endParaRPr lang="ru-RU" sz="1400"/>
            </a:p>
          </xdr:txBody>
        </xdr:sp>
      </mc:Choice>
      <mc:Fallback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5A0D0D33-2AA0-EC41-9DB0-3B0308EB98F1}"/>
                </a:ext>
              </a:extLst>
            </xdr:cNvPr>
            <xdr:cNvSpPr txBox="1"/>
          </xdr:nvSpPr>
          <xdr:spPr>
            <a:xfrm>
              <a:off x="6350000" y="19819697"/>
              <a:ext cx="1854970" cy="221151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𝑦_𝑎=</a:t>
              </a:r>
              <a:r>
                <a:rPr lang="ru-RU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1,01 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±0,0</a:t>
              </a:r>
              <a:r>
                <a:rPr lang="ru-RU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23</a:t>
              </a:r>
              <a:endParaRPr lang="ru-RU" sz="1400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201490</xdr:colOff>
      <xdr:row>2</xdr:row>
      <xdr:rowOff>63744</xdr:rowOff>
    </xdr:from>
    <xdr:to>
      <xdr:col>16</xdr:col>
      <xdr:colOff>596900</xdr:colOff>
      <xdr:row>12</xdr:row>
      <xdr:rowOff>71071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135548</xdr:colOff>
      <xdr:row>14</xdr:row>
      <xdr:rowOff>27110</xdr:rowOff>
    </xdr:from>
    <xdr:to>
      <xdr:col>16</xdr:col>
      <xdr:colOff>622300</xdr:colOff>
      <xdr:row>24</xdr:row>
      <xdr:rowOff>19784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109904</xdr:colOff>
      <xdr:row>25</xdr:row>
      <xdr:rowOff>43961</xdr:rowOff>
    </xdr:from>
    <xdr:to>
      <xdr:col>16</xdr:col>
      <xdr:colOff>635000</xdr:colOff>
      <xdr:row>37</xdr:row>
      <xdr:rowOff>9525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215900</xdr:colOff>
          <xdr:row>0</xdr:row>
          <xdr:rowOff>0</xdr:rowOff>
        </xdr:from>
        <xdr:to>
          <xdr:col>8</xdr:col>
          <xdr:colOff>406400</xdr:colOff>
          <xdr:row>1</xdr:row>
          <xdr:rowOff>12700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6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228600</xdr:colOff>
          <xdr:row>0</xdr:row>
          <xdr:rowOff>12700</xdr:rowOff>
        </xdr:from>
        <xdr:to>
          <xdr:col>9</xdr:col>
          <xdr:colOff>635000</xdr:colOff>
          <xdr:row>0</xdr:row>
          <xdr:rowOff>215900</xdr:rowOff>
        </xdr:to>
        <xdr:sp macro="" textlink="">
          <xdr:nvSpPr>
            <xdr:cNvPr id="7170" name="Object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6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10</xdr:col>
      <xdr:colOff>172358</xdr:colOff>
      <xdr:row>0</xdr:row>
      <xdr:rowOff>0</xdr:rowOff>
    </xdr:from>
    <xdr:to>
      <xdr:col>10</xdr:col>
      <xdr:colOff>788778</xdr:colOff>
      <xdr:row>0</xdr:row>
      <xdr:rowOff>217714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25958" y="0"/>
          <a:ext cx="616420" cy="217714"/>
        </a:xfrm>
        <a:prstGeom prst="rect">
          <a:avLst/>
        </a:prstGeom>
      </xdr:spPr>
    </xdr:pic>
    <xdr:clientData/>
  </xdr:twoCellAnchor>
  <xdr:twoCellAnchor editAs="oneCell">
    <xdr:from>
      <xdr:col>11</xdr:col>
      <xdr:colOff>108857</xdr:colOff>
      <xdr:row>0</xdr:row>
      <xdr:rowOff>0</xdr:rowOff>
    </xdr:from>
    <xdr:to>
      <xdr:col>11</xdr:col>
      <xdr:colOff>493867</xdr:colOff>
      <xdr:row>0</xdr:row>
      <xdr:rowOff>217714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22577" y="0"/>
          <a:ext cx="385010" cy="217714"/>
        </a:xfrm>
        <a:prstGeom prst="rect">
          <a:avLst/>
        </a:prstGeom>
      </xdr:spPr>
    </xdr:pic>
    <xdr:clientData/>
  </xdr:twoCellAnchor>
  <xdr:twoCellAnchor editAs="oneCell">
    <xdr:from>
      <xdr:col>12</xdr:col>
      <xdr:colOff>263072</xdr:colOff>
      <xdr:row>0</xdr:row>
      <xdr:rowOff>0</xdr:rowOff>
    </xdr:from>
    <xdr:to>
      <xdr:col>12</xdr:col>
      <xdr:colOff>789215</xdr:colOff>
      <xdr:row>1</xdr:row>
      <xdr:rowOff>2329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32112" y="0"/>
          <a:ext cx="526143" cy="238549"/>
        </a:xfrm>
        <a:prstGeom prst="rect">
          <a:avLst/>
        </a:prstGeom>
      </xdr:spPr>
    </xdr:pic>
    <xdr:clientData/>
  </xdr:twoCellAnchor>
  <xdr:oneCellAnchor>
    <xdr:from>
      <xdr:col>13</xdr:col>
      <xdr:colOff>45357</xdr:colOff>
      <xdr:row>0</xdr:row>
      <xdr:rowOff>36286</xdr:rowOff>
    </xdr:from>
    <xdr:ext cx="718039" cy="1772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600-000005000000}"/>
                </a:ext>
              </a:extLst>
            </xdr:cNvPr>
            <xdr:cNvSpPr txBox="1"/>
          </xdr:nvSpPr>
          <xdr:spPr>
            <a:xfrm>
              <a:off x="11227707" y="36286"/>
              <a:ext cx="718039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− </m:t>
                    </m:r>
                    <m:acc>
                      <m:accPr>
                        <m:chr m:val="̅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600-000005000000}"/>
                </a:ext>
              </a:extLst>
            </xdr:cNvPr>
            <xdr:cNvSpPr txBox="1"/>
          </xdr:nvSpPr>
          <xdr:spPr>
            <a:xfrm>
              <a:off x="11227707" y="36286"/>
              <a:ext cx="718039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(𝑥 − 𝑥 ̅)^2</a:t>
              </a:r>
              <a:endParaRPr lang="ru-RU" sz="1100"/>
            </a:p>
          </xdr:txBody>
        </xdr:sp>
      </mc:Fallback>
    </mc:AlternateContent>
    <xdr:clientData/>
  </xdr:oneCellAnchor>
  <xdr:twoCellAnchor editAs="oneCell">
    <xdr:from>
      <xdr:col>0</xdr:col>
      <xdr:colOff>243840</xdr:colOff>
      <xdr:row>27</xdr:row>
      <xdr:rowOff>60960</xdr:rowOff>
    </xdr:from>
    <xdr:to>
      <xdr:col>2</xdr:col>
      <xdr:colOff>10205</xdr:colOff>
      <xdr:row>29</xdr:row>
      <xdr:rowOff>152464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3840" y="5768340"/>
          <a:ext cx="1257475" cy="457264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596900</xdr:colOff>
          <xdr:row>42</xdr:row>
          <xdr:rowOff>88900</xdr:rowOff>
        </xdr:from>
        <xdr:to>
          <xdr:col>3</xdr:col>
          <xdr:colOff>584200</xdr:colOff>
          <xdr:row>45</xdr:row>
          <xdr:rowOff>0</xdr:rowOff>
        </xdr:to>
        <xdr:sp macro="" textlink="">
          <xdr:nvSpPr>
            <xdr:cNvPr id="7171" name="Object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6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279400</xdr:colOff>
          <xdr:row>46</xdr:row>
          <xdr:rowOff>0</xdr:rowOff>
        </xdr:from>
        <xdr:to>
          <xdr:col>3</xdr:col>
          <xdr:colOff>812800</xdr:colOff>
          <xdr:row>47</xdr:row>
          <xdr:rowOff>50800</xdr:rowOff>
        </xdr:to>
        <xdr:sp macro="" textlink="">
          <xdr:nvSpPr>
            <xdr:cNvPr id="7172" name="Object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6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2</xdr:row>
      <xdr:rowOff>142875</xdr:rowOff>
    </xdr:from>
    <xdr:to>
      <xdr:col>22</xdr:col>
      <xdr:colOff>600075</xdr:colOff>
      <xdr:row>12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419100</xdr:colOff>
      <xdr:row>13</xdr:row>
      <xdr:rowOff>85725</xdr:rowOff>
    </xdr:from>
    <xdr:to>
      <xdr:col>22</xdr:col>
      <xdr:colOff>571500</xdr:colOff>
      <xdr:row>23</xdr:row>
      <xdr:rowOff>66675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200026</xdr:colOff>
      <xdr:row>24</xdr:row>
      <xdr:rowOff>76200</xdr:rowOff>
    </xdr:from>
    <xdr:to>
      <xdr:col>22</xdr:col>
      <xdr:colOff>571500</xdr:colOff>
      <xdr:row>34</xdr:row>
      <xdr:rowOff>104775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w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wmf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emf"/><Relationship Id="rId13" Type="http://schemas.openxmlformats.org/officeDocument/2006/relationships/oleObject" Target="../embeddings/oleObject8.bin"/><Relationship Id="rId18" Type="http://schemas.openxmlformats.org/officeDocument/2006/relationships/image" Target="../media/image10.emf"/><Relationship Id="rId3" Type="http://schemas.openxmlformats.org/officeDocument/2006/relationships/oleObject" Target="../embeddings/oleObject3.bin"/><Relationship Id="rId21" Type="http://schemas.openxmlformats.org/officeDocument/2006/relationships/oleObject" Target="../embeddings/oleObject12.bin"/><Relationship Id="rId7" Type="http://schemas.openxmlformats.org/officeDocument/2006/relationships/oleObject" Target="../embeddings/oleObject5.bin"/><Relationship Id="rId12" Type="http://schemas.openxmlformats.org/officeDocument/2006/relationships/image" Target="../media/image7.emf"/><Relationship Id="rId17" Type="http://schemas.openxmlformats.org/officeDocument/2006/relationships/oleObject" Target="../embeddings/oleObject10.bin"/><Relationship Id="rId2" Type="http://schemas.openxmlformats.org/officeDocument/2006/relationships/vmlDrawing" Target="../drawings/vmlDrawing2.vml"/><Relationship Id="rId16" Type="http://schemas.openxmlformats.org/officeDocument/2006/relationships/image" Target="../media/image9.emf"/><Relationship Id="rId20" Type="http://schemas.openxmlformats.org/officeDocument/2006/relationships/image" Target="../media/image11.emf"/><Relationship Id="rId1" Type="http://schemas.openxmlformats.org/officeDocument/2006/relationships/drawing" Target="../drawings/drawing4.xml"/><Relationship Id="rId6" Type="http://schemas.openxmlformats.org/officeDocument/2006/relationships/image" Target="../media/image4.emf"/><Relationship Id="rId11" Type="http://schemas.openxmlformats.org/officeDocument/2006/relationships/oleObject" Target="../embeddings/oleObject7.bin"/><Relationship Id="rId5" Type="http://schemas.openxmlformats.org/officeDocument/2006/relationships/oleObject" Target="../embeddings/oleObject4.bin"/><Relationship Id="rId15" Type="http://schemas.openxmlformats.org/officeDocument/2006/relationships/oleObject" Target="../embeddings/oleObject9.bin"/><Relationship Id="rId10" Type="http://schemas.openxmlformats.org/officeDocument/2006/relationships/image" Target="../media/image6.emf"/><Relationship Id="rId19" Type="http://schemas.openxmlformats.org/officeDocument/2006/relationships/oleObject" Target="../embeddings/oleObject11.bin"/><Relationship Id="rId4" Type="http://schemas.openxmlformats.org/officeDocument/2006/relationships/image" Target="../media/image3.emf"/><Relationship Id="rId9" Type="http://schemas.openxmlformats.org/officeDocument/2006/relationships/oleObject" Target="../embeddings/oleObject6.bin"/><Relationship Id="rId14" Type="http://schemas.openxmlformats.org/officeDocument/2006/relationships/image" Target="../media/image8.emf"/><Relationship Id="rId22" Type="http://schemas.openxmlformats.org/officeDocument/2006/relationships/image" Target="../media/image12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emf"/><Relationship Id="rId3" Type="http://schemas.openxmlformats.org/officeDocument/2006/relationships/oleObject" Target="../embeddings/oleObject13.bin"/><Relationship Id="rId7" Type="http://schemas.openxmlformats.org/officeDocument/2006/relationships/oleObject" Target="../embeddings/oleObject15.bin"/><Relationship Id="rId12" Type="http://schemas.openxmlformats.org/officeDocument/2006/relationships/image" Target="../media/image19.wmf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6.xml"/><Relationship Id="rId6" Type="http://schemas.openxmlformats.org/officeDocument/2006/relationships/image" Target="../media/image16.emf"/><Relationship Id="rId11" Type="http://schemas.openxmlformats.org/officeDocument/2006/relationships/oleObject" Target="../embeddings/oleObject17.bin"/><Relationship Id="rId5" Type="http://schemas.openxmlformats.org/officeDocument/2006/relationships/oleObject" Target="../embeddings/oleObject14.bin"/><Relationship Id="rId10" Type="http://schemas.openxmlformats.org/officeDocument/2006/relationships/image" Target="../media/image18.wmf"/><Relationship Id="rId4" Type="http://schemas.openxmlformats.org/officeDocument/2006/relationships/image" Target="../media/image15.emf"/><Relationship Id="rId9" Type="http://schemas.openxmlformats.org/officeDocument/2006/relationships/oleObject" Target="../embeddings/oleObject1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wmf"/><Relationship Id="rId3" Type="http://schemas.openxmlformats.org/officeDocument/2006/relationships/oleObject" Target="../embeddings/oleObject18.bin"/><Relationship Id="rId7" Type="http://schemas.openxmlformats.org/officeDocument/2006/relationships/oleObject" Target="../embeddings/oleObject20.bin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8.xml"/><Relationship Id="rId6" Type="http://schemas.openxmlformats.org/officeDocument/2006/relationships/image" Target="../media/image16.emf"/><Relationship Id="rId5" Type="http://schemas.openxmlformats.org/officeDocument/2006/relationships/oleObject" Target="../embeddings/oleObject19.bin"/><Relationship Id="rId10" Type="http://schemas.openxmlformats.org/officeDocument/2006/relationships/image" Target="../media/image19.wmf"/><Relationship Id="rId4" Type="http://schemas.openxmlformats.org/officeDocument/2006/relationships/image" Target="../media/image30.emf"/><Relationship Id="rId9" Type="http://schemas.openxmlformats.org/officeDocument/2006/relationships/oleObject" Target="../embeddings/oleObject2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2.bin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0.xml"/><Relationship Id="rId6" Type="http://schemas.openxmlformats.org/officeDocument/2006/relationships/image" Target="../media/image19.wmf"/><Relationship Id="rId5" Type="http://schemas.openxmlformats.org/officeDocument/2006/relationships/oleObject" Target="../embeddings/oleObject23.bin"/><Relationship Id="rId4" Type="http://schemas.openxmlformats.org/officeDocument/2006/relationships/image" Target="../media/image18.wmf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0C661-C956-412A-A61E-151A174906DA}">
  <dimension ref="A1:G36"/>
  <sheetViews>
    <sheetView zoomScale="88" workbookViewId="0">
      <selection activeCell="I3" sqref="I3"/>
    </sheetView>
  </sheetViews>
  <sheetFormatPr baseColWidth="10" defaultColWidth="8.83203125" defaultRowHeight="15" x14ac:dyDescent="0.2"/>
  <cols>
    <col min="1" max="1" width="23.33203125" bestFit="1" customWidth="1"/>
    <col min="2" max="2" width="29.83203125" customWidth="1"/>
    <col min="3" max="3" width="20.33203125" customWidth="1"/>
    <col min="5" max="5" width="22" bestFit="1" customWidth="1"/>
    <col min="6" max="7" width="10.5" bestFit="1" customWidth="1"/>
  </cols>
  <sheetData>
    <row r="1" spans="1:7" ht="57.5" customHeight="1" thickBot="1" x14ac:dyDescent="0.25">
      <c r="A1" s="3" t="s">
        <v>0</v>
      </c>
      <c r="B1" s="4" t="s">
        <v>114</v>
      </c>
      <c r="C1" s="5" t="s">
        <v>131</v>
      </c>
    </row>
    <row r="2" spans="1:7" ht="15" customHeight="1" x14ac:dyDescent="0.2">
      <c r="A2" s="122" t="s">
        <v>101</v>
      </c>
      <c r="B2" s="123">
        <v>29.9</v>
      </c>
      <c r="C2" s="124">
        <v>24.2</v>
      </c>
      <c r="E2" s="6"/>
      <c r="F2" s="6"/>
      <c r="G2" s="6"/>
    </row>
    <row r="3" spans="1:7" ht="16" x14ac:dyDescent="0.2">
      <c r="A3" s="122" t="s">
        <v>102</v>
      </c>
      <c r="B3" s="125">
        <v>30.4</v>
      </c>
      <c r="C3" s="126">
        <v>24.3</v>
      </c>
      <c r="E3" s="6"/>
      <c r="F3" s="6"/>
      <c r="G3" s="6"/>
    </row>
    <row r="4" spans="1:7" ht="16" x14ac:dyDescent="0.2">
      <c r="A4" s="122" t="s">
        <v>103</v>
      </c>
      <c r="B4" s="125">
        <v>37.4</v>
      </c>
      <c r="C4" s="126">
        <v>30.1</v>
      </c>
      <c r="E4" s="6"/>
      <c r="F4" s="6"/>
      <c r="G4" s="6"/>
    </row>
    <row r="5" spans="1:7" ht="16" x14ac:dyDescent="0.2">
      <c r="A5" s="122" t="s">
        <v>104</v>
      </c>
      <c r="B5" s="125">
        <v>37.799999999999997</v>
      </c>
      <c r="C5" s="126">
        <v>30.5</v>
      </c>
      <c r="E5" s="6"/>
      <c r="F5" s="6"/>
      <c r="G5" s="6"/>
    </row>
    <row r="6" spans="1:7" ht="16" x14ac:dyDescent="0.2">
      <c r="A6" s="122" t="s">
        <v>105</v>
      </c>
      <c r="B6" s="125">
        <v>38.799999999999997</v>
      </c>
      <c r="C6" s="126">
        <v>31.3</v>
      </c>
      <c r="E6" s="6"/>
      <c r="F6" s="6"/>
      <c r="G6" s="6"/>
    </row>
    <row r="7" spans="1:7" ht="16" x14ac:dyDescent="0.2">
      <c r="A7" s="122" t="s">
        <v>106</v>
      </c>
      <c r="B7" s="125">
        <v>38.9</v>
      </c>
      <c r="C7" s="126">
        <v>31.4</v>
      </c>
      <c r="E7" s="6"/>
      <c r="F7" s="6"/>
      <c r="G7" s="6"/>
    </row>
    <row r="8" spans="1:7" ht="16" x14ac:dyDescent="0.2">
      <c r="A8" s="122" t="s">
        <v>107</v>
      </c>
      <c r="B8" s="125">
        <v>39.4</v>
      </c>
      <c r="C8" s="126">
        <v>31.6</v>
      </c>
      <c r="E8" s="6"/>
      <c r="F8" s="6"/>
      <c r="G8" s="6"/>
    </row>
    <row r="9" spans="1:7" ht="16" x14ac:dyDescent="0.2">
      <c r="A9" s="122" t="s">
        <v>108</v>
      </c>
      <c r="B9" s="125">
        <v>40.200000000000003</v>
      </c>
      <c r="C9" s="126">
        <v>32.1</v>
      </c>
      <c r="E9" s="6"/>
      <c r="F9" s="6"/>
      <c r="G9" s="6"/>
    </row>
    <row r="10" spans="1:7" ht="16" x14ac:dyDescent="0.2">
      <c r="A10" s="122" t="s">
        <v>109</v>
      </c>
      <c r="B10" s="125">
        <v>41.6</v>
      </c>
      <c r="C10" s="126">
        <v>33.700000000000003</v>
      </c>
      <c r="E10" s="6"/>
      <c r="F10" s="6"/>
      <c r="G10" s="6"/>
    </row>
    <row r="11" spans="1:7" ht="16" x14ac:dyDescent="0.2">
      <c r="A11" s="122" t="s">
        <v>110</v>
      </c>
      <c r="B11" s="125">
        <v>41.7</v>
      </c>
      <c r="C11" s="126">
        <v>33.799999999999997</v>
      </c>
      <c r="E11" s="6"/>
      <c r="F11" s="6"/>
      <c r="G11" s="6"/>
    </row>
    <row r="12" spans="1:7" ht="16" x14ac:dyDescent="0.2">
      <c r="A12" s="122" t="s">
        <v>111</v>
      </c>
      <c r="B12" s="125">
        <v>47.8</v>
      </c>
      <c r="C12" s="126">
        <v>38.700000000000003</v>
      </c>
      <c r="E12" s="6"/>
      <c r="F12" s="6"/>
      <c r="G12" s="6"/>
    </row>
    <row r="13" spans="1:7" ht="16" x14ac:dyDescent="0.2">
      <c r="A13" s="122" t="s">
        <v>112</v>
      </c>
      <c r="B13" s="125">
        <v>49.3</v>
      </c>
      <c r="C13" s="126">
        <v>39.799999999999997</v>
      </c>
      <c r="E13" s="6"/>
      <c r="F13" s="6"/>
      <c r="G13" s="6"/>
    </row>
    <row r="14" spans="1:7" ht="16" x14ac:dyDescent="0.2">
      <c r="A14" s="122"/>
      <c r="B14" s="125"/>
      <c r="C14" s="126"/>
      <c r="E14" s="6"/>
      <c r="F14" s="6"/>
      <c r="G14" s="6"/>
    </row>
    <row r="15" spans="1:7" x14ac:dyDescent="0.2">
      <c r="A15" s="1"/>
      <c r="B15" s="2"/>
      <c r="C15" s="2"/>
      <c r="E15" s="6"/>
      <c r="F15" s="6"/>
      <c r="G15" s="6"/>
    </row>
    <row r="16" spans="1:7" x14ac:dyDescent="0.2">
      <c r="E16" s="6"/>
      <c r="F16" s="6"/>
      <c r="G16" s="6"/>
    </row>
    <row r="17" spans="1:7" x14ac:dyDescent="0.2">
      <c r="E17" s="6"/>
      <c r="F17" s="6"/>
      <c r="G17" s="6"/>
    </row>
    <row r="18" spans="1:7" x14ac:dyDescent="0.2">
      <c r="E18" s="6"/>
      <c r="F18" s="6"/>
      <c r="G18" s="6"/>
    </row>
    <row r="19" spans="1:7" x14ac:dyDescent="0.2">
      <c r="A19" s="6"/>
      <c r="B19" s="6"/>
      <c r="C19" s="6"/>
      <c r="E19" s="6"/>
      <c r="F19" s="6"/>
      <c r="G19" s="6"/>
    </row>
    <row r="20" spans="1:7" x14ac:dyDescent="0.2">
      <c r="A20" s="6"/>
      <c r="B20" s="6"/>
      <c r="C20" s="6"/>
    </row>
    <row r="21" spans="1:7" x14ac:dyDescent="0.2">
      <c r="A21" s="6"/>
      <c r="B21" s="6"/>
      <c r="C21" s="6"/>
    </row>
    <row r="22" spans="1:7" x14ac:dyDescent="0.2">
      <c r="A22" s="6"/>
      <c r="B22" s="6"/>
      <c r="C22" s="6"/>
    </row>
    <row r="23" spans="1:7" x14ac:dyDescent="0.2">
      <c r="A23" s="6"/>
      <c r="B23" s="6"/>
      <c r="C23" s="6"/>
    </row>
    <row r="24" spans="1:7" x14ac:dyDescent="0.2">
      <c r="A24" s="6"/>
      <c r="B24" s="6"/>
      <c r="C24" s="6"/>
    </row>
    <row r="25" spans="1:7" x14ac:dyDescent="0.2">
      <c r="A25" s="6"/>
      <c r="B25" s="6"/>
      <c r="C25" s="6"/>
    </row>
    <row r="26" spans="1:7" x14ac:dyDescent="0.2">
      <c r="A26" s="6"/>
      <c r="B26" s="6"/>
      <c r="C26" s="6"/>
    </row>
    <row r="27" spans="1:7" x14ac:dyDescent="0.2">
      <c r="A27" s="6"/>
      <c r="B27" s="6"/>
      <c r="C27" s="6"/>
    </row>
    <row r="28" spans="1:7" x14ac:dyDescent="0.2">
      <c r="A28" s="6"/>
      <c r="B28" s="6"/>
      <c r="C28" s="6"/>
    </row>
    <row r="29" spans="1:7" x14ac:dyDescent="0.2">
      <c r="A29" s="6"/>
      <c r="B29" s="6"/>
      <c r="C29" s="6"/>
    </row>
    <row r="30" spans="1:7" x14ac:dyDescent="0.2">
      <c r="A30" s="6"/>
      <c r="B30" s="6"/>
      <c r="C30" s="6"/>
    </row>
    <row r="31" spans="1:7" x14ac:dyDescent="0.2">
      <c r="A31" s="6"/>
      <c r="B31" s="6"/>
      <c r="C31" s="6"/>
    </row>
    <row r="32" spans="1:7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  <row r="36" spans="1:3" x14ac:dyDescent="0.2">
      <c r="A36" s="6"/>
      <c r="B36" s="6"/>
      <c r="C36" s="6"/>
    </row>
  </sheetData>
  <sortState xmlns:xlrd2="http://schemas.microsoft.com/office/spreadsheetml/2017/richdata2" ref="A19:C36">
    <sortCondition ref="B19:B36"/>
  </sortState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028" r:id="rId3">
          <objectPr defaultSize="0" autoPict="0" r:id="rId4">
            <anchor moveWithCells="1" sizeWithCells="1">
              <from>
                <xdr:col>2</xdr:col>
                <xdr:colOff>0</xdr:colOff>
                <xdr:row>0</xdr:row>
                <xdr:rowOff>0</xdr:rowOff>
              </from>
              <to>
                <xdr:col>2</xdr:col>
                <xdr:colOff>152400</xdr:colOff>
                <xdr:row>0</xdr:row>
                <xdr:rowOff>190500</xdr:rowOff>
              </to>
            </anchor>
          </objectPr>
        </oleObject>
      </mc:Choice>
      <mc:Fallback>
        <oleObject progId="Equation.3" shapeId="1028" r:id="rId3"/>
      </mc:Fallback>
    </mc:AlternateContent>
    <mc:AlternateContent xmlns:mc="http://schemas.openxmlformats.org/markup-compatibility/2006">
      <mc:Choice Requires="x14">
        <oleObject progId="Equation.3" shapeId="1027" r:id="rId5">
          <objectPr defaultSize="0" autoPict="0" r:id="rId6">
            <anchor moveWithCells="1" sizeWithCells="1">
              <from>
                <xdr:col>1</xdr:col>
                <xdr:colOff>0</xdr:colOff>
                <xdr:row>0</xdr:row>
                <xdr:rowOff>0</xdr:rowOff>
              </from>
              <to>
                <xdr:col>1</xdr:col>
                <xdr:colOff>139700</xdr:colOff>
                <xdr:row>0</xdr:row>
                <xdr:rowOff>152400</xdr:rowOff>
              </to>
            </anchor>
          </objectPr>
        </oleObject>
      </mc:Choice>
      <mc:Fallback>
        <oleObject progId="Equation.3" shapeId="1027" r:id="rId5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A049B-348F-455A-A186-80D941CBFE1C}">
  <dimension ref="A1:H5"/>
  <sheetViews>
    <sheetView zoomScale="145" zoomScaleNormal="145" workbookViewId="0">
      <selection sqref="A1:H5"/>
    </sheetView>
  </sheetViews>
  <sheetFormatPr baseColWidth="10" defaultColWidth="8.83203125" defaultRowHeight="15" x14ac:dyDescent="0.2"/>
  <cols>
    <col min="1" max="1" width="23.5" bestFit="1" customWidth="1"/>
    <col min="2" max="2" width="12" bestFit="1" customWidth="1"/>
    <col min="3" max="3" width="10.5" bestFit="1" customWidth="1"/>
    <col min="4" max="4" width="8.1640625" bestFit="1" customWidth="1"/>
    <col min="5" max="6" width="10.5" bestFit="1" customWidth="1"/>
    <col min="7" max="7" width="6" bestFit="1" customWidth="1"/>
    <col min="8" max="8" width="9.33203125" bestFit="1" customWidth="1"/>
  </cols>
  <sheetData>
    <row r="1" spans="1:8" ht="24.75" customHeight="1" x14ac:dyDescent="0.2">
      <c r="A1" s="113" t="s">
        <v>96</v>
      </c>
      <c r="B1" s="114"/>
      <c r="C1" s="114"/>
      <c r="D1" s="114"/>
      <c r="E1" s="114"/>
      <c r="F1" s="114"/>
      <c r="G1" s="114"/>
      <c r="H1" s="114"/>
    </row>
    <row r="2" spans="1:8" ht="18" x14ac:dyDescent="0.2">
      <c r="A2" s="115" t="s">
        <v>97</v>
      </c>
      <c r="B2" s="115">
        <v>0.99950399999999995</v>
      </c>
      <c r="C2" s="115">
        <v>0.99900999999999995</v>
      </c>
      <c r="D2" s="144">
        <v>4.0000000000000001E-3</v>
      </c>
      <c r="E2" s="115">
        <v>10091.200000000001</v>
      </c>
      <c r="F2" s="115">
        <v>100.45399999999999</v>
      </c>
      <c r="G2" s="115">
        <v>-1.2</v>
      </c>
      <c r="H2" s="115">
        <v>100454</v>
      </c>
    </row>
    <row r="3" spans="1:8" ht="18" x14ac:dyDescent="0.2">
      <c r="A3" s="115" t="s">
        <v>98</v>
      </c>
      <c r="B3" s="115">
        <v>0.99480000000000002</v>
      </c>
      <c r="C3" s="115">
        <v>0.98960000000000004</v>
      </c>
      <c r="D3" s="145">
        <v>0.01</v>
      </c>
      <c r="E3" s="115">
        <v>948.49</v>
      </c>
      <c r="F3" s="115">
        <v>30.79</v>
      </c>
      <c r="G3" s="115">
        <v>-22.23</v>
      </c>
      <c r="H3" s="115">
        <v>30.8</v>
      </c>
    </row>
    <row r="4" spans="1:8" ht="18" x14ac:dyDescent="0.2">
      <c r="A4" s="116" t="s">
        <v>99</v>
      </c>
      <c r="B4" s="116">
        <v>0.99950799999999995</v>
      </c>
      <c r="C4" s="116">
        <v>0.99902000000000002</v>
      </c>
      <c r="D4" s="146">
        <v>0.04</v>
      </c>
      <c r="E4" s="116">
        <v>10168.15</v>
      </c>
      <c r="F4" s="116">
        <v>98.3</v>
      </c>
      <c r="G4" s="116">
        <v>-6.78</v>
      </c>
      <c r="H4" s="116">
        <v>100.84</v>
      </c>
    </row>
    <row r="5" spans="1:8" ht="18" x14ac:dyDescent="0.2">
      <c r="A5" s="115" t="s">
        <v>100</v>
      </c>
      <c r="B5" s="115">
        <v>0.99560000000000004</v>
      </c>
      <c r="C5" s="115">
        <v>0.99129999999999996</v>
      </c>
      <c r="D5" s="145">
        <v>0.01</v>
      </c>
      <c r="E5" s="115">
        <v>1145.29</v>
      </c>
      <c r="F5" s="115">
        <v>37.07</v>
      </c>
      <c r="G5" s="115">
        <v>78.56</v>
      </c>
      <c r="H5" s="115">
        <v>33.840000000000003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A5B1C-6CC9-4A25-B461-B069E406EF71}">
  <dimension ref="A1:N64"/>
  <sheetViews>
    <sheetView topLeftCell="A19" zoomScaleNormal="100" workbookViewId="0">
      <selection activeCell="D64" sqref="D64"/>
    </sheetView>
  </sheetViews>
  <sheetFormatPr baseColWidth="10" defaultColWidth="8.83203125" defaultRowHeight="15" x14ac:dyDescent="0.2"/>
  <cols>
    <col min="1" max="1" width="10.5" bestFit="1" customWidth="1"/>
    <col min="2" max="2" width="17.5" customWidth="1"/>
    <col min="3" max="4" width="15.6640625" bestFit="1" customWidth="1"/>
    <col min="5" max="5" width="16.33203125" bestFit="1" customWidth="1"/>
    <col min="6" max="6" width="18.1640625" bestFit="1" customWidth="1"/>
    <col min="7" max="7" width="16.1640625" customWidth="1"/>
    <col min="8" max="8" width="10.5" bestFit="1" customWidth="1"/>
    <col min="10" max="10" width="14.33203125" bestFit="1" customWidth="1"/>
    <col min="11" max="11" width="15.5" bestFit="1" customWidth="1"/>
  </cols>
  <sheetData>
    <row r="1" spans="1:12" ht="23" thickBot="1" x14ac:dyDescent="0.25">
      <c r="B1" s="11" t="s">
        <v>7</v>
      </c>
      <c r="C1" s="12" t="s">
        <v>8</v>
      </c>
      <c r="D1" s="11" t="s">
        <v>1</v>
      </c>
      <c r="E1" s="12" t="s">
        <v>2</v>
      </c>
      <c r="F1" s="12" t="s">
        <v>3</v>
      </c>
      <c r="G1" s="13" t="s">
        <v>5</v>
      </c>
      <c r="H1" s="14" t="s">
        <v>6</v>
      </c>
      <c r="I1" s="12" t="s">
        <v>4</v>
      </c>
    </row>
    <row r="2" spans="1:12" ht="16" x14ac:dyDescent="0.2">
      <c r="B2" s="123">
        <v>29.9</v>
      </c>
      <c r="C2" s="124">
        <v>24.2</v>
      </c>
      <c r="D2" s="9">
        <f>B2*C2</f>
        <v>723.57999999999993</v>
      </c>
      <c r="E2" s="10">
        <f>B2^2</f>
        <v>894.00999999999988</v>
      </c>
      <c r="F2" s="10">
        <f>C2^2</f>
        <v>585.64</v>
      </c>
      <c r="G2" s="10">
        <f>$C$19*B2 + $C$22</f>
        <v>24.014010845663513</v>
      </c>
      <c r="H2" s="10">
        <f>C2-G2</f>
        <v>0.185989154336486</v>
      </c>
      <c r="I2" s="18">
        <f>ABS(H2/C2)</f>
        <v>7.6855022453093391E-3</v>
      </c>
      <c r="J2" s="35">
        <f>(B2-$B$15)^2</f>
        <v>90.88444444444454</v>
      </c>
      <c r="K2" s="35">
        <f>H2^2</f>
        <v>3.4591965530801211E-2</v>
      </c>
      <c r="L2" s="8"/>
    </row>
    <row r="3" spans="1:12" ht="16" x14ac:dyDescent="0.2">
      <c r="B3" s="125">
        <v>30.4</v>
      </c>
      <c r="C3" s="126">
        <v>24.3</v>
      </c>
      <c r="D3" s="9">
        <f t="shared" ref="D3:D13" si="0">B3*C3</f>
        <v>738.72</v>
      </c>
      <c r="E3" s="10">
        <f t="shared" ref="E3:E13" si="1">B3^2</f>
        <v>924.16</v>
      </c>
      <c r="F3" s="10">
        <f t="shared" ref="F3:F13" si="2">C3^2</f>
        <v>590.49</v>
      </c>
      <c r="G3" s="10">
        <f t="shared" ref="G3:G13" si="3">$C$19*B3 + $C$22</f>
        <v>24.421929857254586</v>
      </c>
      <c r="H3" s="10">
        <f t="shared" ref="H3:H13" si="4">C3-G3</f>
        <v>-0.12192985725458527</v>
      </c>
      <c r="I3" s="18">
        <f t="shared" ref="I3:I13" si="5">ABS(H3/C3)</f>
        <v>5.0176895989541264E-3</v>
      </c>
      <c r="J3" s="35">
        <f t="shared" ref="J3:J13" si="6">(B3-$B$15)^2</f>
        <v>81.601111111111209</v>
      </c>
      <c r="K3" s="35">
        <f t="shared" ref="K3:K13" si="7">H3^2</f>
        <v>1.4866890090123541E-2</v>
      </c>
    </row>
    <row r="4" spans="1:12" ht="16" x14ac:dyDescent="0.2">
      <c r="B4" s="125">
        <v>37.4</v>
      </c>
      <c r="C4" s="126">
        <v>30.1</v>
      </c>
      <c r="D4" s="9">
        <f t="shared" si="0"/>
        <v>1125.74</v>
      </c>
      <c r="E4" s="10">
        <f t="shared" si="1"/>
        <v>1398.76</v>
      </c>
      <c r="F4" s="10">
        <f t="shared" si="2"/>
        <v>906.0100000000001</v>
      </c>
      <c r="G4" s="10">
        <f t="shared" si="3"/>
        <v>30.132796019529625</v>
      </c>
      <c r="H4" s="10">
        <f t="shared" si="4"/>
        <v>-3.2796019529623521E-2</v>
      </c>
      <c r="I4" s="18">
        <f t="shared" si="5"/>
        <v>1.0895687551369939E-3</v>
      </c>
      <c r="J4" s="35">
        <f t="shared" si="6"/>
        <v>4.1344444444444655</v>
      </c>
      <c r="K4" s="35">
        <f t="shared" si="7"/>
        <v>1.0755788969874474E-3</v>
      </c>
    </row>
    <row r="5" spans="1:12" ht="16" x14ac:dyDescent="0.2">
      <c r="B5" s="125">
        <v>37.799999999999997</v>
      </c>
      <c r="C5" s="126">
        <v>30.5</v>
      </c>
      <c r="D5" s="9">
        <f t="shared" si="0"/>
        <v>1152.8999999999999</v>
      </c>
      <c r="E5" s="10">
        <f t="shared" si="1"/>
        <v>1428.8399999999997</v>
      </c>
      <c r="F5" s="10">
        <f t="shared" si="2"/>
        <v>930.25</v>
      </c>
      <c r="G5" s="10">
        <f t="shared" si="3"/>
        <v>30.459131228802484</v>
      </c>
      <c r="H5" s="10">
        <f t="shared" si="4"/>
        <v>4.0868771197516196E-2</v>
      </c>
      <c r="I5" s="18">
        <f t="shared" si="5"/>
        <v>1.3399597113939736E-3</v>
      </c>
      <c r="J5" s="35">
        <f t="shared" si="6"/>
        <v>2.6677777777777996</v>
      </c>
      <c r="K5" s="35">
        <f t="shared" si="7"/>
        <v>1.6702564591949294E-3</v>
      </c>
    </row>
    <row r="6" spans="1:12" ht="16" x14ac:dyDescent="0.2">
      <c r="B6" s="125">
        <v>38.799999999999997</v>
      </c>
      <c r="C6" s="126">
        <v>31.3</v>
      </c>
      <c r="D6" s="9">
        <f t="shared" si="0"/>
        <v>1214.4399999999998</v>
      </c>
      <c r="E6" s="10">
        <f t="shared" si="1"/>
        <v>1505.4399999999998</v>
      </c>
      <c r="F6" s="10">
        <f t="shared" si="2"/>
        <v>979.69</v>
      </c>
      <c r="G6" s="10">
        <f t="shared" si="3"/>
        <v>31.274969251984633</v>
      </c>
      <c r="H6" s="10">
        <f t="shared" si="4"/>
        <v>2.5030748015367976E-2</v>
      </c>
      <c r="I6" s="18">
        <f t="shared" si="5"/>
        <v>7.9970440943667655E-4</v>
      </c>
      <c r="J6" s="35">
        <f t="shared" si="6"/>
        <v>0.40111111111111952</v>
      </c>
      <c r="K6" s="35">
        <f t="shared" si="7"/>
        <v>6.2653834620884788E-4</v>
      </c>
    </row>
    <row r="7" spans="1:12" ht="16" x14ac:dyDescent="0.2">
      <c r="B7" s="125">
        <v>38.9</v>
      </c>
      <c r="C7" s="126">
        <v>31.4</v>
      </c>
      <c r="D7" s="9">
        <f t="shared" si="0"/>
        <v>1221.4599999999998</v>
      </c>
      <c r="E7" s="10">
        <f t="shared" si="1"/>
        <v>1513.2099999999998</v>
      </c>
      <c r="F7" s="10">
        <f t="shared" si="2"/>
        <v>985.95999999999992</v>
      </c>
      <c r="G7" s="10">
        <f t="shared" si="3"/>
        <v>31.356553054302847</v>
      </c>
      <c r="H7" s="10">
        <f t="shared" si="4"/>
        <v>4.3446945697152017E-2</v>
      </c>
      <c r="I7" s="18">
        <f t="shared" si="5"/>
        <v>1.3836606909921026E-3</v>
      </c>
      <c r="J7" s="35">
        <f t="shared" si="6"/>
        <v>0.28444444444445</v>
      </c>
      <c r="K7" s="35">
        <f t="shared" si="7"/>
        <v>1.8876370904112763E-3</v>
      </c>
    </row>
    <row r="8" spans="1:12" ht="16" x14ac:dyDescent="0.2">
      <c r="B8" s="125">
        <v>39.4</v>
      </c>
      <c r="C8" s="126">
        <v>31.6</v>
      </c>
      <c r="D8" s="9">
        <f t="shared" si="0"/>
        <v>1245.04</v>
      </c>
      <c r="E8" s="10">
        <f t="shared" si="1"/>
        <v>1552.36</v>
      </c>
      <c r="F8" s="10">
        <f t="shared" si="2"/>
        <v>998.56000000000006</v>
      </c>
      <c r="G8" s="10">
        <f t="shared" si="3"/>
        <v>31.764472065893923</v>
      </c>
      <c r="H8" s="10">
        <f t="shared" si="4"/>
        <v>-0.16447206589392138</v>
      </c>
      <c r="I8" s="18">
        <f t="shared" si="5"/>
        <v>5.2048122118329553E-3</v>
      </c>
      <c r="J8" s="35">
        <f t="shared" si="6"/>
        <v>1.1111111111114585E-3</v>
      </c>
      <c r="K8" s="35">
        <f t="shared" si="7"/>
        <v>2.7051060459414418E-2</v>
      </c>
    </row>
    <row r="9" spans="1:12" ht="16" x14ac:dyDescent="0.2">
      <c r="B9" s="125">
        <v>40.200000000000003</v>
      </c>
      <c r="C9" s="126">
        <v>32.1</v>
      </c>
      <c r="D9" s="9">
        <f t="shared" si="0"/>
        <v>1290.42</v>
      </c>
      <c r="E9" s="10">
        <f t="shared" si="1"/>
        <v>1616.0400000000002</v>
      </c>
      <c r="F9" s="10">
        <f t="shared" si="2"/>
        <v>1030.4100000000001</v>
      </c>
      <c r="G9" s="10">
        <f t="shared" si="3"/>
        <v>32.417142484439637</v>
      </c>
      <c r="H9" s="10">
        <f t="shared" si="4"/>
        <v>-0.31714248443963555</v>
      </c>
      <c r="I9" s="18">
        <f t="shared" si="5"/>
        <v>9.8798281756895812E-3</v>
      </c>
      <c r="J9" s="35">
        <f t="shared" si="6"/>
        <v>0.58777777777777629</v>
      </c>
      <c r="K9" s="35">
        <f t="shared" si="7"/>
        <v>0.10057935543654448</v>
      </c>
    </row>
    <row r="10" spans="1:12" ht="16" x14ac:dyDescent="0.2">
      <c r="B10" s="125">
        <v>41.6</v>
      </c>
      <c r="C10" s="126">
        <v>33.700000000000003</v>
      </c>
      <c r="D10" s="9">
        <f t="shared" si="0"/>
        <v>1401.92</v>
      </c>
      <c r="E10" s="10">
        <f t="shared" si="1"/>
        <v>1730.5600000000002</v>
      </c>
      <c r="F10" s="10">
        <f t="shared" si="2"/>
        <v>1135.6900000000003</v>
      </c>
      <c r="G10" s="10">
        <f t="shared" si="3"/>
        <v>33.559315716894645</v>
      </c>
      <c r="H10" s="10">
        <f t="shared" si="4"/>
        <v>0.14068428310535808</v>
      </c>
      <c r="I10" s="18">
        <f t="shared" si="5"/>
        <v>4.174607807280655E-3</v>
      </c>
      <c r="J10" s="35">
        <f t="shared" si="6"/>
        <v>4.694444444444434</v>
      </c>
      <c r="K10" s="35">
        <f t="shared" si="7"/>
        <v>1.9792067512868539E-2</v>
      </c>
    </row>
    <row r="11" spans="1:12" ht="16" x14ac:dyDescent="0.2">
      <c r="B11" s="125">
        <v>41.7</v>
      </c>
      <c r="C11" s="126">
        <v>33.799999999999997</v>
      </c>
      <c r="D11" s="9">
        <f t="shared" si="0"/>
        <v>1409.46</v>
      </c>
      <c r="E11" s="10">
        <f t="shared" si="1"/>
        <v>1738.8900000000003</v>
      </c>
      <c r="F11" s="10">
        <f t="shared" si="2"/>
        <v>1142.4399999999998</v>
      </c>
      <c r="G11" s="10">
        <f t="shared" si="3"/>
        <v>33.640899519212866</v>
      </c>
      <c r="H11" s="10">
        <f t="shared" si="4"/>
        <v>0.15910048078713146</v>
      </c>
      <c r="I11" s="18">
        <f t="shared" si="5"/>
        <v>4.7071148161873218E-3</v>
      </c>
      <c r="J11" s="35">
        <f t="shared" si="6"/>
        <v>5.1377777777777736</v>
      </c>
      <c r="K11" s="35">
        <f t="shared" si="7"/>
        <v>2.5312962986696386E-2</v>
      </c>
    </row>
    <row r="12" spans="1:12" ht="16" x14ac:dyDescent="0.2">
      <c r="B12" s="125">
        <v>47.8</v>
      </c>
      <c r="C12" s="126">
        <v>38.700000000000003</v>
      </c>
      <c r="D12" s="9">
        <f t="shared" si="0"/>
        <v>1849.8600000000001</v>
      </c>
      <c r="E12" s="10">
        <f t="shared" si="1"/>
        <v>2284.8399999999997</v>
      </c>
      <c r="F12" s="10">
        <f t="shared" si="2"/>
        <v>1497.6900000000003</v>
      </c>
      <c r="G12" s="10">
        <f t="shared" si="3"/>
        <v>38.617511460623973</v>
      </c>
      <c r="H12" s="10">
        <f t="shared" si="4"/>
        <v>8.2488539376029735E-2</v>
      </c>
      <c r="I12" s="18">
        <f t="shared" si="5"/>
        <v>2.1314868055821636E-3</v>
      </c>
      <c r="J12" s="35">
        <f t="shared" si="6"/>
        <v>70.001111111111001</v>
      </c>
      <c r="K12" s="35">
        <f t="shared" si="7"/>
        <v>6.8043591283908078E-3</v>
      </c>
    </row>
    <row r="13" spans="1:12" ht="17" thickBot="1" x14ac:dyDescent="0.25">
      <c r="B13" s="125">
        <v>49.3</v>
      </c>
      <c r="C13" s="126">
        <v>39.799999999999997</v>
      </c>
      <c r="D13" s="9">
        <f t="shared" si="0"/>
        <v>1962.1399999999996</v>
      </c>
      <c r="E13" s="10">
        <f t="shared" si="1"/>
        <v>2430.4899999999998</v>
      </c>
      <c r="F13" s="10">
        <f t="shared" si="2"/>
        <v>1584.0399999999997</v>
      </c>
      <c r="G13" s="10">
        <f t="shared" si="3"/>
        <v>39.841268495397188</v>
      </c>
      <c r="H13" s="10">
        <f t="shared" si="4"/>
        <v>-4.1268495397190463E-2</v>
      </c>
      <c r="I13" s="18">
        <f t="shared" si="5"/>
        <v>1.0368968692761424E-3</v>
      </c>
      <c r="J13" s="35">
        <f t="shared" si="6"/>
        <v>97.351111111110981</v>
      </c>
      <c r="K13" s="35">
        <f t="shared" si="7"/>
        <v>1.7030887123479304E-3</v>
      </c>
    </row>
    <row r="14" spans="1:12" ht="20" thickBot="1" x14ac:dyDescent="0.25">
      <c r="A14" s="7" t="s">
        <v>9</v>
      </c>
      <c r="B14" s="25">
        <f>SUM(B2:B13)</f>
        <v>473.20000000000005</v>
      </c>
      <c r="C14" s="26">
        <f>SUM(C2:C13)</f>
        <v>381.5</v>
      </c>
      <c r="D14" s="26">
        <f>SUM(D2:D13)</f>
        <v>15335.68</v>
      </c>
      <c r="E14" s="26">
        <f>SUM(E2:E13)</f>
        <v>19017.599999999999</v>
      </c>
      <c r="F14" s="30">
        <f>SUM(F2:F13)</f>
        <v>12366.87</v>
      </c>
      <c r="G14" s="19"/>
      <c r="H14" s="19"/>
      <c r="I14" s="28"/>
      <c r="J14" s="35">
        <f>SUM(J2:J13)</f>
        <v>357.74666666666661</v>
      </c>
      <c r="K14" s="35">
        <f>SUM(K2:K13)</f>
        <v>0.2359617606499898</v>
      </c>
    </row>
    <row r="15" spans="1:12" ht="20" thickBot="1" x14ac:dyDescent="0.25">
      <c r="A15" s="7" t="s">
        <v>10</v>
      </c>
      <c r="B15" s="25">
        <f>AVERAGE(B2:B13)</f>
        <v>39.433333333333337</v>
      </c>
      <c r="C15" s="26">
        <f t="shared" ref="C15:F15" si="8">AVERAGE(C2:C13)</f>
        <v>31.791666666666668</v>
      </c>
      <c r="D15" s="26">
        <f t="shared" si="8"/>
        <v>1277.9733333333334</v>
      </c>
      <c r="E15" s="26">
        <f t="shared" si="8"/>
        <v>1584.8</v>
      </c>
      <c r="F15" s="30">
        <f t="shared" si="8"/>
        <v>1030.5725</v>
      </c>
      <c r="G15" s="20"/>
      <c r="H15" s="31"/>
      <c r="I15" s="27">
        <f>AVERAGE(I2:I13)</f>
        <v>3.7042360080893361E-3</v>
      </c>
      <c r="J15" s="35"/>
    </row>
    <row r="16" spans="1:12" ht="20" thickBot="1" x14ac:dyDescent="0.25">
      <c r="A16" s="16" t="s">
        <v>11</v>
      </c>
      <c r="B16" s="29">
        <f>SQRT(E15-B15^2)</f>
        <v>5.4600569797596306</v>
      </c>
      <c r="C16" s="32">
        <f>SQRT(F15-C15^2)</f>
        <v>4.456728683188536</v>
      </c>
      <c r="I16" s="21"/>
      <c r="J16" s="35"/>
    </row>
    <row r="17" spans="1:13" ht="23" thickBot="1" x14ac:dyDescent="0.25">
      <c r="A17" s="17" t="s">
        <v>12</v>
      </c>
      <c r="B17" s="22">
        <f>B16^2</f>
        <v>29.812222222221859</v>
      </c>
      <c r="C17" s="33">
        <f>C16^2</f>
        <v>19.862430555555424</v>
      </c>
      <c r="D17" s="23"/>
      <c r="E17" s="23"/>
      <c r="F17" s="23"/>
      <c r="G17" s="23"/>
      <c r="H17" s="23"/>
      <c r="I17" s="24"/>
      <c r="J17" s="35"/>
    </row>
    <row r="19" spans="1:13" ht="27" x14ac:dyDescent="0.35">
      <c r="A19" s="37" t="s">
        <v>44</v>
      </c>
      <c r="B19" s="36" t="s">
        <v>45</v>
      </c>
      <c r="C19" s="64">
        <f>(D15-B15*C15)/(E15-B15*B15)</f>
        <v>0.81583802318214838</v>
      </c>
      <c r="D19" s="158" t="s">
        <v>115</v>
      </c>
      <c r="E19" s="158"/>
      <c r="F19" s="158"/>
      <c r="G19" s="158"/>
    </row>
    <row r="20" spans="1:13" ht="20.5" customHeight="1" x14ac:dyDescent="0.2">
      <c r="D20" s="158"/>
      <c r="E20" s="158"/>
      <c r="F20" s="158"/>
      <c r="G20" s="158"/>
    </row>
    <row r="22" spans="1:13" ht="18" x14ac:dyDescent="0.2">
      <c r="B22" s="36" t="s">
        <v>45</v>
      </c>
      <c r="C22" s="139">
        <f>C15-C19*B15</f>
        <v>-0.37954604748272303</v>
      </c>
      <c r="D22" s="158" t="s">
        <v>53</v>
      </c>
      <c r="E22" s="158"/>
      <c r="F22" s="158"/>
      <c r="G22" s="158"/>
    </row>
    <row r="23" spans="1:13" ht="15.5" customHeight="1" x14ac:dyDescent="0.2">
      <c r="D23" s="158"/>
      <c r="E23" s="158"/>
      <c r="F23" s="158"/>
      <c r="G23" s="158"/>
    </row>
    <row r="24" spans="1:13" ht="19" x14ac:dyDescent="0.25">
      <c r="B24" s="159" t="s">
        <v>54</v>
      </c>
      <c r="C24" s="159"/>
      <c r="D24" s="159"/>
    </row>
    <row r="25" spans="1:13" ht="18" x14ac:dyDescent="0.2">
      <c r="B25" s="160" t="s">
        <v>129</v>
      </c>
      <c r="C25" s="160"/>
      <c r="D25" s="160"/>
    </row>
    <row r="29" spans="1:13" ht="35.5" customHeight="1" x14ac:dyDescent="0.35">
      <c r="A29" s="37" t="s">
        <v>46</v>
      </c>
      <c r="B29" s="34" t="s">
        <v>47</v>
      </c>
      <c r="C29">
        <f>C19*(B16/C16)</f>
        <v>0.99950488564227136</v>
      </c>
      <c r="D29" s="161" t="s">
        <v>55</v>
      </c>
      <c r="E29" s="161"/>
      <c r="F29" s="161"/>
      <c r="G29" s="161"/>
      <c r="H29" s="161"/>
      <c r="I29" s="161"/>
      <c r="J29" s="161"/>
      <c r="K29" s="161"/>
      <c r="L29" s="15"/>
      <c r="M29" s="15"/>
    </row>
    <row r="30" spans="1:13" ht="50" customHeight="1" x14ac:dyDescent="0.2">
      <c r="B30" s="45" t="s">
        <v>48</v>
      </c>
      <c r="C30" s="39">
        <f>C29^2</f>
        <v>0.99901001642276999</v>
      </c>
      <c r="D30" s="161" t="s">
        <v>113</v>
      </c>
      <c r="E30" s="161"/>
      <c r="F30" s="161"/>
      <c r="G30" s="161"/>
      <c r="H30" s="161"/>
      <c r="I30" s="161"/>
      <c r="J30" s="161"/>
      <c r="K30" s="161"/>
      <c r="L30" s="15"/>
      <c r="M30" s="15"/>
    </row>
    <row r="31" spans="1:13" x14ac:dyDescent="0.2">
      <c r="D31" s="35"/>
    </row>
    <row r="33" spans="1:14" ht="25" x14ac:dyDescent="0.25">
      <c r="A33" s="43" t="s">
        <v>49</v>
      </c>
    </row>
    <row r="34" spans="1:14" ht="18" x14ac:dyDescent="0.2">
      <c r="B34" s="36" t="s">
        <v>45</v>
      </c>
      <c r="C34" s="40">
        <f>AVERAGE(I2:I13)</f>
        <v>3.7042360080893361E-3</v>
      </c>
      <c r="D34" s="155" t="s">
        <v>121</v>
      </c>
      <c r="E34" s="155"/>
      <c r="F34" s="155"/>
      <c r="G34" s="155"/>
      <c r="H34" s="155"/>
      <c r="I34" s="155"/>
      <c r="J34" s="155"/>
    </row>
    <row r="35" spans="1:14" x14ac:dyDescent="0.2">
      <c r="D35" s="155"/>
      <c r="E35" s="155"/>
      <c r="F35" s="155"/>
      <c r="G35" s="155"/>
      <c r="H35" s="155"/>
      <c r="I35" s="155"/>
      <c r="J35" s="155"/>
    </row>
    <row r="39" spans="1:14" ht="25" x14ac:dyDescent="0.25">
      <c r="A39" s="43" t="s">
        <v>51</v>
      </c>
    </row>
    <row r="40" spans="1:14" ht="18" customHeight="1" x14ac:dyDescent="0.2">
      <c r="B40" s="36" t="s">
        <v>45</v>
      </c>
      <c r="C40" s="35">
        <f>C30/(1-C30)*(COUNT(B2:B13)-2)</f>
        <v>10091.177665977171</v>
      </c>
      <c r="D40" s="155" t="s">
        <v>56</v>
      </c>
      <c r="E40" s="155"/>
      <c r="F40" s="155"/>
      <c r="G40" s="155"/>
      <c r="H40" s="155"/>
      <c r="I40" s="155"/>
      <c r="J40" s="155"/>
      <c r="K40" s="155"/>
      <c r="L40" s="155"/>
      <c r="M40" s="155"/>
      <c r="N40" s="155"/>
    </row>
    <row r="41" spans="1:14" x14ac:dyDescent="0.2">
      <c r="D41" s="155"/>
      <c r="E41" s="155"/>
      <c r="F41" s="155"/>
      <c r="G41" s="155"/>
      <c r="H41" s="155"/>
      <c r="I41" s="155"/>
      <c r="J41" s="155"/>
      <c r="K41" s="155"/>
      <c r="L41" s="155"/>
      <c r="M41" s="155"/>
      <c r="N41" s="155"/>
    </row>
    <row r="42" spans="1:14" ht="18" x14ac:dyDescent="0.2">
      <c r="B42" s="41" t="s">
        <v>50</v>
      </c>
      <c r="C42" s="42">
        <v>4.96</v>
      </c>
      <c r="D42" s="155"/>
      <c r="E42" s="155"/>
      <c r="F42" s="155"/>
      <c r="G42" s="155"/>
      <c r="H42" s="155"/>
      <c r="I42" s="155"/>
      <c r="J42" s="155"/>
      <c r="K42" s="155"/>
      <c r="L42" s="155"/>
      <c r="M42" s="155"/>
      <c r="N42" s="155"/>
    </row>
    <row r="45" spans="1:14" ht="25" x14ac:dyDescent="0.25">
      <c r="A45" s="43" t="s">
        <v>52</v>
      </c>
    </row>
    <row r="47" spans="1:14" x14ac:dyDescent="0.2">
      <c r="D47">
        <f>SQRT(K14/10/J14)</f>
        <v>8.1214395498170732E-3</v>
      </c>
      <c r="E47" s="156" t="s">
        <v>116</v>
      </c>
      <c r="F47" s="157"/>
      <c r="G47" s="157"/>
      <c r="H47" s="157"/>
      <c r="I47" s="157"/>
    </row>
    <row r="48" spans="1:14" x14ac:dyDescent="0.2">
      <c r="E48" s="157"/>
      <c r="F48" s="157"/>
      <c r="G48" s="157"/>
      <c r="H48" s="157"/>
      <c r="I48" s="157"/>
    </row>
    <row r="49" spans="2:9" x14ac:dyDescent="0.2">
      <c r="E49" s="157"/>
      <c r="F49" s="157"/>
      <c r="G49" s="157"/>
      <c r="H49" s="157"/>
      <c r="I49" s="157"/>
    </row>
    <row r="50" spans="2:9" x14ac:dyDescent="0.2">
      <c r="E50" s="157"/>
      <c r="F50" s="157"/>
      <c r="G50" s="157"/>
      <c r="H50" s="157"/>
      <c r="I50" s="157"/>
    </row>
    <row r="51" spans="2:9" x14ac:dyDescent="0.2">
      <c r="D51">
        <f>SQRT(K14*E14/(10*12*J14))</f>
        <v>0.32331082616677165</v>
      </c>
      <c r="E51" s="157"/>
      <c r="F51" s="157"/>
      <c r="G51" s="157"/>
      <c r="H51" s="157"/>
      <c r="I51" s="157"/>
    </row>
    <row r="52" spans="2:9" x14ac:dyDescent="0.2">
      <c r="E52" s="157"/>
      <c r="F52" s="157"/>
      <c r="G52" s="157"/>
      <c r="H52" s="157"/>
      <c r="I52" s="157"/>
    </row>
    <row r="53" spans="2:9" x14ac:dyDescent="0.2">
      <c r="E53" s="157"/>
      <c r="F53" s="157"/>
      <c r="G53" s="157"/>
      <c r="H53" s="157"/>
      <c r="I53" s="157"/>
    </row>
    <row r="54" spans="2:9" x14ac:dyDescent="0.2">
      <c r="E54" s="157"/>
      <c r="F54" s="157"/>
      <c r="G54" s="157"/>
      <c r="H54" s="157"/>
      <c r="I54" s="157"/>
    </row>
    <row r="55" spans="2:9" ht="18" x14ac:dyDescent="0.2">
      <c r="B55" s="36" t="s">
        <v>45</v>
      </c>
      <c r="C55">
        <f>SQRT((1-C30)/10)</f>
        <v>9.9497918431996034E-3</v>
      </c>
      <c r="E55" s="157"/>
      <c r="F55" s="157"/>
      <c r="G55" s="157"/>
      <c r="H55" s="157"/>
      <c r="I55" s="157"/>
    </row>
    <row r="56" spans="2:9" x14ac:dyDescent="0.2">
      <c r="E56" s="157"/>
      <c r="F56" s="157"/>
      <c r="G56" s="157"/>
      <c r="H56" s="157"/>
      <c r="I56" s="157"/>
    </row>
    <row r="57" spans="2:9" x14ac:dyDescent="0.2">
      <c r="E57" s="157"/>
      <c r="F57" s="157"/>
      <c r="G57" s="157"/>
      <c r="H57" s="157"/>
      <c r="I57" s="157"/>
    </row>
    <row r="58" spans="2:9" ht="18" x14ac:dyDescent="0.2">
      <c r="B58" s="36" t="s">
        <v>45</v>
      </c>
      <c r="C58">
        <f>C19/D47</f>
        <v>100.45485386892085</v>
      </c>
      <c r="E58" s="157"/>
      <c r="F58" s="157"/>
      <c r="G58" s="157"/>
      <c r="H58" s="157"/>
      <c r="I58" s="157"/>
    </row>
    <row r="59" spans="2:9" x14ac:dyDescent="0.2">
      <c r="E59" s="157"/>
      <c r="F59" s="157"/>
      <c r="G59" s="157"/>
      <c r="H59" s="157"/>
      <c r="I59" s="157"/>
    </row>
    <row r="61" spans="2:9" ht="18" x14ac:dyDescent="0.2">
      <c r="B61" s="36" t="s">
        <v>45</v>
      </c>
      <c r="C61" s="35">
        <f>C22/D51</f>
        <v>-1.1739354725070168</v>
      </c>
    </row>
    <row r="64" spans="2:9" ht="18" x14ac:dyDescent="0.2">
      <c r="B64" s="36" t="s">
        <v>45</v>
      </c>
      <c r="C64">
        <f>C29/C55</f>
        <v>100.45485386967208</v>
      </c>
    </row>
  </sheetData>
  <mergeCells count="9">
    <mergeCell ref="D34:J35"/>
    <mergeCell ref="D40:N42"/>
    <mergeCell ref="E47:I59"/>
    <mergeCell ref="D19:G20"/>
    <mergeCell ref="D22:G23"/>
    <mergeCell ref="B24:D24"/>
    <mergeCell ref="B25:D25"/>
    <mergeCell ref="D29:K29"/>
    <mergeCell ref="D30:K30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3079" r:id="rId3">
          <objectPr defaultSize="0" autoPict="0" r:id="rId4">
            <anchor moveWithCells="1">
              <from>
                <xdr:col>1</xdr:col>
                <xdr:colOff>25400</xdr:colOff>
                <xdr:row>17</xdr:row>
                <xdr:rowOff>101600</xdr:rowOff>
              </from>
              <to>
                <xdr:col>1</xdr:col>
                <xdr:colOff>1003300</xdr:colOff>
                <xdr:row>19</xdr:row>
                <xdr:rowOff>215900</xdr:rowOff>
              </to>
            </anchor>
          </objectPr>
        </oleObject>
      </mc:Choice>
      <mc:Fallback>
        <oleObject progId="Equation.3" shapeId="3079" r:id="rId3"/>
      </mc:Fallback>
    </mc:AlternateContent>
    <mc:AlternateContent xmlns:mc="http://schemas.openxmlformats.org/markup-compatibility/2006">
      <mc:Choice Requires="x14">
        <oleObject progId="Equation.3" shapeId="3080" r:id="rId5">
          <objectPr defaultSize="0" autoPict="0" r:id="rId6">
            <anchor moveWithCells="1">
              <from>
                <xdr:col>1</xdr:col>
                <xdr:colOff>12700</xdr:colOff>
                <xdr:row>20</xdr:row>
                <xdr:rowOff>139700</xdr:rowOff>
              </from>
              <to>
                <xdr:col>1</xdr:col>
                <xdr:colOff>990600</xdr:colOff>
                <xdr:row>22</xdr:row>
                <xdr:rowOff>63500</xdr:rowOff>
              </to>
            </anchor>
          </objectPr>
        </oleObject>
      </mc:Choice>
      <mc:Fallback>
        <oleObject progId="Equation.3" shapeId="3080" r:id="rId5"/>
      </mc:Fallback>
    </mc:AlternateContent>
    <mc:AlternateContent xmlns:mc="http://schemas.openxmlformats.org/markup-compatibility/2006">
      <mc:Choice Requires="x14">
        <oleObject progId="Equation.3" shapeId="3083" r:id="rId7">
          <objectPr defaultSize="0" r:id="rId8">
            <anchor moveWithCells="1">
              <from>
                <xdr:col>0</xdr:col>
                <xdr:colOff>266700</xdr:colOff>
                <xdr:row>38</xdr:row>
                <xdr:rowOff>101600</xdr:rowOff>
              </from>
              <to>
                <xdr:col>1</xdr:col>
                <xdr:colOff>1054100</xdr:colOff>
                <xdr:row>40</xdr:row>
                <xdr:rowOff>139700</xdr:rowOff>
              </to>
            </anchor>
          </objectPr>
        </oleObject>
      </mc:Choice>
      <mc:Fallback>
        <oleObject progId="Equation.3" shapeId="3083" r:id="rId7"/>
      </mc:Fallback>
    </mc:AlternateContent>
    <mc:AlternateContent xmlns:mc="http://schemas.openxmlformats.org/markup-compatibility/2006">
      <mc:Choice Requires="x14">
        <oleObject progId="Equation.3" shapeId="3085" r:id="rId9">
          <objectPr defaultSize="0" autoPict="0" r:id="rId10">
            <anchor moveWithCells="1">
              <from>
                <xdr:col>1</xdr:col>
                <xdr:colOff>0</xdr:colOff>
                <xdr:row>45</xdr:row>
                <xdr:rowOff>63500</xdr:rowOff>
              </from>
              <to>
                <xdr:col>2</xdr:col>
                <xdr:colOff>939800</xdr:colOff>
                <xdr:row>48</xdr:row>
                <xdr:rowOff>165100</xdr:rowOff>
              </to>
            </anchor>
          </objectPr>
        </oleObject>
      </mc:Choice>
      <mc:Fallback>
        <oleObject progId="Equation.3" shapeId="3085" r:id="rId9"/>
      </mc:Fallback>
    </mc:AlternateContent>
    <mc:AlternateContent xmlns:mc="http://schemas.openxmlformats.org/markup-compatibility/2006">
      <mc:Choice Requires="x14">
        <oleObject progId="Equation.3" shapeId="3086" r:id="rId11">
          <objectPr defaultSize="0" autoPict="0" r:id="rId12">
            <anchor moveWithCells="1">
              <from>
                <xdr:col>1</xdr:col>
                <xdr:colOff>12700</xdr:colOff>
                <xdr:row>48</xdr:row>
                <xdr:rowOff>139700</xdr:rowOff>
              </from>
              <to>
                <xdr:col>2</xdr:col>
                <xdr:colOff>939800</xdr:colOff>
                <xdr:row>52</xdr:row>
                <xdr:rowOff>38100</xdr:rowOff>
              </to>
            </anchor>
          </objectPr>
        </oleObject>
      </mc:Choice>
      <mc:Fallback>
        <oleObject progId="Equation.3" shapeId="3086" r:id="rId11"/>
      </mc:Fallback>
    </mc:AlternateContent>
    <mc:AlternateContent xmlns:mc="http://schemas.openxmlformats.org/markup-compatibility/2006">
      <mc:Choice Requires="x14">
        <oleObject progId="Equation.3" shapeId="3081" r:id="rId13">
          <objectPr defaultSize="0" autoPict="0" r:id="rId14">
            <anchor moveWithCells="1">
              <from>
                <xdr:col>0</xdr:col>
                <xdr:colOff>393700</xdr:colOff>
                <xdr:row>32</xdr:row>
                <xdr:rowOff>139700</xdr:rowOff>
              </from>
              <to>
                <xdr:col>2</xdr:col>
                <xdr:colOff>101600</xdr:colOff>
                <xdr:row>34</xdr:row>
                <xdr:rowOff>177800</xdr:rowOff>
              </to>
            </anchor>
          </objectPr>
        </oleObject>
      </mc:Choice>
      <mc:Fallback>
        <oleObject progId="Equation.3" shapeId="3081" r:id="rId13"/>
      </mc:Fallback>
    </mc:AlternateContent>
    <mc:AlternateContent xmlns:mc="http://schemas.openxmlformats.org/markup-compatibility/2006">
      <mc:Choice Requires="x14">
        <oleObject progId="Equation.3" shapeId="3089" r:id="rId15">
          <objectPr defaultSize="0" autoPict="0" r:id="rId16">
            <anchor moveWithCells="1">
              <from>
                <xdr:col>1</xdr:col>
                <xdr:colOff>355600</xdr:colOff>
                <xdr:row>56</xdr:row>
                <xdr:rowOff>50800</xdr:rowOff>
              </from>
              <to>
                <xdr:col>1</xdr:col>
                <xdr:colOff>977900</xdr:colOff>
                <xdr:row>58</xdr:row>
                <xdr:rowOff>139700</xdr:rowOff>
              </to>
            </anchor>
          </objectPr>
        </oleObject>
      </mc:Choice>
      <mc:Fallback>
        <oleObject progId="Equation.3" shapeId="3089" r:id="rId15"/>
      </mc:Fallback>
    </mc:AlternateContent>
    <mc:AlternateContent xmlns:mc="http://schemas.openxmlformats.org/markup-compatibility/2006">
      <mc:Choice Requires="x14">
        <oleObject progId="Equation.3" shapeId="3090" r:id="rId17">
          <objectPr defaultSize="0" autoPict="0" r:id="rId18">
            <anchor moveWithCells="1">
              <from>
                <xdr:col>1</xdr:col>
                <xdr:colOff>355600</xdr:colOff>
                <xdr:row>59</xdr:row>
                <xdr:rowOff>25400</xdr:rowOff>
              </from>
              <to>
                <xdr:col>1</xdr:col>
                <xdr:colOff>977900</xdr:colOff>
                <xdr:row>61</xdr:row>
                <xdr:rowOff>139700</xdr:rowOff>
              </to>
            </anchor>
          </objectPr>
        </oleObject>
      </mc:Choice>
      <mc:Fallback>
        <oleObject progId="Equation.3" shapeId="3090" r:id="rId17"/>
      </mc:Fallback>
    </mc:AlternateContent>
    <mc:AlternateContent xmlns:mc="http://schemas.openxmlformats.org/markup-compatibility/2006">
      <mc:Choice Requires="x14">
        <oleObject progId="Equation.3" shapeId="3091" r:id="rId19">
          <objectPr defaultSize="0" autoPict="0" r:id="rId20">
            <anchor moveWithCells="1">
              <from>
                <xdr:col>1</xdr:col>
                <xdr:colOff>342900</xdr:colOff>
                <xdr:row>62</xdr:row>
                <xdr:rowOff>25400</xdr:rowOff>
              </from>
              <to>
                <xdr:col>1</xdr:col>
                <xdr:colOff>977900</xdr:colOff>
                <xdr:row>64</xdr:row>
                <xdr:rowOff>114300</xdr:rowOff>
              </to>
            </anchor>
          </objectPr>
        </oleObject>
      </mc:Choice>
      <mc:Fallback>
        <oleObject progId="Equation.3" shapeId="3091" r:id="rId19"/>
      </mc:Fallback>
    </mc:AlternateContent>
    <mc:AlternateContent xmlns:mc="http://schemas.openxmlformats.org/markup-compatibility/2006">
      <mc:Choice Requires="x14">
        <oleObject progId="Equation.3" shapeId="3087" r:id="rId21">
          <objectPr defaultSize="0" autoPict="0" r:id="rId22">
            <anchor moveWithCells="1">
              <from>
                <xdr:col>1</xdr:col>
                <xdr:colOff>25400</xdr:colOff>
                <xdr:row>52</xdr:row>
                <xdr:rowOff>152400</xdr:rowOff>
              </from>
              <to>
                <xdr:col>1</xdr:col>
                <xdr:colOff>1028700</xdr:colOff>
                <xdr:row>55</xdr:row>
                <xdr:rowOff>139700</xdr:rowOff>
              </to>
            </anchor>
          </objectPr>
        </oleObject>
      </mc:Choice>
      <mc:Fallback>
        <oleObject progId="Equation.3" shapeId="3087" r:id="rId21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60F7-280B-41F0-AABC-ADAA7950687A}">
  <dimension ref="A1:I36"/>
  <sheetViews>
    <sheetView zoomScaleNormal="100" workbookViewId="0">
      <selection activeCell="Q31" sqref="Q31"/>
    </sheetView>
  </sheetViews>
  <sheetFormatPr baseColWidth="10" defaultColWidth="15.83203125" defaultRowHeight="15" x14ac:dyDescent="0.2"/>
  <cols>
    <col min="6" max="6" width="15.1640625" bestFit="1" customWidth="1"/>
    <col min="7" max="7" width="13.5" bestFit="1" customWidth="1"/>
    <col min="8" max="8" width="15" bestFit="1" customWidth="1"/>
    <col min="9" max="9" width="15.1640625" bestFit="1" customWidth="1"/>
  </cols>
  <sheetData>
    <row r="1" spans="1:9" x14ac:dyDescent="0.2">
      <c r="A1" t="s">
        <v>13</v>
      </c>
    </row>
    <row r="2" spans="1:9" ht="16" thickBot="1" x14ac:dyDescent="0.25"/>
    <row r="3" spans="1:9" x14ac:dyDescent="0.2">
      <c r="A3" s="138" t="s">
        <v>14</v>
      </c>
      <c r="B3" s="138"/>
    </row>
    <row r="4" spans="1:9" x14ac:dyDescent="0.2">
      <c r="A4" t="s">
        <v>15</v>
      </c>
      <c r="B4">
        <v>0.99950488564226403</v>
      </c>
    </row>
    <row r="5" spans="1:9" x14ac:dyDescent="0.2">
      <c r="A5" t="s">
        <v>16</v>
      </c>
      <c r="B5">
        <v>0.99901001642275522</v>
      </c>
    </row>
    <row r="6" spans="1:9" x14ac:dyDescent="0.2">
      <c r="A6" t="s">
        <v>17</v>
      </c>
      <c r="B6">
        <v>0.99891101806503069</v>
      </c>
    </row>
    <row r="7" spans="1:9" x14ac:dyDescent="0.2">
      <c r="A7" t="s">
        <v>18</v>
      </c>
      <c r="B7">
        <v>0.15361046860484218</v>
      </c>
    </row>
    <row r="8" spans="1:9" ht="16" thickBot="1" x14ac:dyDescent="0.25">
      <c r="A8" s="23" t="s">
        <v>19</v>
      </c>
      <c r="B8" s="23">
        <v>12</v>
      </c>
    </row>
    <row r="10" spans="1:9" ht="16" thickBot="1" x14ac:dyDescent="0.25">
      <c r="A10" t="s">
        <v>20</v>
      </c>
    </row>
    <row r="11" spans="1:9" x14ac:dyDescent="0.2">
      <c r="A11" s="137"/>
      <c r="B11" s="137" t="s">
        <v>24</v>
      </c>
      <c r="C11" s="137" t="s">
        <v>25</v>
      </c>
      <c r="D11" s="137" t="s">
        <v>26</v>
      </c>
      <c r="E11" s="137" t="s">
        <v>27</v>
      </c>
      <c r="F11" s="137" t="s">
        <v>28</v>
      </c>
    </row>
    <row r="12" spans="1:9" x14ac:dyDescent="0.2">
      <c r="A12" t="s">
        <v>21</v>
      </c>
      <c r="B12">
        <v>1</v>
      </c>
      <c r="C12">
        <v>238.11320490601668</v>
      </c>
      <c r="D12">
        <v>238.11320490601668</v>
      </c>
      <c r="E12">
        <v>10091.177665825942</v>
      </c>
      <c r="F12">
        <v>2.3410988717378934E-16</v>
      </c>
    </row>
    <row r="13" spans="1:9" x14ac:dyDescent="0.2">
      <c r="A13" t="s">
        <v>22</v>
      </c>
      <c r="B13">
        <v>10</v>
      </c>
      <c r="C13">
        <v>0.23596176064999208</v>
      </c>
      <c r="D13">
        <v>2.3596176064999207E-2</v>
      </c>
    </row>
    <row r="14" spans="1:9" ht="16" thickBot="1" x14ac:dyDescent="0.25">
      <c r="A14" s="23" t="s">
        <v>9</v>
      </c>
      <c r="B14" s="23">
        <v>11</v>
      </c>
      <c r="C14" s="23">
        <v>238.34916666666666</v>
      </c>
      <c r="D14" s="23"/>
      <c r="E14" s="23"/>
      <c r="F14" s="23"/>
    </row>
    <row r="15" spans="1:9" ht="16" thickBot="1" x14ac:dyDescent="0.25"/>
    <row r="16" spans="1:9" x14ac:dyDescent="0.2">
      <c r="A16" s="137"/>
      <c r="B16" s="137" t="s">
        <v>29</v>
      </c>
      <c r="C16" s="137" t="s">
        <v>18</v>
      </c>
      <c r="D16" s="137" t="s">
        <v>30</v>
      </c>
      <c r="E16" s="137" t="s">
        <v>31</v>
      </c>
      <c r="F16" s="137" t="s">
        <v>32</v>
      </c>
      <c r="G16" s="137" t="s">
        <v>33</v>
      </c>
      <c r="H16" s="137" t="s">
        <v>34</v>
      </c>
      <c r="I16" s="137" t="s">
        <v>35</v>
      </c>
    </row>
    <row r="17" spans="1:9" x14ac:dyDescent="0.2">
      <c r="A17" t="s">
        <v>23</v>
      </c>
      <c r="B17">
        <v>-0.37954604748239618</v>
      </c>
      <c r="C17">
        <v>0.32331082616677315</v>
      </c>
      <c r="D17">
        <v>-1.1739354725060003</v>
      </c>
      <c r="E17">
        <v>0.26762098155853881</v>
      </c>
      <c r="F17">
        <v>-1.0999274605323639</v>
      </c>
      <c r="G17">
        <v>0.34083536556757166</v>
      </c>
      <c r="H17">
        <v>-1.0999274605323639</v>
      </c>
      <c r="I17">
        <v>0.34083536556757166</v>
      </c>
    </row>
    <row r="18" spans="1:9" ht="16" thickBot="1" x14ac:dyDescent="0.25">
      <c r="A18" s="23" t="s">
        <v>36</v>
      </c>
      <c r="B18" s="23">
        <v>0.81583802318214016</v>
      </c>
      <c r="C18" s="23">
        <v>8.1214395498171096E-3</v>
      </c>
      <c r="D18" s="23">
        <v>100.45485386891939</v>
      </c>
      <c r="E18" s="23">
        <v>2.3410988717378934E-16</v>
      </c>
      <c r="F18" s="23">
        <v>0.79774232818713475</v>
      </c>
      <c r="G18" s="23">
        <v>0.83393371817714557</v>
      </c>
      <c r="H18" s="23">
        <v>0.79774232818713475</v>
      </c>
      <c r="I18" s="23">
        <v>0.83393371817714557</v>
      </c>
    </row>
    <row r="22" spans="1:9" x14ac:dyDescent="0.2">
      <c r="A22" t="s">
        <v>37</v>
      </c>
      <c r="E22" t="s">
        <v>41</v>
      </c>
    </row>
    <row r="23" spans="1:9" ht="16" thickBot="1" x14ac:dyDescent="0.25"/>
    <row r="24" spans="1:9" x14ac:dyDescent="0.2">
      <c r="A24" s="137" t="s">
        <v>38</v>
      </c>
      <c r="B24" s="137" t="s">
        <v>39</v>
      </c>
      <c r="C24" s="137" t="s">
        <v>40</v>
      </c>
      <c r="E24" s="137" t="s">
        <v>42</v>
      </c>
      <c r="F24" s="137" t="s">
        <v>43</v>
      </c>
    </row>
    <row r="25" spans="1:9" x14ac:dyDescent="0.2">
      <c r="A25">
        <v>1</v>
      </c>
      <c r="B25">
        <v>24.014010845663595</v>
      </c>
      <c r="C25">
        <v>0.18598915433640428</v>
      </c>
      <c r="E25">
        <v>4.166666666666667</v>
      </c>
      <c r="F25">
        <v>24.2</v>
      </c>
    </row>
    <row r="26" spans="1:9" x14ac:dyDescent="0.2">
      <c r="A26">
        <v>2</v>
      </c>
      <c r="B26">
        <v>24.421929857254664</v>
      </c>
      <c r="C26">
        <v>-0.12192985725466343</v>
      </c>
      <c r="E26">
        <v>12.5</v>
      </c>
      <c r="F26">
        <v>24.3</v>
      </c>
    </row>
    <row r="27" spans="1:9" x14ac:dyDescent="0.2">
      <c r="A27">
        <v>3</v>
      </c>
      <c r="B27">
        <v>30.132796019529646</v>
      </c>
      <c r="C27">
        <v>-3.2796019529644838E-2</v>
      </c>
      <c r="E27">
        <v>20.833333333333336</v>
      </c>
      <c r="F27">
        <v>30.1</v>
      </c>
    </row>
    <row r="28" spans="1:9" x14ac:dyDescent="0.2">
      <c r="A28">
        <v>4</v>
      </c>
      <c r="B28">
        <v>30.459131228802498</v>
      </c>
      <c r="C28">
        <v>4.0868771197501985E-2</v>
      </c>
      <c r="E28">
        <v>29.166666666666668</v>
      </c>
      <c r="F28">
        <v>30.5</v>
      </c>
    </row>
    <row r="29" spans="1:9" x14ac:dyDescent="0.2">
      <c r="A29">
        <v>5</v>
      </c>
      <c r="B29">
        <v>31.27496925198464</v>
      </c>
      <c r="C29">
        <v>2.5030748015360871E-2</v>
      </c>
      <c r="E29">
        <v>37.5</v>
      </c>
      <c r="F29">
        <v>31.3</v>
      </c>
    </row>
    <row r="30" spans="1:9" x14ac:dyDescent="0.2">
      <c r="A30">
        <v>6</v>
      </c>
      <c r="B30">
        <v>31.356553054302854</v>
      </c>
      <c r="C30">
        <v>4.3446945697144912E-2</v>
      </c>
      <c r="E30">
        <v>45.833333333333336</v>
      </c>
      <c r="F30">
        <v>31.4</v>
      </c>
    </row>
    <row r="31" spans="1:9" x14ac:dyDescent="0.2">
      <c r="A31">
        <v>7</v>
      </c>
      <c r="B31">
        <v>31.764472065893923</v>
      </c>
      <c r="C31">
        <v>-0.16447206589392138</v>
      </c>
      <c r="E31">
        <v>54.166666666666664</v>
      </c>
      <c r="F31">
        <v>31.6</v>
      </c>
    </row>
    <row r="32" spans="1:9" x14ac:dyDescent="0.2">
      <c r="A32">
        <v>8</v>
      </c>
      <c r="B32">
        <v>32.417142484439637</v>
      </c>
      <c r="C32">
        <v>-0.31714248443963555</v>
      </c>
      <c r="E32">
        <v>62.5</v>
      </c>
      <c r="F32">
        <v>32.1</v>
      </c>
    </row>
    <row r="33" spans="1:6" x14ac:dyDescent="0.2">
      <c r="A33">
        <v>9</v>
      </c>
      <c r="B33">
        <v>33.559315716894631</v>
      </c>
      <c r="C33">
        <v>0.14068428310537229</v>
      </c>
      <c r="E33">
        <v>70.833333333333343</v>
      </c>
      <c r="F33">
        <v>33.700000000000003</v>
      </c>
    </row>
    <row r="34" spans="1:6" x14ac:dyDescent="0.2">
      <c r="A34">
        <v>10</v>
      </c>
      <c r="B34">
        <v>33.640899519212851</v>
      </c>
      <c r="C34">
        <v>0.15910048078714567</v>
      </c>
      <c r="E34">
        <v>79.166666666666671</v>
      </c>
      <c r="F34">
        <v>33.799999999999997</v>
      </c>
    </row>
    <row r="35" spans="1:6" x14ac:dyDescent="0.2">
      <c r="A35">
        <v>11</v>
      </c>
      <c r="B35">
        <v>38.617511460623902</v>
      </c>
      <c r="C35">
        <v>8.2488539376100789E-2</v>
      </c>
      <c r="E35">
        <v>87.500000000000014</v>
      </c>
      <c r="F35">
        <v>38.700000000000003</v>
      </c>
    </row>
    <row r="36" spans="1:6" ht="16" thickBot="1" x14ac:dyDescent="0.25">
      <c r="A36" s="23">
        <v>12</v>
      </c>
      <c r="B36" s="23">
        <v>39.841268495397117</v>
      </c>
      <c r="C36" s="23">
        <v>-4.1268495397119409E-2</v>
      </c>
      <c r="E36" s="23">
        <v>95.833333333333343</v>
      </c>
      <c r="F36" s="23">
        <v>39.799999999999997</v>
      </c>
    </row>
  </sheetData>
  <sortState xmlns:xlrd2="http://schemas.microsoft.com/office/spreadsheetml/2017/richdata2" ref="F25:F36">
    <sortCondition ref="F2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0E643-1910-45B0-BE30-13FB98125188}">
  <dimension ref="A1:Q95"/>
  <sheetViews>
    <sheetView topLeftCell="A71" zoomScale="165" zoomScaleNormal="100" workbookViewId="0">
      <selection activeCell="I92" sqref="I92"/>
    </sheetView>
  </sheetViews>
  <sheetFormatPr baseColWidth="10" defaultColWidth="8.83203125" defaultRowHeight="15" x14ac:dyDescent="0.2"/>
  <cols>
    <col min="1" max="1" width="11.5" bestFit="1" customWidth="1"/>
    <col min="2" max="2" width="14.33203125" bestFit="1" customWidth="1"/>
    <col min="3" max="3" width="13.6640625" customWidth="1"/>
    <col min="4" max="4" width="19.1640625" customWidth="1"/>
    <col min="5" max="5" width="16.6640625" bestFit="1" customWidth="1"/>
    <col min="6" max="6" width="16.33203125" bestFit="1" customWidth="1"/>
    <col min="7" max="7" width="10.5" bestFit="1" customWidth="1"/>
    <col min="8" max="8" width="10.83203125" bestFit="1" customWidth="1"/>
    <col min="9" max="9" width="11.83203125" bestFit="1" customWidth="1"/>
    <col min="10" max="10" width="12.83203125" bestFit="1" customWidth="1"/>
    <col min="11" max="11" width="14.6640625" bestFit="1" customWidth="1"/>
    <col min="12" max="12" width="9.5" customWidth="1"/>
    <col min="13" max="13" width="14.6640625" bestFit="1" customWidth="1"/>
    <col min="14" max="14" width="12.1640625" bestFit="1" customWidth="1"/>
    <col min="16" max="16" width="12.6640625" customWidth="1"/>
    <col min="17" max="17" width="12.33203125" bestFit="1" customWidth="1"/>
  </cols>
  <sheetData>
    <row r="1" spans="1:17" ht="20" thickBot="1" x14ac:dyDescent="0.3">
      <c r="B1" s="11" t="s">
        <v>7</v>
      </c>
      <c r="C1" s="12" t="s">
        <v>8</v>
      </c>
      <c r="D1" s="11" t="s">
        <v>57</v>
      </c>
      <c r="E1" s="12" t="s">
        <v>43</v>
      </c>
      <c r="F1" s="12" t="s">
        <v>58</v>
      </c>
      <c r="G1" s="46" t="s">
        <v>59</v>
      </c>
      <c r="H1" s="12" t="s">
        <v>60</v>
      </c>
      <c r="I1" s="12"/>
      <c r="J1" s="12"/>
      <c r="O1" s="67" t="s">
        <v>63</v>
      </c>
      <c r="Q1" s="44" t="s">
        <v>64</v>
      </c>
    </row>
    <row r="2" spans="1:17" ht="16" x14ac:dyDescent="0.2">
      <c r="B2" s="123">
        <v>29.9</v>
      </c>
      <c r="C2" s="124">
        <v>24.2</v>
      </c>
      <c r="D2" s="9">
        <f>LOG(B2)</f>
        <v>1.4756711883244296</v>
      </c>
      <c r="E2" s="10">
        <f>LOG(C2)</f>
        <v>1.3838153659804313</v>
      </c>
      <c r="F2" s="10">
        <f>D2^2</f>
        <v>2.1776054560508342</v>
      </c>
      <c r="G2" s="10">
        <f>E2^2</f>
        <v>1.914944967123555</v>
      </c>
      <c r="H2" s="10">
        <f>D2*E2</f>
        <v>2.0420564655379483</v>
      </c>
      <c r="I2" s="65">
        <f>$D$30*B2^$D$25</f>
        <v>24.029887817452565</v>
      </c>
      <c r="J2" s="65">
        <f>C2-I2</f>
        <v>0.17011218254743454</v>
      </c>
      <c r="K2" s="68">
        <f>J2^2</f>
        <v>2.8938154651051692E-2</v>
      </c>
      <c r="L2" s="35">
        <f>C2-$C$15</f>
        <v>-7.5916666666666686</v>
      </c>
      <c r="M2" s="35">
        <f>L2^2</f>
        <v>57.633402777777803</v>
      </c>
      <c r="N2" s="71">
        <f>(D2-$D$15)^2</f>
        <v>1.3434002200847525E-2</v>
      </c>
      <c r="O2" s="127">
        <f>ABS(J2/C2)</f>
        <v>7.0294290308857248E-3</v>
      </c>
      <c r="P2" s="68">
        <f>$D$28+$D$25*D2</f>
        <v>1.3807517433226251</v>
      </c>
      <c r="Q2" s="72">
        <f>(E2-P2)^2</f>
        <v>9.3857837894237828E-6</v>
      </c>
    </row>
    <row r="3" spans="1:17" ht="16" x14ac:dyDescent="0.2">
      <c r="B3" s="125">
        <v>30.4</v>
      </c>
      <c r="C3" s="126">
        <v>24.3</v>
      </c>
      <c r="D3" s="9">
        <f t="shared" ref="D3:D13" si="0">LOG(B3)</f>
        <v>1.4828735836087537</v>
      </c>
      <c r="E3" s="10">
        <f t="shared" ref="E3:E13" si="1">LOG(C3)</f>
        <v>1.3856062735983121</v>
      </c>
      <c r="F3" s="10">
        <f t="shared" ref="F3:F12" si="2">D3^2</f>
        <v>2.1989140649646672</v>
      </c>
      <c r="G3" s="10">
        <f t="shared" ref="G3:G13" si="3">E3^2</f>
        <v>1.9199047454350007</v>
      </c>
      <c r="H3" s="10">
        <f t="shared" ref="H3:H13" si="4">D3*E3</f>
        <v>2.0546789404015002</v>
      </c>
      <c r="I3" s="65">
        <f>$D$30*B3^$D$25</f>
        <v>24.436157314044721</v>
      </c>
      <c r="J3" s="65">
        <f t="shared" ref="J3:J13" si="5">C3-I3</f>
        <v>-0.13615731404471987</v>
      </c>
      <c r="K3" s="68">
        <f t="shared" ref="K3:K13" si="6">J3^2</f>
        <v>1.853881416787247E-2</v>
      </c>
      <c r="L3" s="35">
        <f t="shared" ref="L3:L13" si="7">C3-$C$15</f>
        <v>-7.4916666666666671</v>
      </c>
      <c r="M3" s="35">
        <f>L3^2</f>
        <v>56.125069444444449</v>
      </c>
      <c r="N3" s="71">
        <f t="shared" ref="N3:N13" si="8">(D3-$D$15)^2</f>
        <v>1.1816287386257349E-2</v>
      </c>
      <c r="O3" s="127">
        <f t="shared" ref="O3:O13" si="9">ABS(J3/C3)</f>
        <v>5.6031816479308588E-3</v>
      </c>
      <c r="P3" s="68">
        <f t="shared" ref="P3:P13" si="10">$D$28+$D$25*D3</f>
        <v>1.3880329123513466</v>
      </c>
      <c r="Q3" s="72">
        <f t="shared" ref="Q3:Q13" si="11">(E3-P3)^2</f>
        <v>5.8885756377288552E-6</v>
      </c>
    </row>
    <row r="4" spans="1:17" ht="16" x14ac:dyDescent="0.2">
      <c r="B4" s="125">
        <v>37.4</v>
      </c>
      <c r="C4" s="126">
        <v>30.1</v>
      </c>
      <c r="D4" s="9">
        <f t="shared" si="0"/>
        <v>1.5728716022004801</v>
      </c>
      <c r="E4" s="10">
        <f t="shared" si="1"/>
        <v>1.4785664955938433</v>
      </c>
      <c r="F4" s="10">
        <f t="shared" si="2"/>
        <v>2.4739250770087051</v>
      </c>
      <c r="G4" s="10">
        <f t="shared" si="3"/>
        <v>2.1861588818926587</v>
      </c>
      <c r="H4" s="10">
        <f t="shared" si="4"/>
        <v>2.3255952528846375</v>
      </c>
      <c r="I4" s="65">
        <f t="shared" ref="I4:I13" si="12">$D$30*B4^$D$25</f>
        <v>30.131118510358093</v>
      </c>
      <c r="J4" s="65">
        <f t="shared" si="5"/>
        <v>-3.11185103580911E-2</v>
      </c>
      <c r="K4" s="68">
        <f t="shared" si="6"/>
        <v>9.683616869066231E-4</v>
      </c>
      <c r="L4" s="35">
        <f t="shared" si="7"/>
        <v>-1.6916666666666664</v>
      </c>
      <c r="M4" s="35">
        <f t="shared" ref="M4:M12" si="13">L4^2</f>
        <v>2.8617361111111101</v>
      </c>
      <c r="N4" s="71">
        <f t="shared" si="8"/>
        <v>3.4986689595710289E-4</v>
      </c>
      <c r="O4" s="127">
        <f t="shared" si="9"/>
        <v>1.0338375534249536E-3</v>
      </c>
      <c r="P4" s="68">
        <f t="shared" si="10"/>
        <v>1.4790152536069865</v>
      </c>
      <c r="Q4" s="72">
        <f t="shared" si="11"/>
        <v>2.013837543601847E-7</v>
      </c>
    </row>
    <row r="5" spans="1:17" ht="16" x14ac:dyDescent="0.2">
      <c r="B5" s="125">
        <v>37.799999999999997</v>
      </c>
      <c r="C5" s="126">
        <v>30.5</v>
      </c>
      <c r="D5" s="9">
        <f t="shared" si="0"/>
        <v>1.5774917998372253</v>
      </c>
      <c r="E5" s="10">
        <f t="shared" si="1"/>
        <v>1.4842998393467859</v>
      </c>
      <c r="F5" s="10">
        <f t="shared" si="2"/>
        <v>2.4884803785536884</v>
      </c>
      <c r="G5" s="10">
        <f t="shared" si="3"/>
        <v>2.2031460130848943</v>
      </c>
      <c r="H5" s="10">
        <f t="shared" si="4"/>
        <v>2.3414708250692655</v>
      </c>
      <c r="I5" s="65">
        <f t="shared" si="12"/>
        <v>30.456920036258719</v>
      </c>
      <c r="J5" s="65">
        <f t="shared" si="5"/>
        <v>4.3079963741281091E-2</v>
      </c>
      <c r="K5" s="68">
        <f t="shared" si="6"/>
        <v>1.8558832759500935E-3</v>
      </c>
      <c r="L5" s="35">
        <f t="shared" si="7"/>
        <v>-1.2916666666666679</v>
      </c>
      <c r="M5" s="35">
        <f t="shared" si="13"/>
        <v>1.6684027777777808</v>
      </c>
      <c r="N5" s="71">
        <f t="shared" si="8"/>
        <v>1.9837403049467153E-4</v>
      </c>
      <c r="O5" s="127">
        <f t="shared" si="9"/>
        <v>1.4124578275829865E-3</v>
      </c>
      <c r="P5" s="68">
        <f t="shared" si="10"/>
        <v>1.4836859830811739</v>
      </c>
      <c r="Q5" s="72">
        <f t="shared" si="11"/>
        <v>3.7681951483104286E-7</v>
      </c>
    </row>
    <row r="6" spans="1:17" ht="16" x14ac:dyDescent="0.2">
      <c r="B6" s="125">
        <v>38.799999999999997</v>
      </c>
      <c r="C6" s="126">
        <v>31.3</v>
      </c>
      <c r="D6" s="9">
        <f t="shared" si="0"/>
        <v>1.5888317255942073</v>
      </c>
      <c r="E6" s="10">
        <f t="shared" si="1"/>
        <v>1.4955443375464486</v>
      </c>
      <c r="F6" s="10">
        <f t="shared" si="2"/>
        <v>2.5243862522546663</v>
      </c>
      <c r="G6" s="10">
        <f t="shared" si="3"/>
        <v>2.2366528655672457</v>
      </c>
      <c r="H6" s="10">
        <f t="shared" si="4"/>
        <v>2.3761682905265693</v>
      </c>
      <c r="I6" s="65">
        <f t="shared" si="12"/>
        <v>31.271587981005702</v>
      </c>
      <c r="J6" s="66">
        <f>C6-I6</f>
        <v>2.8412018994298904E-2</v>
      </c>
      <c r="K6" s="68">
        <f t="shared" si="6"/>
        <v>8.0724282333240172E-4</v>
      </c>
      <c r="L6" s="35">
        <f t="shared" si="7"/>
        <v>-0.49166666666666714</v>
      </c>
      <c r="M6" s="35">
        <f t="shared" si="13"/>
        <v>0.24173611111111157</v>
      </c>
      <c r="N6" s="71">
        <f t="shared" si="8"/>
        <v>7.5328612536532795E-6</v>
      </c>
      <c r="O6" s="127">
        <f t="shared" si="9"/>
        <v>9.0773223623958157E-4</v>
      </c>
      <c r="P6" s="68">
        <f t="shared" si="10"/>
        <v>1.4951499354123445</v>
      </c>
      <c r="Q6" s="72">
        <f t="shared" si="11"/>
        <v>1.5555304338580663E-7</v>
      </c>
    </row>
    <row r="7" spans="1:17" ht="16" x14ac:dyDescent="0.2">
      <c r="B7" s="125">
        <v>38.9</v>
      </c>
      <c r="C7" s="126">
        <v>31.4</v>
      </c>
      <c r="D7" s="9">
        <f t="shared" si="0"/>
        <v>1.5899496013257077</v>
      </c>
      <c r="E7" s="10">
        <f t="shared" si="1"/>
        <v>1.4969296480732148</v>
      </c>
      <c r="F7" s="10">
        <f t="shared" si="2"/>
        <v>2.527939734755777</v>
      </c>
      <c r="G7" s="10">
        <f t="shared" si="3"/>
        <v>2.240798371280599</v>
      </c>
      <c r="H7" s="10">
        <f t="shared" si="4"/>
        <v>2.38004269716664</v>
      </c>
      <c r="I7" s="65">
        <f t="shared" si="12"/>
        <v>31.35306750552234</v>
      </c>
      <c r="J7" s="65">
        <f>C7-I7</f>
        <v>4.6932494477658793E-2</v>
      </c>
      <c r="K7" s="68">
        <f t="shared" si="6"/>
        <v>2.2026590378954733E-3</v>
      </c>
      <c r="L7" s="35">
        <f t="shared" si="7"/>
        <v>-0.39166666666666927</v>
      </c>
      <c r="M7" s="35">
        <f t="shared" si="13"/>
        <v>0.15340277777777983</v>
      </c>
      <c r="N7" s="71">
        <f t="shared" si="8"/>
        <v>2.6462508676458086E-6</v>
      </c>
      <c r="O7" s="127">
        <f t="shared" si="9"/>
        <v>1.4946654292248025E-3</v>
      </c>
      <c r="P7" s="68">
        <f t="shared" si="10"/>
        <v>1.4962800375287719</v>
      </c>
      <c r="Q7" s="72">
        <f t="shared" si="11"/>
        <v>4.2199385945140398E-7</v>
      </c>
    </row>
    <row r="8" spans="1:17" ht="16" x14ac:dyDescent="0.2">
      <c r="B8" s="125">
        <v>39.4</v>
      </c>
      <c r="C8" s="126">
        <v>31.6</v>
      </c>
      <c r="D8" s="9">
        <f t="shared" si="0"/>
        <v>1.5954962218255742</v>
      </c>
      <c r="E8" s="10">
        <f t="shared" si="1"/>
        <v>1.4996870826184039</v>
      </c>
      <c r="F8" s="10">
        <f t="shared" si="2"/>
        <v>2.5456081938596817</v>
      </c>
      <c r="G8" s="10">
        <f t="shared" si="3"/>
        <v>2.2490613457724993</v>
      </c>
      <c r="H8" s="10">
        <f t="shared" si="4"/>
        <v>2.392745074238281</v>
      </c>
      <c r="I8" s="65">
        <f t="shared" si="12"/>
        <v>31.760499376153732</v>
      </c>
      <c r="J8" s="65">
        <f t="shared" si="5"/>
        <v>-0.16049937615373011</v>
      </c>
      <c r="K8" s="68">
        <f t="shared" si="6"/>
        <v>2.5760049745736549E-2</v>
      </c>
      <c r="L8" s="35">
        <f t="shared" si="7"/>
        <v>-0.19166666666666643</v>
      </c>
      <c r="M8" s="35">
        <f t="shared" si="13"/>
        <v>3.6736111111111018E-2</v>
      </c>
      <c r="N8" s="71">
        <f t="shared" si="8"/>
        <v>1.536554062792754E-5</v>
      </c>
      <c r="O8" s="127">
        <f t="shared" si="9"/>
        <v>5.0790941820800664E-3</v>
      </c>
      <c r="P8" s="68">
        <f t="shared" si="10"/>
        <v>1.501887322300492</v>
      </c>
      <c r="Q8" s="72">
        <f t="shared" si="11"/>
        <v>4.8410546586353922E-6</v>
      </c>
    </row>
    <row r="9" spans="1:17" ht="16" x14ac:dyDescent="0.2">
      <c r="B9" s="125">
        <v>40.200000000000003</v>
      </c>
      <c r="C9" s="126">
        <v>32.1</v>
      </c>
      <c r="D9" s="9">
        <f t="shared" si="0"/>
        <v>1.6042260530844701</v>
      </c>
      <c r="E9" s="10">
        <f t="shared" si="1"/>
        <v>1.5065050324048721</v>
      </c>
      <c r="F9" s="10">
        <f t="shared" si="2"/>
        <v>2.5735412293949769</v>
      </c>
      <c r="G9" s="10">
        <f t="shared" si="3"/>
        <v>2.2695574126612046</v>
      </c>
      <c r="H9" s="10">
        <f t="shared" si="4"/>
        <v>2.4167746220867596</v>
      </c>
      <c r="I9" s="65">
        <f t="shared" si="12"/>
        <v>32.412507712297391</v>
      </c>
      <c r="J9" s="65">
        <f t="shared" si="5"/>
        <v>-0.31250771229738916</v>
      </c>
      <c r="K9" s="68">
        <f t="shared" si="6"/>
        <v>9.7661070245347759E-2</v>
      </c>
      <c r="L9" s="35">
        <f t="shared" si="7"/>
        <v>0.30833333333333357</v>
      </c>
      <c r="M9" s="35">
        <f t="shared" si="13"/>
        <v>9.5069444444444595E-2</v>
      </c>
      <c r="N9" s="71">
        <f t="shared" si="8"/>
        <v>1.6001545766002043E-4</v>
      </c>
      <c r="O9" s="127">
        <f t="shared" si="9"/>
        <v>9.735442750697482E-3</v>
      </c>
      <c r="P9" s="68">
        <f t="shared" si="10"/>
        <v>1.5107126331143241</v>
      </c>
      <c r="Q9" s="72">
        <f t="shared" si="11"/>
        <v>1.7703903730181232E-5</v>
      </c>
    </row>
    <row r="10" spans="1:17" ht="16" x14ac:dyDescent="0.2">
      <c r="B10" s="125">
        <v>41.6</v>
      </c>
      <c r="C10" s="126">
        <v>33.700000000000003</v>
      </c>
      <c r="D10" s="9">
        <f t="shared" si="0"/>
        <v>1.6190933306267428</v>
      </c>
      <c r="E10" s="10">
        <f t="shared" si="1"/>
        <v>1.5276299008713388</v>
      </c>
      <c r="F10" s="10">
        <f t="shared" si="2"/>
        <v>2.6214632132799989</v>
      </c>
      <c r="G10" s="10">
        <f t="shared" si="3"/>
        <v>2.3336531140361765</v>
      </c>
      <c r="H10" s="10">
        <f t="shared" si="4"/>
        <v>2.4733753841667769</v>
      </c>
      <c r="I10" s="65">
        <f t="shared" si="12"/>
        <v>33.55386218567196</v>
      </c>
      <c r="J10" s="65">
        <f t="shared" si="5"/>
        <v>0.14613781432804274</v>
      </c>
      <c r="K10" s="68">
        <f t="shared" si="6"/>
        <v>2.1356260776577492E-2</v>
      </c>
      <c r="L10" s="35">
        <f t="shared" si="7"/>
        <v>1.908333333333335</v>
      </c>
      <c r="M10" s="35">
        <f t="shared" si="13"/>
        <v>3.6417361111111175</v>
      </c>
      <c r="N10" s="71">
        <f t="shared" si="8"/>
        <v>7.5718524419413915E-4</v>
      </c>
      <c r="O10" s="127">
        <f t="shared" si="9"/>
        <v>4.3364336595858371E-3</v>
      </c>
      <c r="P10" s="68">
        <f t="shared" si="10"/>
        <v>1.5257425164390856</v>
      </c>
      <c r="Q10" s="72">
        <f t="shared" si="11"/>
        <v>3.56221999511141E-6</v>
      </c>
    </row>
    <row r="11" spans="1:17" ht="16" x14ac:dyDescent="0.2">
      <c r="B11" s="125">
        <v>41.7</v>
      </c>
      <c r="C11" s="126">
        <v>33.799999999999997</v>
      </c>
      <c r="D11" s="9">
        <f t="shared" si="0"/>
        <v>1.6201360549737576</v>
      </c>
      <c r="E11" s="10">
        <f t="shared" si="1"/>
        <v>1.5289167002776547</v>
      </c>
      <c r="F11" s="10">
        <f t="shared" si="2"/>
        <v>2.6248408366259306</v>
      </c>
      <c r="G11" s="10">
        <f t="shared" si="3"/>
        <v>2.3375862763879116</v>
      </c>
      <c r="H11" s="10">
        <f t="shared" si="4"/>
        <v>2.4770530711713343</v>
      </c>
      <c r="I11" s="65">
        <f t="shared" si="12"/>
        <v>33.635403752206742</v>
      </c>
      <c r="J11" s="65">
        <f t="shared" si="5"/>
        <v>0.16459624779325566</v>
      </c>
      <c r="K11" s="68">
        <f t="shared" si="6"/>
        <v>2.7091924787618817E-2</v>
      </c>
      <c r="L11" s="35">
        <f t="shared" si="7"/>
        <v>2.0083333333333293</v>
      </c>
      <c r="M11" s="35">
        <f t="shared" si="13"/>
        <v>4.0334027777777619</v>
      </c>
      <c r="N11" s="71">
        <f t="shared" si="8"/>
        <v>8.1565780827374374E-4</v>
      </c>
      <c r="O11" s="127">
        <f t="shared" si="9"/>
        <v>4.869711473173245E-3</v>
      </c>
      <c r="P11" s="68">
        <f t="shared" si="10"/>
        <v>1.5267966452283652</v>
      </c>
      <c r="Q11" s="72">
        <f t="shared" si="11"/>
        <v>4.4946334120177815E-6</v>
      </c>
    </row>
    <row r="12" spans="1:17" ht="16" x14ac:dyDescent="0.2">
      <c r="B12" s="125">
        <v>47.8</v>
      </c>
      <c r="C12" s="126">
        <v>38.700000000000003</v>
      </c>
      <c r="D12" s="9">
        <f t="shared" si="0"/>
        <v>1.6794278966121188</v>
      </c>
      <c r="E12" s="10">
        <f t="shared" si="1"/>
        <v>1.5877109650189114</v>
      </c>
      <c r="F12" s="10">
        <f t="shared" si="2"/>
        <v>2.8204780599190054</v>
      </c>
      <c r="G12" s="10">
        <f t="shared" si="3"/>
        <v>2.5208261084412831</v>
      </c>
      <c r="H12" s="10">
        <f t="shared" si="4"/>
        <v>2.6664460864097075</v>
      </c>
      <c r="I12" s="65">
        <f t="shared" si="12"/>
        <v>38.613304619624145</v>
      </c>
      <c r="J12" s="65">
        <f t="shared" si="5"/>
        <v>8.6695380375857667E-2</v>
      </c>
      <c r="K12" s="68">
        <f t="shared" si="6"/>
        <v>7.5160889785146467E-3</v>
      </c>
      <c r="L12" s="35">
        <f t="shared" si="7"/>
        <v>6.908333333333335</v>
      </c>
      <c r="M12" s="35">
        <f t="shared" si="13"/>
        <v>47.725069444444465</v>
      </c>
      <c r="N12" s="71">
        <f t="shared" si="8"/>
        <v>7.7178975030343933E-3</v>
      </c>
      <c r="O12" s="127">
        <f t="shared" si="9"/>
        <v>2.2401907073865026E-3</v>
      </c>
      <c r="P12" s="68">
        <f t="shared" si="10"/>
        <v>1.5867369711825263</v>
      </c>
      <c r="Q12" s="72">
        <f t="shared" si="11"/>
        <v>9.4866399331612334E-7</v>
      </c>
    </row>
    <row r="13" spans="1:17" ht="17" thickBot="1" x14ac:dyDescent="0.25">
      <c r="B13" s="125">
        <v>49.3</v>
      </c>
      <c r="C13" s="126">
        <v>39.799999999999997</v>
      </c>
      <c r="D13" s="9">
        <f t="shared" si="0"/>
        <v>1.69284691927723</v>
      </c>
      <c r="E13" s="10">
        <f t="shared" si="1"/>
        <v>1.5998830720736879</v>
      </c>
      <c r="F13" s="10">
        <f>D13^2</f>
        <v>2.8657306921064083</v>
      </c>
      <c r="G13" s="10">
        <f t="shared" si="3"/>
        <v>2.5596258443079409</v>
      </c>
      <c r="H13" s="10">
        <f t="shared" si="4"/>
        <v>2.708357129763733</v>
      </c>
      <c r="I13" s="65">
        <f t="shared" si="12"/>
        <v>39.838479987935294</v>
      </c>
      <c r="J13" s="65">
        <f t="shared" si="5"/>
        <v>-3.8479987935296833E-2</v>
      </c>
      <c r="K13" s="68">
        <f t="shared" si="6"/>
        <v>1.4807094715005898E-3</v>
      </c>
      <c r="L13" s="35">
        <f t="shared" si="7"/>
        <v>8.0083333333333293</v>
      </c>
      <c r="M13" s="35">
        <f>L13^2</f>
        <v>64.133402777777718</v>
      </c>
      <c r="N13" s="71">
        <f t="shared" si="8"/>
        <v>1.0255731960717544E-2</v>
      </c>
      <c r="O13" s="127">
        <f t="shared" si="9"/>
        <v>9.6683386772102606E-4</v>
      </c>
      <c r="P13" s="68">
        <f t="shared" si="10"/>
        <v>1.6003027598358619</v>
      </c>
      <c r="Q13" s="72">
        <f t="shared" si="11"/>
        <v>1.761378177186603E-7</v>
      </c>
    </row>
    <row r="14" spans="1:17" ht="20" thickBot="1" x14ac:dyDescent="0.25">
      <c r="A14" s="7" t="s">
        <v>9</v>
      </c>
      <c r="B14" s="25">
        <f>SUM(B2:B13)</f>
        <v>473.20000000000005</v>
      </c>
      <c r="C14" s="26">
        <f>SUM(C2:C13)</f>
        <v>381.5</v>
      </c>
      <c r="D14" s="26">
        <f t="shared" ref="D14:G14" si="14">SUM(D2:D13)</f>
        <v>19.098915977290698</v>
      </c>
      <c r="E14" s="26">
        <f t="shared" si="14"/>
        <v>17.975094713403905</v>
      </c>
      <c r="F14" s="26">
        <f t="shared" si="14"/>
        <v>30.442913188774337</v>
      </c>
      <c r="G14" s="26">
        <f t="shared" si="14"/>
        <v>26.971915945990968</v>
      </c>
      <c r="H14" s="26">
        <f t="shared" ref="H14:J14" si="15">SUM(H2:H13)</f>
        <v>28.654763839423151</v>
      </c>
      <c r="I14" s="26">
        <f t="shared" si="15"/>
        <v>381.4927967985314</v>
      </c>
      <c r="J14" s="26">
        <f t="shared" si="15"/>
        <v>7.203201468602316E-3</v>
      </c>
      <c r="K14" s="26">
        <f t="shared" ref="K14" si="16">SUM(K2:K13)</f>
        <v>0.2341772196483046</v>
      </c>
      <c r="L14" s="26">
        <f>SUM(L2:L13)</f>
        <v>0</v>
      </c>
      <c r="M14" s="26">
        <f>SUM(M2:M13)</f>
        <v>238.34916666666666</v>
      </c>
      <c r="N14" s="73">
        <f>SUM(N2:N13)</f>
        <v>4.5530563140185713E-2</v>
      </c>
      <c r="O14" s="128">
        <f t="shared" ref="O14:P14" si="17">SUM(O2:O13)</f>
        <v>4.4709010365933062E-2</v>
      </c>
      <c r="P14" s="26">
        <f t="shared" si="17"/>
        <v>17.975094713403905</v>
      </c>
      <c r="Q14" s="74">
        <f>SUM(Q2:Q13)</f>
        <v>4.8156723206161689E-5</v>
      </c>
    </row>
    <row r="15" spans="1:17" ht="20" thickBot="1" x14ac:dyDescent="0.25">
      <c r="A15" s="7" t="s">
        <v>10</v>
      </c>
      <c r="B15" s="151">
        <f>AVERAGE(B2:B13)</f>
        <v>39.433333333333337</v>
      </c>
      <c r="C15" s="19">
        <f t="shared" ref="C15:H15" si="18">AVERAGE(C2:C13)</f>
        <v>31.791666666666668</v>
      </c>
      <c r="D15" s="19">
        <f t="shared" si="18"/>
        <v>1.5915763314408915</v>
      </c>
      <c r="E15" s="19">
        <f t="shared" si="18"/>
        <v>1.4979245594503254</v>
      </c>
      <c r="F15" s="19">
        <f t="shared" si="18"/>
        <v>2.5369094323978616</v>
      </c>
      <c r="G15" s="19">
        <f t="shared" si="18"/>
        <v>2.2476596621659142</v>
      </c>
      <c r="H15" s="19">
        <f t="shared" si="18"/>
        <v>2.3878969866185957</v>
      </c>
      <c r="I15" s="19"/>
      <c r="J15" s="35"/>
      <c r="L15" s="35"/>
    </row>
    <row r="16" spans="1:17" ht="30.75" customHeight="1" thickBot="1" x14ac:dyDescent="0.25">
      <c r="A16" s="16" t="s">
        <v>11</v>
      </c>
      <c r="B16" s="149"/>
      <c r="C16" s="152"/>
      <c r="D16" s="153">
        <f>SQRT(D17)</f>
        <v>6.1597188207052789E-2</v>
      </c>
      <c r="E16" s="59">
        <f>SQRT(E17)</f>
        <v>6.2303100737143395E-2</v>
      </c>
      <c r="J16" s="35"/>
    </row>
    <row r="17" spans="1:17" ht="29" customHeight="1" thickBot="1" x14ac:dyDescent="0.25">
      <c r="A17" s="17" t="s">
        <v>12</v>
      </c>
      <c r="B17" s="150"/>
      <c r="C17" s="154"/>
      <c r="D17" s="62">
        <f>F15-D15^2</f>
        <v>3.7942135950150835E-3</v>
      </c>
      <c r="E17" s="60">
        <f>G15-E15^2</f>
        <v>3.8816763614626382E-3</v>
      </c>
      <c r="J17" s="35"/>
      <c r="Q17" s="38"/>
    </row>
    <row r="18" spans="1:17" x14ac:dyDescent="0.2">
      <c r="O18" s="120"/>
      <c r="P18" s="35"/>
    </row>
    <row r="19" spans="1:17" x14ac:dyDescent="0.2">
      <c r="A19" s="162" t="s">
        <v>62</v>
      </c>
      <c r="B19" s="163"/>
      <c r="C19" s="163"/>
      <c r="H19" s="118"/>
      <c r="I19" s="119"/>
      <c r="M19" s="35"/>
    </row>
    <row r="20" spans="1:17" x14ac:dyDescent="0.2">
      <c r="A20" s="163"/>
      <c r="B20" s="163"/>
      <c r="C20" s="163"/>
      <c r="H20" s="35"/>
      <c r="I20" s="68"/>
    </row>
    <row r="21" spans="1:17" ht="87" customHeight="1" x14ac:dyDescent="0.2">
      <c r="A21" s="163"/>
      <c r="B21" s="163"/>
      <c r="C21" s="163"/>
      <c r="D21" s="50"/>
      <c r="E21" s="49"/>
      <c r="F21" s="49"/>
      <c r="G21" s="49"/>
      <c r="H21" s="51"/>
      <c r="I21" s="51"/>
      <c r="J21" s="51"/>
    </row>
    <row r="22" spans="1:17" ht="30" x14ac:dyDescent="0.2">
      <c r="A22" s="52" t="s">
        <v>44</v>
      </c>
      <c r="B22" s="48"/>
      <c r="D22" s="50"/>
      <c r="E22" s="49"/>
      <c r="F22" s="49"/>
      <c r="G22" s="49"/>
      <c r="H22" s="51"/>
      <c r="I22" s="51"/>
      <c r="J22" s="51"/>
    </row>
    <row r="23" spans="1:17" ht="18" x14ac:dyDescent="0.2">
      <c r="A23" s="47"/>
      <c r="B23" s="53"/>
      <c r="C23" s="53"/>
      <c r="D23" s="53"/>
      <c r="E23" s="53"/>
      <c r="F23" s="53"/>
      <c r="G23" s="53"/>
      <c r="H23" s="53"/>
      <c r="I23" s="53"/>
      <c r="J23" s="53"/>
    </row>
    <row r="24" spans="1:17" ht="18.75" customHeight="1" x14ac:dyDescent="0.2">
      <c r="A24" s="47"/>
      <c r="B24" s="53"/>
      <c r="C24" s="53"/>
      <c r="D24" s="53"/>
      <c r="E24" s="164" t="s">
        <v>117</v>
      </c>
      <c r="F24" s="164"/>
      <c r="G24" s="164"/>
      <c r="H24" s="164"/>
      <c r="I24" s="164"/>
      <c r="J24" s="164"/>
      <c r="K24" s="164"/>
      <c r="L24" s="164"/>
      <c r="M24" s="164"/>
    </row>
    <row r="25" spans="1:17" ht="18" x14ac:dyDescent="0.2">
      <c r="A25" s="47"/>
      <c r="B25" s="55"/>
      <c r="C25" s="58" t="s">
        <v>45</v>
      </c>
      <c r="D25" s="70">
        <f>(H15-D15*E15)/(F15-D15^2)</f>
        <v>1.0109371592765706</v>
      </c>
      <c r="E25" s="164"/>
      <c r="F25" s="164"/>
      <c r="G25" s="164"/>
      <c r="H25" s="164"/>
      <c r="I25" s="164"/>
      <c r="J25" s="164"/>
      <c r="K25" s="164"/>
      <c r="L25" s="164"/>
      <c r="M25" s="164"/>
    </row>
    <row r="26" spans="1:17" ht="18" x14ac:dyDescent="0.2">
      <c r="A26" s="47"/>
      <c r="B26" s="56"/>
      <c r="C26" s="56"/>
      <c r="D26" s="53"/>
      <c r="E26" s="53"/>
      <c r="F26" s="53"/>
      <c r="G26" s="53"/>
      <c r="H26" s="53"/>
      <c r="I26" s="53"/>
      <c r="J26" s="53"/>
    </row>
    <row r="27" spans="1:17" ht="18" x14ac:dyDescent="0.2">
      <c r="A27" s="47"/>
      <c r="B27" s="53"/>
      <c r="C27" s="53"/>
      <c r="D27" s="53"/>
      <c r="E27" s="53"/>
      <c r="F27" s="53"/>
      <c r="G27" s="53"/>
      <c r="H27" s="57"/>
      <c r="I27" s="53"/>
      <c r="J27" s="53"/>
    </row>
    <row r="28" spans="1:17" ht="18" x14ac:dyDescent="0.2">
      <c r="A28" s="53"/>
      <c r="B28" s="53"/>
      <c r="C28" s="36" t="s">
        <v>45</v>
      </c>
      <c r="D28" s="69">
        <f>E15-D25*D15</f>
        <v>-0.11105909582835505</v>
      </c>
      <c r="E28" s="53"/>
      <c r="F28" s="53"/>
      <c r="G28" s="53"/>
      <c r="H28" s="57"/>
      <c r="I28" s="53"/>
      <c r="J28" s="53"/>
    </row>
    <row r="29" spans="1:17" ht="18" x14ac:dyDescent="0.2">
      <c r="A29" s="53"/>
      <c r="B29" s="53"/>
      <c r="C29" s="53"/>
      <c r="D29" s="53"/>
      <c r="E29" s="53"/>
      <c r="F29" s="53"/>
      <c r="G29" s="53"/>
      <c r="H29" s="57"/>
      <c r="I29" s="53"/>
      <c r="J29" s="53"/>
    </row>
    <row r="30" spans="1:17" ht="18" x14ac:dyDescent="0.2">
      <c r="A30" s="54"/>
      <c r="B30" s="53"/>
      <c r="C30" s="36" t="s">
        <v>61</v>
      </c>
      <c r="D30" s="148">
        <f>10^D28</f>
        <v>0.77435642149759931</v>
      </c>
      <c r="E30" s="53"/>
      <c r="F30" s="53"/>
      <c r="G30" s="53"/>
      <c r="H30" s="57"/>
      <c r="I30" s="53"/>
      <c r="J30" s="53"/>
    </row>
    <row r="31" spans="1:17" ht="18" x14ac:dyDescent="0.2">
      <c r="A31" s="54"/>
      <c r="B31" s="53"/>
      <c r="C31" s="53"/>
      <c r="D31" s="53"/>
      <c r="E31" s="53"/>
      <c r="F31" s="53"/>
      <c r="G31" s="53"/>
      <c r="H31" s="57"/>
      <c r="I31" s="53"/>
      <c r="J31" s="53"/>
    </row>
    <row r="32" spans="1:17" ht="19" x14ac:dyDescent="0.25">
      <c r="A32" s="53"/>
      <c r="B32" s="159" t="s">
        <v>54</v>
      </c>
      <c r="C32" s="159"/>
      <c r="D32" s="159"/>
      <c r="E32" s="53"/>
      <c r="F32" s="53"/>
      <c r="G32" s="53"/>
      <c r="H32" s="57"/>
      <c r="I32" s="53"/>
      <c r="J32" s="53"/>
    </row>
    <row r="33" spans="1:13" ht="18" x14ac:dyDescent="0.2">
      <c r="A33" s="53"/>
      <c r="B33" s="160" t="s">
        <v>126</v>
      </c>
      <c r="C33" s="160"/>
      <c r="D33" s="160"/>
      <c r="E33" s="53"/>
      <c r="F33" s="53"/>
      <c r="G33" s="53"/>
      <c r="H33" s="53"/>
      <c r="I33" s="53"/>
      <c r="J33" s="53"/>
    </row>
    <row r="34" spans="1:13" ht="18" x14ac:dyDescent="0.2">
      <c r="A34" s="53"/>
    </row>
    <row r="35" spans="1:13" ht="30.5" customHeight="1" x14ac:dyDescent="0.2">
      <c r="A35" s="52" t="s">
        <v>46</v>
      </c>
      <c r="E35" s="165" t="s">
        <v>125</v>
      </c>
      <c r="F35" s="165"/>
      <c r="G35" s="165"/>
      <c r="H35" s="165"/>
      <c r="I35" s="165"/>
      <c r="J35" s="165"/>
      <c r="K35" s="165"/>
      <c r="L35" s="165"/>
      <c r="M35" s="165"/>
    </row>
    <row r="36" spans="1:13" ht="24" x14ac:dyDescent="0.3">
      <c r="A36" s="53"/>
      <c r="C36" s="63"/>
      <c r="D36" s="141">
        <f>SQRT(1-(K14/M14))</f>
        <v>0.99950863103326115</v>
      </c>
      <c r="E36" s="165"/>
      <c r="F36" s="165"/>
      <c r="G36" s="165"/>
      <c r="H36" s="165"/>
      <c r="I36" s="165"/>
      <c r="J36" s="165"/>
      <c r="K36" s="165"/>
      <c r="L36" s="165"/>
      <c r="M36" s="165"/>
    </row>
    <row r="37" spans="1:13" ht="18" x14ac:dyDescent="0.2">
      <c r="A37" s="53"/>
      <c r="E37" s="165"/>
      <c r="F37" s="165"/>
      <c r="G37" s="165"/>
      <c r="H37" s="165"/>
      <c r="I37" s="165"/>
      <c r="J37" s="165"/>
      <c r="K37" s="165"/>
      <c r="L37" s="165"/>
      <c r="M37" s="165"/>
    </row>
    <row r="38" spans="1:13" ht="18" x14ac:dyDescent="0.2">
      <c r="A38" s="53"/>
      <c r="C38" s="38"/>
      <c r="D38" s="142">
        <f>D36^2</f>
        <v>0.99901750350998375</v>
      </c>
      <c r="E38" s="165"/>
      <c r="F38" s="165"/>
      <c r="G38" s="165"/>
      <c r="H38" s="165"/>
      <c r="I38" s="165"/>
      <c r="J38" s="165"/>
      <c r="K38" s="165"/>
      <c r="L38" s="165"/>
      <c r="M38" s="165"/>
    </row>
    <row r="39" spans="1:13" ht="18" customHeight="1" x14ac:dyDescent="0.2">
      <c r="E39" s="165"/>
      <c r="F39" s="165"/>
      <c r="G39" s="165"/>
      <c r="H39" s="165"/>
      <c r="I39" s="165"/>
      <c r="J39" s="165"/>
      <c r="K39" s="165"/>
      <c r="L39" s="165"/>
      <c r="M39" s="165"/>
    </row>
    <row r="40" spans="1:13" ht="30" x14ac:dyDescent="0.2">
      <c r="A40" s="52" t="s">
        <v>49</v>
      </c>
    </row>
    <row r="41" spans="1:13" x14ac:dyDescent="0.2">
      <c r="D41" s="127">
        <f>O14</f>
        <v>4.4709010365933062E-2</v>
      </c>
      <c r="E41" s="164" t="s">
        <v>120</v>
      </c>
      <c r="F41" s="164"/>
      <c r="G41" s="164"/>
      <c r="H41" s="164"/>
      <c r="I41" s="164"/>
      <c r="J41" s="164"/>
      <c r="K41" s="164"/>
      <c r="L41" s="164"/>
      <c r="M41" s="164"/>
    </row>
    <row r="42" spans="1:13" ht="20.25" customHeight="1" x14ac:dyDescent="0.2">
      <c r="E42" s="164"/>
      <c r="F42" s="164"/>
      <c r="G42" s="164"/>
      <c r="H42" s="164"/>
      <c r="I42" s="164"/>
      <c r="J42" s="164"/>
      <c r="K42" s="164"/>
      <c r="L42" s="164"/>
      <c r="M42" s="164"/>
    </row>
    <row r="45" spans="1:13" ht="30" x14ac:dyDescent="0.2">
      <c r="A45" s="52" t="s">
        <v>51</v>
      </c>
    </row>
    <row r="47" spans="1:13" ht="18" customHeight="1" x14ac:dyDescent="0.2">
      <c r="C47" s="41" t="s">
        <v>132</v>
      </c>
      <c r="D47" s="70">
        <f>D38/(1-D38)*10</f>
        <v>10168.153409825019</v>
      </c>
      <c r="E47" s="165" t="s">
        <v>65</v>
      </c>
      <c r="F47" s="165"/>
      <c r="G47" s="165"/>
      <c r="H47" s="165"/>
      <c r="I47" s="165"/>
      <c r="J47" s="165"/>
      <c r="K47" s="165"/>
      <c r="L47" s="165"/>
      <c r="M47" s="165"/>
    </row>
    <row r="48" spans="1:13" ht="18" x14ac:dyDescent="0.2">
      <c r="D48" s="70"/>
      <c r="E48" s="165"/>
      <c r="F48" s="165"/>
      <c r="G48" s="165"/>
      <c r="H48" s="165"/>
      <c r="I48" s="165"/>
      <c r="J48" s="165"/>
      <c r="K48" s="165"/>
      <c r="L48" s="165"/>
      <c r="M48" s="165"/>
    </row>
    <row r="49" spans="1:13" ht="18" x14ac:dyDescent="0.2">
      <c r="D49" s="70"/>
      <c r="E49" s="165"/>
      <c r="F49" s="165"/>
      <c r="G49" s="165"/>
      <c r="H49" s="165"/>
      <c r="I49" s="165"/>
      <c r="J49" s="165"/>
      <c r="K49" s="165"/>
      <c r="L49" s="165"/>
      <c r="M49" s="165"/>
    </row>
    <row r="50" spans="1:13" ht="18" x14ac:dyDescent="0.2">
      <c r="C50" s="41" t="s">
        <v>50</v>
      </c>
      <c r="D50" s="70">
        <v>4.96</v>
      </c>
      <c r="E50" s="165"/>
      <c r="F50" s="165"/>
      <c r="G50" s="165"/>
      <c r="H50" s="165"/>
      <c r="I50" s="165"/>
      <c r="J50" s="165"/>
      <c r="K50" s="165"/>
      <c r="L50" s="165"/>
      <c r="M50" s="165"/>
    </row>
    <row r="51" spans="1:13" ht="18" x14ac:dyDescent="0.2">
      <c r="D51" s="70"/>
    </row>
    <row r="52" spans="1:13" ht="30" x14ac:dyDescent="0.2">
      <c r="A52" s="52" t="s">
        <v>52</v>
      </c>
      <c r="D52" s="70"/>
    </row>
    <row r="53" spans="1:13" ht="18" x14ac:dyDescent="0.2">
      <c r="D53" s="70"/>
    </row>
    <row r="54" spans="1:13" ht="18" x14ac:dyDescent="0.2">
      <c r="D54" s="70">
        <f>SQRT(Q14/(10*N14))</f>
        <v>1.0284352481424291E-2</v>
      </c>
      <c r="E54" s="166" t="s">
        <v>118</v>
      </c>
      <c r="F54" s="167"/>
      <c r="G54" s="167"/>
      <c r="H54" s="167"/>
      <c r="I54" s="167"/>
    </row>
    <row r="55" spans="1:13" ht="18" x14ac:dyDescent="0.2">
      <c r="D55" s="70"/>
      <c r="E55" s="167"/>
      <c r="F55" s="167"/>
      <c r="G55" s="167"/>
      <c r="H55" s="167"/>
      <c r="I55" s="167"/>
    </row>
    <row r="56" spans="1:13" ht="18" x14ac:dyDescent="0.2">
      <c r="D56" s="70"/>
      <c r="E56" s="167"/>
      <c r="F56" s="167"/>
      <c r="G56" s="167"/>
      <c r="H56" s="167"/>
      <c r="I56" s="167"/>
    </row>
    <row r="57" spans="1:13" ht="18" x14ac:dyDescent="0.2">
      <c r="D57" s="70">
        <f>SQRT((Q14/10)*(F14/(12*N14)))</f>
        <v>1.6380586017613025E-2</v>
      </c>
      <c r="E57" s="167"/>
      <c r="F57" s="167"/>
      <c r="G57" s="167"/>
      <c r="H57" s="167"/>
      <c r="I57" s="167"/>
    </row>
    <row r="58" spans="1:13" ht="18" x14ac:dyDescent="0.2">
      <c r="D58" s="70"/>
      <c r="E58" s="167"/>
      <c r="F58" s="167"/>
      <c r="G58" s="167"/>
      <c r="H58" s="167"/>
      <c r="I58" s="167"/>
    </row>
    <row r="59" spans="1:13" ht="18" x14ac:dyDescent="0.2">
      <c r="D59" s="70"/>
      <c r="E59" s="167"/>
      <c r="F59" s="167"/>
      <c r="G59" s="167"/>
      <c r="H59" s="167"/>
      <c r="I59" s="167"/>
    </row>
    <row r="60" spans="1:13" ht="18" x14ac:dyDescent="0.2">
      <c r="D60" s="70">
        <f>SQRT((1-D38)/10)</f>
        <v>9.9120960952578004E-3</v>
      </c>
      <c r="E60" s="167"/>
      <c r="F60" s="167"/>
      <c r="G60" s="167"/>
      <c r="H60" s="167"/>
      <c r="I60" s="167"/>
    </row>
    <row r="61" spans="1:13" ht="18" x14ac:dyDescent="0.2">
      <c r="D61" s="70"/>
      <c r="E61" s="167"/>
      <c r="F61" s="167"/>
      <c r="G61" s="167"/>
      <c r="H61" s="167"/>
      <c r="I61" s="167"/>
    </row>
    <row r="62" spans="1:13" ht="18" x14ac:dyDescent="0.2">
      <c r="D62" s="70"/>
      <c r="E62" s="167"/>
      <c r="F62" s="167"/>
      <c r="G62" s="167"/>
      <c r="H62" s="167"/>
      <c r="I62" s="167"/>
    </row>
    <row r="63" spans="1:13" ht="18" x14ac:dyDescent="0.2">
      <c r="D63" s="70"/>
      <c r="E63" s="167"/>
      <c r="F63" s="167"/>
      <c r="G63" s="167"/>
      <c r="H63" s="167"/>
      <c r="I63" s="167"/>
    </row>
    <row r="64" spans="1:13" ht="18" x14ac:dyDescent="0.2">
      <c r="D64" s="70">
        <f>D25/D54</f>
        <v>98.298571650722423</v>
      </c>
      <c r="E64" s="167"/>
      <c r="F64" s="167"/>
      <c r="G64" s="167"/>
      <c r="H64" s="167"/>
      <c r="I64" s="167"/>
    </row>
    <row r="65" spans="4:9" ht="18" x14ac:dyDescent="0.2">
      <c r="D65" s="70"/>
      <c r="E65" s="167"/>
      <c r="F65" s="167"/>
      <c r="G65" s="167"/>
      <c r="H65" s="167"/>
      <c r="I65" s="167"/>
    </row>
    <row r="66" spans="4:9" ht="18" x14ac:dyDescent="0.2">
      <c r="D66" s="70"/>
      <c r="E66" s="167"/>
      <c r="F66" s="167"/>
      <c r="G66" s="167"/>
      <c r="H66" s="167"/>
      <c r="I66" s="167"/>
    </row>
    <row r="67" spans="4:9" ht="18" x14ac:dyDescent="0.2">
      <c r="D67" s="70"/>
      <c r="E67" s="167"/>
      <c r="F67" s="167"/>
      <c r="G67" s="167"/>
      <c r="H67" s="167"/>
      <c r="I67" s="167"/>
    </row>
    <row r="68" spans="4:9" ht="18" x14ac:dyDescent="0.2">
      <c r="D68" s="70">
        <f>D28/D57</f>
        <v>-6.7799220192085992</v>
      </c>
      <c r="E68" s="167"/>
      <c r="F68" s="167"/>
      <c r="G68" s="167"/>
      <c r="H68" s="167"/>
      <c r="I68" s="167"/>
    </row>
    <row r="69" spans="4:9" ht="18" x14ac:dyDescent="0.2">
      <c r="D69" s="70"/>
    </row>
    <row r="70" spans="4:9" ht="18" x14ac:dyDescent="0.2">
      <c r="D70" s="70"/>
      <c r="F70" s="117"/>
    </row>
    <row r="71" spans="4:9" ht="18" x14ac:dyDescent="0.2">
      <c r="D71" s="70">
        <f>D36/D60</f>
        <v>100.83726201075186</v>
      </c>
      <c r="F71" s="117"/>
    </row>
    <row r="73" spans="4:9" ht="19" x14ac:dyDescent="0.25">
      <c r="F73" s="38"/>
      <c r="G73" s="121"/>
    </row>
    <row r="74" spans="4:9" ht="19" x14ac:dyDescent="0.25">
      <c r="F74" s="38"/>
      <c r="G74" s="121"/>
    </row>
    <row r="75" spans="4:9" ht="19" x14ac:dyDescent="0.25">
      <c r="D75">
        <f>D57*2.2281</f>
        <v>3.6497583705843578E-2</v>
      </c>
      <c r="G75" s="121"/>
    </row>
    <row r="77" spans="4:9" x14ac:dyDescent="0.2">
      <c r="D77">
        <f>D54*2.2281</f>
        <v>2.2914565763861462E-2</v>
      </c>
      <c r="G77">
        <f xml:space="preserve"> 0.77-D75</f>
        <v>0.73350241629415647</v>
      </c>
    </row>
    <row r="78" spans="4:9" ht="19" x14ac:dyDescent="0.25">
      <c r="F78" s="38"/>
      <c r="G78" s="121"/>
    </row>
    <row r="79" spans="4:9" x14ac:dyDescent="0.2">
      <c r="F79" s="38"/>
      <c r="G79">
        <f xml:space="preserve"> 0.77+D75</f>
        <v>0.80649758370584357</v>
      </c>
    </row>
    <row r="80" spans="4:9" ht="19" x14ac:dyDescent="0.25">
      <c r="D80" s="35">
        <f>B15*1.1</f>
        <v>43.376666666666672</v>
      </c>
      <c r="F80" s="38"/>
      <c r="G80" s="121"/>
    </row>
    <row r="81" spans="2:7" x14ac:dyDescent="0.2">
      <c r="D81" s="68">
        <f>D30*D80^D25</f>
        <v>35.002898673522687</v>
      </c>
    </row>
    <row r="83" spans="2:7" ht="19" thickBot="1" x14ac:dyDescent="0.25">
      <c r="B83" s="16"/>
      <c r="D83">
        <f>SQRT(SUM(Q2:Q13) / (12-1-1) )</f>
        <v>2.1944640167057125E-3</v>
      </c>
      <c r="G83">
        <f>1.01-D77</f>
        <v>0.98708543423613859</v>
      </c>
    </row>
    <row r="85" spans="2:7" x14ac:dyDescent="0.2">
      <c r="D85">
        <f>D83*SQRT(1+1/12+(D80-B15)^2/SUM(N2:N13))</f>
        <v>4.0618899404965374E-2</v>
      </c>
      <c r="G85">
        <f>1.01+D77</f>
        <v>1.0329145657638614</v>
      </c>
    </row>
    <row r="88" spans="2:7" x14ac:dyDescent="0.2">
      <c r="D88">
        <f>2.2281*D85</f>
        <v>9.0502969764203342E-2</v>
      </c>
    </row>
    <row r="93" spans="2:7" x14ac:dyDescent="0.2">
      <c r="D93" s="68">
        <f>D81-D88</f>
        <v>34.912395703758484</v>
      </c>
    </row>
    <row r="95" spans="2:7" x14ac:dyDescent="0.2">
      <c r="D95" s="68">
        <f>D81+D88</f>
        <v>35.093401643286889</v>
      </c>
    </row>
  </sheetData>
  <mergeCells count="8">
    <mergeCell ref="A19:C21"/>
    <mergeCell ref="E24:M25"/>
    <mergeCell ref="E47:M50"/>
    <mergeCell ref="E54:I68"/>
    <mergeCell ref="E35:M39"/>
    <mergeCell ref="E41:M42"/>
    <mergeCell ref="B32:D32"/>
    <mergeCell ref="B33:D33"/>
  </mergeCells>
  <pageMargins left="0.7" right="0.7" top="0.75" bottom="0.75" header="0.3" footer="0.3"/>
  <ignoredErrors>
    <ignoredError sqref="L2:L13" formula="1"/>
  </ignoredErrors>
  <drawing r:id="rId1"/>
  <legacyDrawing r:id="rId2"/>
  <oleObjects>
    <mc:AlternateContent xmlns:mc="http://schemas.openxmlformats.org/markup-compatibility/2006">
      <mc:Choice Requires="x14">
        <oleObject progId="Equation.3" shapeId="5177" r:id="rId3">
          <objectPr defaultSize="0" r:id="rId4">
            <anchor moveWithCells="1">
              <from>
                <xdr:col>1</xdr:col>
                <xdr:colOff>901700</xdr:colOff>
                <xdr:row>34</xdr:row>
                <xdr:rowOff>266700</xdr:rowOff>
              </from>
              <to>
                <xdr:col>3</xdr:col>
                <xdr:colOff>825500</xdr:colOff>
                <xdr:row>36</xdr:row>
                <xdr:rowOff>203200</xdr:rowOff>
              </to>
            </anchor>
          </objectPr>
        </oleObject>
      </mc:Choice>
      <mc:Fallback>
        <oleObject progId="Equation.3" shapeId="5177" r:id="rId3"/>
      </mc:Fallback>
    </mc:AlternateContent>
    <mc:AlternateContent xmlns:mc="http://schemas.openxmlformats.org/markup-compatibility/2006">
      <mc:Choice Requires="x14">
        <oleObject progId="Equation.3" shapeId="5179" r:id="rId5">
          <objectPr defaultSize="0" r:id="rId6">
            <anchor moveWithCells="1">
              <from>
                <xdr:col>3</xdr:col>
                <xdr:colOff>330200</xdr:colOff>
                <xdr:row>36</xdr:row>
                <xdr:rowOff>215900</xdr:rowOff>
              </from>
              <to>
                <xdr:col>3</xdr:col>
                <xdr:colOff>850900</xdr:colOff>
                <xdr:row>38</xdr:row>
                <xdr:rowOff>25400</xdr:rowOff>
              </to>
            </anchor>
          </objectPr>
        </oleObject>
      </mc:Choice>
      <mc:Fallback>
        <oleObject progId="Equation.3" shapeId="5179" r:id="rId5"/>
      </mc:Fallback>
    </mc:AlternateContent>
    <mc:AlternateContent xmlns:mc="http://schemas.openxmlformats.org/markup-compatibility/2006">
      <mc:Choice Requires="x14">
        <oleObject progId="Equation.3" shapeId="5180" r:id="rId7">
          <objectPr defaultSize="0" autoPict="0" r:id="rId8">
            <anchor moveWithCells="1">
              <from>
                <xdr:col>2</xdr:col>
                <xdr:colOff>139700</xdr:colOff>
                <xdr:row>39</xdr:row>
                <xdr:rowOff>279400</xdr:rowOff>
              </from>
              <to>
                <xdr:col>3</xdr:col>
                <xdr:colOff>850900</xdr:colOff>
                <xdr:row>42</xdr:row>
                <xdr:rowOff>12700</xdr:rowOff>
              </to>
            </anchor>
          </objectPr>
        </oleObject>
      </mc:Choice>
      <mc:Fallback>
        <oleObject progId="Equation.3" shapeId="5180" r:id="rId7"/>
      </mc:Fallback>
    </mc:AlternateContent>
    <mc:AlternateContent xmlns:mc="http://schemas.openxmlformats.org/markup-compatibility/2006">
      <mc:Choice Requires="x14">
        <oleObject progId="Equation.3" shapeId="5125" r:id="rId9">
          <objectPr defaultSize="0" autoPict="0" r:id="rId10">
            <anchor moveWithCells="1" sizeWithCells="1">
              <from>
                <xdr:col>8</xdr:col>
                <xdr:colOff>215900</xdr:colOff>
                <xdr:row>0</xdr:row>
                <xdr:rowOff>0</xdr:rowOff>
              </from>
              <to>
                <xdr:col>8</xdr:col>
                <xdr:colOff>406400</xdr:colOff>
                <xdr:row>1</xdr:row>
                <xdr:rowOff>12700</xdr:rowOff>
              </to>
            </anchor>
          </objectPr>
        </oleObject>
      </mc:Choice>
      <mc:Fallback>
        <oleObject progId="Equation.3" shapeId="5125" r:id="rId9"/>
      </mc:Fallback>
    </mc:AlternateContent>
    <mc:AlternateContent xmlns:mc="http://schemas.openxmlformats.org/markup-compatibility/2006">
      <mc:Choice Requires="x14">
        <oleObject progId="Equation.3" shapeId="5171" r:id="rId11">
          <objectPr defaultSize="0" autoPict="0" r:id="rId12">
            <anchor moveWithCells="1" sizeWithCells="1">
              <from>
                <xdr:col>9</xdr:col>
                <xdr:colOff>228600</xdr:colOff>
                <xdr:row>0</xdr:row>
                <xdr:rowOff>12700</xdr:rowOff>
              </from>
              <to>
                <xdr:col>9</xdr:col>
                <xdr:colOff>635000</xdr:colOff>
                <xdr:row>0</xdr:row>
                <xdr:rowOff>215900</xdr:rowOff>
              </to>
            </anchor>
          </objectPr>
        </oleObject>
      </mc:Choice>
      <mc:Fallback>
        <oleObject progId="Equation.3" shapeId="5171" r:id="rId11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18B7-2032-425D-970E-09AE75F19A0E}">
  <dimension ref="A1:I36"/>
  <sheetViews>
    <sheetView zoomScaleNormal="100" workbookViewId="0">
      <selection activeCell="P25" sqref="P25"/>
    </sheetView>
  </sheetViews>
  <sheetFormatPr baseColWidth="10" defaultColWidth="8.83203125" defaultRowHeight="15" x14ac:dyDescent="0.2"/>
  <cols>
    <col min="1" max="1" width="26.5" bestFit="1" customWidth="1"/>
    <col min="2" max="2" width="17.6640625" bestFit="1" customWidth="1"/>
    <col min="3" max="3" width="23.33203125" bestFit="1" customWidth="1"/>
    <col min="4" max="4" width="15.6640625" bestFit="1" customWidth="1"/>
    <col min="5" max="5" width="21.5" bestFit="1" customWidth="1"/>
    <col min="6" max="6" width="15.1640625" bestFit="1" customWidth="1"/>
    <col min="7" max="7" width="13.5" bestFit="1" customWidth="1"/>
    <col min="8" max="8" width="15" bestFit="1" customWidth="1"/>
    <col min="9" max="9" width="15.1640625" bestFit="1" customWidth="1"/>
  </cols>
  <sheetData>
    <row r="1" spans="1:9" x14ac:dyDescent="0.2">
      <c r="A1" t="s">
        <v>13</v>
      </c>
    </row>
    <row r="2" spans="1:9" ht="16" thickBot="1" x14ac:dyDescent="0.25"/>
    <row r="3" spans="1:9" x14ac:dyDescent="0.2">
      <c r="A3" s="138" t="s">
        <v>14</v>
      </c>
      <c r="B3" s="138"/>
    </row>
    <row r="4" spans="1:9" x14ac:dyDescent="0.2">
      <c r="A4" t="s">
        <v>15</v>
      </c>
      <c r="B4">
        <v>0.99948294272207605</v>
      </c>
    </row>
    <row r="5" spans="1:9" x14ac:dyDescent="0.2">
      <c r="A5" t="s">
        <v>16</v>
      </c>
      <c r="B5">
        <v>0.99896615279238066</v>
      </c>
    </row>
    <row r="6" spans="1:9" x14ac:dyDescent="0.2">
      <c r="A6" t="s">
        <v>17</v>
      </c>
      <c r="B6">
        <v>0.99886276807161867</v>
      </c>
    </row>
    <row r="7" spans="1:9" x14ac:dyDescent="0.2">
      <c r="A7" t="s">
        <v>18</v>
      </c>
      <c r="B7">
        <v>2.194464016705699E-3</v>
      </c>
    </row>
    <row r="8" spans="1:9" ht="16" thickBot="1" x14ac:dyDescent="0.25">
      <c r="A8" s="23" t="s">
        <v>19</v>
      </c>
      <c r="B8" s="23">
        <v>12</v>
      </c>
    </row>
    <row r="10" spans="1:9" ht="16" thickBot="1" x14ac:dyDescent="0.25">
      <c r="A10" t="s">
        <v>20</v>
      </c>
    </row>
    <row r="11" spans="1:9" x14ac:dyDescent="0.2">
      <c r="A11" s="137"/>
      <c r="B11" s="137" t="s">
        <v>24</v>
      </c>
      <c r="C11" s="137" t="s">
        <v>25</v>
      </c>
      <c r="D11" s="137" t="s">
        <v>26</v>
      </c>
      <c r="E11" s="137" t="s">
        <v>27</v>
      </c>
      <c r="F11" s="137" t="s">
        <v>28</v>
      </c>
    </row>
    <row r="12" spans="1:9" x14ac:dyDescent="0.2">
      <c r="A12" t="s">
        <v>21</v>
      </c>
      <c r="B12">
        <v>1</v>
      </c>
      <c r="C12">
        <v>4.6531959614346231E-2</v>
      </c>
      <c r="D12">
        <v>4.6531959614346231E-2</v>
      </c>
      <c r="E12">
        <v>9662.6091885739006</v>
      </c>
      <c r="F12">
        <v>2.9078335597908683E-16</v>
      </c>
    </row>
    <row r="13" spans="1:9" x14ac:dyDescent="0.2">
      <c r="A13" t="s">
        <v>22</v>
      </c>
      <c r="B13">
        <v>10</v>
      </c>
      <c r="C13">
        <v>4.8156723206161106E-5</v>
      </c>
      <c r="D13">
        <v>4.8156723206161105E-6</v>
      </c>
    </row>
    <row r="14" spans="1:9" ht="16" thickBot="1" x14ac:dyDescent="0.25">
      <c r="A14" s="23" t="s">
        <v>9</v>
      </c>
      <c r="B14" s="23">
        <v>11</v>
      </c>
      <c r="C14" s="23">
        <v>4.6580116337552394E-2</v>
      </c>
      <c r="D14" s="23"/>
      <c r="E14" s="23"/>
      <c r="F14" s="23"/>
    </row>
    <row r="15" spans="1:9" ht="16" thickBot="1" x14ac:dyDescent="0.25"/>
    <row r="16" spans="1:9" x14ac:dyDescent="0.2">
      <c r="A16" s="137"/>
      <c r="B16" s="137" t="s">
        <v>29</v>
      </c>
      <c r="C16" s="137" t="s">
        <v>18</v>
      </c>
      <c r="D16" s="137" t="s">
        <v>30</v>
      </c>
      <c r="E16" s="137" t="s">
        <v>31</v>
      </c>
      <c r="F16" s="137" t="s">
        <v>32</v>
      </c>
      <c r="G16" s="137" t="s">
        <v>33</v>
      </c>
      <c r="H16" s="137" t="s">
        <v>34</v>
      </c>
      <c r="I16" s="137" t="s">
        <v>35</v>
      </c>
    </row>
    <row r="17" spans="1:9" x14ac:dyDescent="0.2">
      <c r="A17" t="s">
        <v>23</v>
      </c>
      <c r="B17">
        <v>-0.1110590958284865</v>
      </c>
      <c r="C17">
        <v>1.6380586017612924E-2</v>
      </c>
      <c r="D17">
        <v>-6.7799220192166656</v>
      </c>
      <c r="E17">
        <v>4.8593090630330599E-5</v>
      </c>
      <c r="F17">
        <v>-0.14755731595263297</v>
      </c>
      <c r="G17">
        <v>-7.4560875704340029E-2</v>
      </c>
      <c r="H17">
        <v>-0.14755731595263297</v>
      </c>
      <c r="I17">
        <v>-7.4560875704340029E-2</v>
      </c>
    </row>
    <row r="18" spans="1:9" ht="16" thickBot="1" x14ac:dyDescent="0.25">
      <c r="A18" s="23" t="s">
        <v>36</v>
      </c>
      <c r="B18" s="23">
        <v>1.0109371592766532</v>
      </c>
      <c r="C18" s="23">
        <v>1.0284352481424227E-2</v>
      </c>
      <c r="D18" s="23">
        <v>98.298571650731063</v>
      </c>
      <c r="E18" s="23">
        <v>2.9078335597908683E-16</v>
      </c>
      <c r="F18" s="23">
        <v>0.98802219394527036</v>
      </c>
      <c r="G18" s="23">
        <v>1.0338521246080359</v>
      </c>
      <c r="H18" s="23">
        <v>0.98802219394527036</v>
      </c>
      <c r="I18" s="23">
        <v>1.0338521246080359</v>
      </c>
    </row>
    <row r="22" spans="1:9" x14ac:dyDescent="0.2">
      <c r="A22" t="s">
        <v>37</v>
      </c>
      <c r="E22" t="s">
        <v>41</v>
      </c>
    </row>
    <row r="23" spans="1:9" ht="16" thickBot="1" x14ac:dyDescent="0.25"/>
    <row r="24" spans="1:9" x14ac:dyDescent="0.2">
      <c r="A24" s="137" t="s">
        <v>38</v>
      </c>
      <c r="B24" s="137" t="s">
        <v>39</v>
      </c>
      <c r="C24" s="137" t="s">
        <v>40</v>
      </c>
      <c r="E24" s="137" t="s">
        <v>42</v>
      </c>
      <c r="F24" s="137" t="s">
        <v>43</v>
      </c>
    </row>
    <row r="25" spans="1:9" x14ac:dyDescent="0.2">
      <c r="A25">
        <v>1</v>
      </c>
      <c r="B25">
        <v>1.3807517433226155</v>
      </c>
      <c r="C25">
        <v>3.0636226578157899E-3</v>
      </c>
      <c r="E25">
        <v>4.166666666666667</v>
      </c>
      <c r="F25">
        <v>1.3838153659804313</v>
      </c>
    </row>
    <row r="26" spans="1:9" x14ac:dyDescent="0.2">
      <c r="A26">
        <v>2</v>
      </c>
      <c r="B26">
        <v>1.3880329123513375</v>
      </c>
      <c r="C26">
        <v>-2.4266387530254008E-3</v>
      </c>
      <c r="E26">
        <v>12.5</v>
      </c>
      <c r="F26">
        <v>1.3856062735983121</v>
      </c>
    </row>
    <row r="27" spans="1:9" x14ac:dyDescent="0.2">
      <c r="A27">
        <v>3</v>
      </c>
      <c r="B27">
        <v>1.4790152536069849</v>
      </c>
      <c r="C27">
        <v>-4.4875801314159247E-4</v>
      </c>
      <c r="E27">
        <v>20.833333333333336</v>
      </c>
      <c r="F27">
        <v>1.4785664955938433</v>
      </c>
    </row>
    <row r="28" spans="1:9" x14ac:dyDescent="0.2">
      <c r="A28">
        <v>4</v>
      </c>
      <c r="B28">
        <v>1.4836859830811728</v>
      </c>
      <c r="C28">
        <v>6.1385626561305529E-4</v>
      </c>
      <c r="E28">
        <v>29.166666666666668</v>
      </c>
      <c r="F28">
        <v>1.4842998393467859</v>
      </c>
    </row>
    <row r="29" spans="1:9" x14ac:dyDescent="0.2">
      <c r="A29">
        <v>5</v>
      </c>
      <c r="B29">
        <v>1.4951499354123443</v>
      </c>
      <c r="C29">
        <v>3.9440213410424363E-4</v>
      </c>
      <c r="E29">
        <v>37.5</v>
      </c>
      <c r="F29">
        <v>1.4955443375464486</v>
      </c>
    </row>
    <row r="30" spans="1:9" x14ac:dyDescent="0.2">
      <c r="A30">
        <v>6</v>
      </c>
      <c r="B30">
        <v>1.4962800375287717</v>
      </c>
      <c r="C30">
        <v>6.4961054444312438E-4</v>
      </c>
      <c r="E30">
        <v>45.833333333333336</v>
      </c>
      <c r="F30">
        <v>1.4969296480732148</v>
      </c>
    </row>
    <row r="31" spans="1:9" x14ac:dyDescent="0.2">
      <c r="A31">
        <v>7</v>
      </c>
      <c r="B31">
        <v>1.5018873223004923</v>
      </c>
      <c r="C31">
        <v>-2.2002396820883785E-3</v>
      </c>
      <c r="E31">
        <v>54.166666666666664</v>
      </c>
      <c r="F31">
        <v>1.4996870826184039</v>
      </c>
    </row>
    <row r="32" spans="1:9" x14ac:dyDescent="0.2">
      <c r="A32">
        <v>8</v>
      </c>
      <c r="B32">
        <v>1.510712633114325</v>
      </c>
      <c r="C32">
        <v>-4.2076007094529189E-3</v>
      </c>
      <c r="E32">
        <v>62.5</v>
      </c>
      <c r="F32">
        <v>1.5065050324048721</v>
      </c>
    </row>
    <row r="33" spans="1:6" x14ac:dyDescent="0.2">
      <c r="A33">
        <v>9</v>
      </c>
      <c r="B33">
        <v>1.5257425164390879</v>
      </c>
      <c r="C33">
        <v>1.8873844322508937E-3</v>
      </c>
      <c r="E33">
        <v>70.833333333333343</v>
      </c>
      <c r="F33">
        <v>1.5276299008713388</v>
      </c>
    </row>
    <row r="34" spans="1:6" x14ac:dyDescent="0.2">
      <c r="A34">
        <v>10</v>
      </c>
      <c r="B34">
        <v>1.5267966452283677</v>
      </c>
      <c r="C34">
        <v>2.1200550492870285E-3</v>
      </c>
      <c r="E34">
        <v>79.166666666666671</v>
      </c>
      <c r="F34">
        <v>1.5289167002776547</v>
      </c>
    </row>
    <row r="35" spans="1:6" x14ac:dyDescent="0.2">
      <c r="A35">
        <v>11</v>
      </c>
      <c r="B35">
        <v>1.5867369711825337</v>
      </c>
      <c r="C35">
        <v>9.7399383637775117E-4</v>
      </c>
      <c r="E35">
        <v>87.500000000000014</v>
      </c>
      <c r="F35">
        <v>1.5877109650189114</v>
      </c>
    </row>
    <row r="36" spans="1:6" ht="16" thickBot="1" x14ac:dyDescent="0.25">
      <c r="A36" s="23">
        <v>12</v>
      </c>
      <c r="B36" s="23">
        <v>1.6003027598358701</v>
      </c>
      <c r="C36" s="23">
        <v>-4.1968776218226367E-4</v>
      </c>
      <c r="E36" s="23">
        <v>95.833333333333343</v>
      </c>
      <c r="F36" s="23">
        <v>1.5998830720736879</v>
      </c>
    </row>
  </sheetData>
  <sortState xmlns:xlrd2="http://schemas.microsoft.com/office/spreadsheetml/2017/richdata2" ref="F25:F36">
    <sortCondition ref="F25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132B9-C286-4D37-ACC1-BFA69CCCE56C}">
  <dimension ref="A1:T70"/>
  <sheetViews>
    <sheetView topLeftCell="A6" zoomScale="115" zoomScaleNormal="115" workbookViewId="0">
      <selection activeCell="D34" sqref="D34"/>
    </sheetView>
  </sheetViews>
  <sheetFormatPr baseColWidth="10" defaultColWidth="8.83203125" defaultRowHeight="15" x14ac:dyDescent="0.2"/>
  <cols>
    <col min="1" max="1" width="7.5" bestFit="1" customWidth="1"/>
    <col min="2" max="2" width="14.33203125" bestFit="1" customWidth="1"/>
    <col min="3" max="3" width="17.6640625" bestFit="1" customWidth="1"/>
    <col min="4" max="4" width="22.5" bestFit="1" customWidth="1"/>
    <col min="5" max="5" width="12.5" bestFit="1" customWidth="1"/>
    <col min="6" max="6" width="17.6640625" bestFit="1" customWidth="1"/>
    <col min="7" max="7" width="12.33203125" bestFit="1" customWidth="1"/>
    <col min="8" max="8" width="14.1640625" bestFit="1" customWidth="1"/>
    <col min="9" max="9" width="12.83203125" bestFit="1" customWidth="1"/>
    <col min="10" max="10" width="10.83203125" bestFit="1" customWidth="1"/>
    <col min="11" max="11" width="17.6640625" bestFit="1" customWidth="1"/>
    <col min="12" max="12" width="10.33203125" bestFit="1" customWidth="1"/>
    <col min="13" max="13" width="15.33203125" bestFit="1" customWidth="1"/>
    <col min="14" max="14" width="16.5" bestFit="1" customWidth="1"/>
    <col min="15" max="15" width="9.1640625" bestFit="1" customWidth="1"/>
    <col min="16" max="16" width="12.33203125" bestFit="1" customWidth="1"/>
    <col min="17" max="17" width="13.6640625" bestFit="1" customWidth="1"/>
    <col min="18" max="18" width="15.1640625" bestFit="1" customWidth="1"/>
    <col min="19" max="19" width="10.5" bestFit="1" customWidth="1"/>
    <col min="20" max="20" width="16.6640625" bestFit="1" customWidth="1"/>
  </cols>
  <sheetData>
    <row r="1" spans="1:20" ht="20" thickBot="1" x14ac:dyDescent="0.3">
      <c r="B1" s="11" t="s">
        <v>7</v>
      </c>
      <c r="C1" s="12" t="s">
        <v>8</v>
      </c>
      <c r="D1" s="11" t="s">
        <v>57</v>
      </c>
      <c r="E1" s="12" t="s">
        <v>43</v>
      </c>
      <c r="F1" s="81" t="s">
        <v>67</v>
      </c>
      <c r="G1" s="46" t="s">
        <v>59</v>
      </c>
      <c r="H1" s="12" t="s">
        <v>66</v>
      </c>
      <c r="I1" s="12"/>
      <c r="J1" s="12"/>
      <c r="O1" s="67" t="s">
        <v>63</v>
      </c>
      <c r="P1" s="44" t="s">
        <v>77</v>
      </c>
      <c r="Q1" s="44" t="s">
        <v>64</v>
      </c>
      <c r="R1" t="s">
        <v>78</v>
      </c>
      <c r="S1" s="34"/>
      <c r="T1" s="34"/>
    </row>
    <row r="2" spans="1:20" ht="16" x14ac:dyDescent="0.2">
      <c r="B2" s="123">
        <v>29.9</v>
      </c>
      <c r="C2" s="124">
        <v>24.2</v>
      </c>
      <c r="D2" s="9">
        <f>LN(B2)</f>
        <v>3.3978584803966405</v>
      </c>
      <c r="E2" s="10">
        <f>LN(C2)</f>
        <v>3.1863526331626408</v>
      </c>
      <c r="F2" s="10">
        <f>B2^2</f>
        <v>894.00999999999988</v>
      </c>
      <c r="G2" s="10">
        <f>E2^2</f>
        <v>10.152843102862494</v>
      </c>
      <c r="H2" s="10">
        <f>E2*B2</f>
        <v>95.271943731562956</v>
      </c>
      <c r="I2" s="65">
        <f t="shared" ref="I2:I13" si="0">$C$34*EXP($C$29*B2)</f>
        <v>24.525299667531474</v>
      </c>
      <c r="J2" s="65">
        <f>C2-I2</f>
        <v>-0.32529966753147477</v>
      </c>
      <c r="K2" s="68">
        <f>J2^2</f>
        <v>0.10581987369608802</v>
      </c>
      <c r="L2" s="35">
        <f>C2-$C$15</f>
        <v>-7.5916666666666686</v>
      </c>
      <c r="M2" s="35">
        <f>L2^2</f>
        <v>57.633402777777803</v>
      </c>
      <c r="N2" s="71">
        <f>(B2-$B$15)^2</f>
        <v>90.88444444444454</v>
      </c>
      <c r="O2" s="127">
        <f>ABS(J2/C2)</f>
        <v>1.3442135021961768E-2</v>
      </c>
      <c r="P2" s="68">
        <f t="shared" ref="P2:P13" si="1">$C$32+$C$29*B2</f>
        <v>3.1997052242363684</v>
      </c>
      <c r="Q2" s="72">
        <f>(E2-P2)^2</f>
        <v>1.7829168838218862E-4</v>
      </c>
      <c r="R2" s="85">
        <f>(E2-$E$15)^2</f>
        <v>6.9035527704031832E-2</v>
      </c>
      <c r="S2" s="2"/>
      <c r="T2" s="2"/>
    </row>
    <row r="3" spans="1:20" ht="16" x14ac:dyDescent="0.2">
      <c r="B3" s="125">
        <v>30.4</v>
      </c>
      <c r="C3" s="126">
        <v>24.3</v>
      </c>
      <c r="D3" s="9">
        <f t="shared" ref="D3:D13" si="2">LN(B3)</f>
        <v>3.414442608412176</v>
      </c>
      <c r="E3" s="10">
        <f t="shared" ref="E3:E13" si="3">LN(C3)</f>
        <v>3.1904763503465028</v>
      </c>
      <c r="F3" s="10">
        <f t="shared" ref="F3:F13" si="4">B3^2</f>
        <v>924.16</v>
      </c>
      <c r="G3" s="10">
        <f t="shared" ref="G3:G13" si="5">E3^2</f>
        <v>10.17913934212034</v>
      </c>
      <c r="H3" s="10">
        <f t="shared" ref="H3:H13" si="6">E3*B3</f>
        <v>96.990481050533674</v>
      </c>
      <c r="I3" s="65">
        <f t="shared" si="0"/>
        <v>24.848199739725771</v>
      </c>
      <c r="J3" s="65">
        <f t="shared" ref="J3:J13" si="7">C3-I3</f>
        <v>-0.54819973972577074</v>
      </c>
      <c r="K3" s="68">
        <f t="shared" ref="K3:K13" si="8">J3^2</f>
        <v>0.30052295463540279</v>
      </c>
      <c r="L3" s="35">
        <f t="shared" ref="L3:L13" si="9">C3-$C$15</f>
        <v>-7.4916666666666671</v>
      </c>
      <c r="M3" s="35">
        <f>L3^2</f>
        <v>56.125069444444449</v>
      </c>
      <c r="N3" s="71">
        <f t="shared" ref="N3:N13" si="10">(B3-$B$15)^2</f>
        <v>81.601111111111209</v>
      </c>
      <c r="O3" s="127">
        <f t="shared" ref="O3:O13" si="11">ABS(J3/C3)</f>
        <v>2.255966007101937E-2</v>
      </c>
      <c r="P3" s="68">
        <f t="shared" si="1"/>
        <v>3.2127853048369079</v>
      </c>
      <c r="Q3" s="72">
        <f t="shared" ref="Q3:Q13" si="12">(E3-P3)^2</f>
        <v>4.9768945045496819E-4</v>
      </c>
      <c r="R3" s="85">
        <f t="shared" ref="R3:R13" si="13">(E3-$E$15)^2</f>
        <v>6.6885551302567209E-2</v>
      </c>
      <c r="S3" s="2"/>
      <c r="T3" s="2"/>
    </row>
    <row r="4" spans="1:20" ht="16" x14ac:dyDescent="0.2">
      <c r="B4" s="125">
        <v>37.4</v>
      </c>
      <c r="C4" s="126">
        <v>30.1</v>
      </c>
      <c r="D4" s="9">
        <f t="shared" si="2"/>
        <v>3.6216707044204863</v>
      </c>
      <c r="E4" s="10">
        <f t="shared" si="3"/>
        <v>3.4045251717548299</v>
      </c>
      <c r="F4" s="10">
        <f t="shared" si="4"/>
        <v>1398.76</v>
      </c>
      <c r="G4" s="10">
        <f t="shared" si="5"/>
        <v>11.590791645112255</v>
      </c>
      <c r="H4" s="10">
        <f t="shared" si="6"/>
        <v>127.32924142363063</v>
      </c>
      <c r="I4" s="65">
        <f t="shared" si="0"/>
        <v>29.841690719897571</v>
      </c>
      <c r="J4" s="65">
        <f t="shared" si="7"/>
        <v>0.25830928010243071</v>
      </c>
      <c r="K4" s="68">
        <f t="shared" si="8"/>
        <v>6.6723684187036003E-2</v>
      </c>
      <c r="L4" s="35">
        <f t="shared" si="9"/>
        <v>-1.6916666666666664</v>
      </c>
      <c r="M4" s="35">
        <f t="shared" ref="M4:M12" si="14">L4^2</f>
        <v>2.8617361111111101</v>
      </c>
      <c r="N4" s="71">
        <f t="shared" si="10"/>
        <v>4.1344444444444655</v>
      </c>
      <c r="O4" s="127">
        <f t="shared" si="11"/>
        <v>8.581703657888063E-3</v>
      </c>
      <c r="P4" s="68">
        <f t="shared" si="1"/>
        <v>3.3959064332444644</v>
      </c>
      <c r="Q4" s="72">
        <f t="shared" si="12"/>
        <v>7.4282653510058044E-5</v>
      </c>
      <c r="R4" s="85">
        <f t="shared" si="13"/>
        <v>1.9868048599794219E-3</v>
      </c>
      <c r="S4" s="2"/>
      <c r="T4" s="2"/>
    </row>
    <row r="5" spans="1:20" ht="16" x14ac:dyDescent="0.2">
      <c r="B5" s="125">
        <v>37.799999999999997</v>
      </c>
      <c r="C5" s="126">
        <v>30.5</v>
      </c>
      <c r="D5" s="9">
        <f t="shared" si="2"/>
        <v>3.6323091026255421</v>
      </c>
      <c r="E5" s="10">
        <f t="shared" si="3"/>
        <v>3.417726683613366</v>
      </c>
      <c r="F5" s="10">
        <f t="shared" si="4"/>
        <v>1428.8399999999997</v>
      </c>
      <c r="G5" s="10">
        <f t="shared" si="5"/>
        <v>11.680855683882816</v>
      </c>
      <c r="H5" s="10">
        <f t="shared" si="6"/>
        <v>129.19006864058522</v>
      </c>
      <c r="I5" s="65">
        <f t="shared" si="0"/>
        <v>30.155595591917471</v>
      </c>
      <c r="J5" s="65">
        <f t="shared" si="7"/>
        <v>0.34440440808252859</v>
      </c>
      <c r="K5" s="68">
        <f t="shared" si="8"/>
        <v>0.11861439630667689</v>
      </c>
      <c r="L5" s="35">
        <f t="shared" si="9"/>
        <v>-1.2916666666666679</v>
      </c>
      <c r="M5" s="35">
        <f t="shared" si="14"/>
        <v>1.6684027777777808</v>
      </c>
      <c r="N5" s="71">
        <f t="shared" si="10"/>
        <v>2.6677777777777996</v>
      </c>
      <c r="O5" s="127">
        <f t="shared" si="11"/>
        <v>1.1291947805984543E-2</v>
      </c>
      <c r="P5" s="68">
        <f t="shared" si="1"/>
        <v>3.4063704977248959</v>
      </c>
      <c r="Q5" s="72">
        <f t="shared" si="12"/>
        <v>1.289629579334873E-4</v>
      </c>
      <c r="R5" s="85">
        <f t="shared" si="13"/>
        <v>9.8420724080737249E-4</v>
      </c>
      <c r="S5" s="2"/>
      <c r="T5" s="2"/>
    </row>
    <row r="6" spans="1:20" ht="16" x14ac:dyDescent="0.2">
      <c r="B6" s="125">
        <v>38.799999999999997</v>
      </c>
      <c r="C6" s="126">
        <v>31.3</v>
      </c>
      <c r="D6" s="9">
        <f t="shared" si="2"/>
        <v>3.6584202466292277</v>
      </c>
      <c r="E6" s="10">
        <f t="shared" si="3"/>
        <v>3.4436180975461075</v>
      </c>
      <c r="F6" s="10">
        <f t="shared" si="4"/>
        <v>1505.4399999999998</v>
      </c>
      <c r="G6" s="10">
        <f t="shared" si="5"/>
        <v>11.858505601747073</v>
      </c>
      <c r="H6" s="10">
        <f t="shared" si="6"/>
        <v>133.61238218478897</v>
      </c>
      <c r="I6" s="65">
        <f t="shared" si="0"/>
        <v>30.954879955342982</v>
      </c>
      <c r="J6" s="66">
        <f>C6-I6</f>
        <v>0.34512004465701906</v>
      </c>
      <c r="K6" s="68">
        <f t="shared" si="8"/>
        <v>0.11910784522406283</v>
      </c>
      <c r="L6" s="35">
        <f t="shared" si="9"/>
        <v>-0.49166666666666714</v>
      </c>
      <c r="M6" s="35">
        <f t="shared" si="14"/>
        <v>0.24173611111111157</v>
      </c>
      <c r="N6" s="71">
        <f t="shared" si="10"/>
        <v>0.40111111111111952</v>
      </c>
      <c r="O6" s="127">
        <f t="shared" si="11"/>
        <v>1.1026199509808916E-2</v>
      </c>
      <c r="P6" s="68">
        <f t="shared" si="1"/>
        <v>3.4325306589259754</v>
      </c>
      <c r="Q6" s="72">
        <f t="shared" si="12"/>
        <v>1.2293129515519597E-4</v>
      </c>
      <c r="R6" s="85">
        <f t="shared" si="13"/>
        <v>3.0037672113978233E-5</v>
      </c>
      <c r="S6" s="2"/>
      <c r="T6" s="2"/>
    </row>
    <row r="7" spans="1:20" ht="16" x14ac:dyDescent="0.2">
      <c r="B7" s="125">
        <v>38.9</v>
      </c>
      <c r="C7" s="126">
        <v>31.4</v>
      </c>
      <c r="D7" s="9">
        <f t="shared" si="2"/>
        <v>3.6609942506244004</v>
      </c>
      <c r="E7" s="10">
        <f t="shared" si="3"/>
        <v>3.4468078929142076</v>
      </c>
      <c r="F7" s="10">
        <f t="shared" si="4"/>
        <v>1513.2099999999998</v>
      </c>
      <c r="G7" s="10">
        <f t="shared" si="5"/>
        <v>11.88048465065568</v>
      </c>
      <c r="H7" s="10">
        <f t="shared" si="6"/>
        <v>134.08082703436267</v>
      </c>
      <c r="I7" s="65">
        <f t="shared" si="0"/>
        <v>31.03596443321069</v>
      </c>
      <c r="J7" s="65">
        <f>C7-I7</f>
        <v>0.36403556678930826</v>
      </c>
      <c r="K7" s="68">
        <f t="shared" si="8"/>
        <v>0.13252189388761293</v>
      </c>
      <c r="L7" s="35">
        <f t="shared" si="9"/>
        <v>-0.39166666666666927</v>
      </c>
      <c r="M7" s="35">
        <f t="shared" si="14"/>
        <v>0.15340277777777983</v>
      </c>
      <c r="N7" s="71">
        <f t="shared" si="10"/>
        <v>0.28444444444445</v>
      </c>
      <c r="O7" s="127">
        <f t="shared" si="11"/>
        <v>1.1593489388194531E-2</v>
      </c>
      <c r="P7" s="68">
        <f t="shared" si="1"/>
        <v>3.4351466750460835</v>
      </c>
      <c r="Q7" s="72">
        <f t="shared" si="12"/>
        <v>1.3598400216785746E-4</v>
      </c>
      <c r="R7" s="85">
        <f t="shared" si="13"/>
        <v>5.248076678102669E-6</v>
      </c>
      <c r="S7" s="2"/>
      <c r="T7" s="2"/>
    </row>
    <row r="8" spans="1:20" ht="16" x14ac:dyDescent="0.2">
      <c r="B8" s="125">
        <v>39.4</v>
      </c>
      <c r="C8" s="126">
        <v>31.6</v>
      </c>
      <c r="D8" s="9">
        <f t="shared" si="2"/>
        <v>3.673765816303888</v>
      </c>
      <c r="E8" s="10">
        <f t="shared" si="3"/>
        <v>3.4531571205928664</v>
      </c>
      <c r="F8" s="10">
        <f t="shared" si="4"/>
        <v>1552.36</v>
      </c>
      <c r="G8" s="10">
        <f t="shared" si="5"/>
        <v>11.924294099501216</v>
      </c>
      <c r="H8" s="10">
        <f t="shared" si="6"/>
        <v>136.05439055135892</v>
      </c>
      <c r="I8" s="65">
        <f t="shared" si="0"/>
        <v>31.444583911543535</v>
      </c>
      <c r="J8" s="65">
        <f t="shared" si="7"/>
        <v>0.15541608845646593</v>
      </c>
      <c r="K8" s="68">
        <f t="shared" si="8"/>
        <v>2.4154160551108042E-2</v>
      </c>
      <c r="L8" s="35">
        <f t="shared" si="9"/>
        <v>-0.19166666666666643</v>
      </c>
      <c r="M8" s="35">
        <f t="shared" si="14"/>
        <v>3.6736111111111018E-2</v>
      </c>
      <c r="N8" s="71">
        <f t="shared" si="10"/>
        <v>1.1111111111114585E-3</v>
      </c>
      <c r="O8" s="127">
        <f t="shared" si="11"/>
        <v>4.9182306473565165E-3</v>
      </c>
      <c r="P8" s="68">
        <f t="shared" si="1"/>
        <v>3.4482267556466231</v>
      </c>
      <c r="Q8" s="72">
        <f t="shared" si="12"/>
        <v>2.4308498503144957E-5</v>
      </c>
      <c r="R8" s="85">
        <f t="shared" si="13"/>
        <v>1.6470282422736537E-5</v>
      </c>
      <c r="S8" s="2"/>
      <c r="T8" s="2"/>
    </row>
    <row r="9" spans="1:20" ht="16" x14ac:dyDescent="0.2">
      <c r="B9" s="125">
        <v>40.200000000000003</v>
      </c>
      <c r="C9" s="126">
        <v>32.1</v>
      </c>
      <c r="D9" s="9">
        <f t="shared" si="2"/>
        <v>3.6938669956249757</v>
      </c>
      <c r="E9" s="10">
        <f t="shared" si="3"/>
        <v>3.4688560301359703</v>
      </c>
      <c r="F9" s="10">
        <f t="shared" si="4"/>
        <v>1616.0400000000002</v>
      </c>
      <c r="G9" s="10">
        <f t="shared" si="5"/>
        <v>12.032962157810683</v>
      </c>
      <c r="H9" s="10">
        <f t="shared" si="6"/>
        <v>139.44801241146601</v>
      </c>
      <c r="I9" s="65">
        <f t="shared" si="0"/>
        <v>32.109594662168114</v>
      </c>
      <c r="J9" s="65">
        <f t="shared" si="7"/>
        <v>-9.5946621681122224E-3</v>
      </c>
      <c r="K9" s="68">
        <f t="shared" si="8"/>
        <v>9.2057542120203929E-5</v>
      </c>
      <c r="L9" s="35">
        <f t="shared" si="9"/>
        <v>0.30833333333333357</v>
      </c>
      <c r="M9" s="35">
        <f t="shared" si="14"/>
        <v>9.5069444444444595E-2</v>
      </c>
      <c r="N9" s="71">
        <f t="shared" si="10"/>
        <v>0.58777777777777629</v>
      </c>
      <c r="O9" s="127">
        <f t="shared" si="11"/>
        <v>2.9889913296299759E-4</v>
      </c>
      <c r="P9" s="68">
        <f t="shared" si="1"/>
        <v>3.4691548846074864</v>
      </c>
      <c r="Q9" s="72">
        <f t="shared" si="12"/>
        <v>8.9313995145178784E-8</v>
      </c>
      <c r="R9" s="85">
        <f t="shared" si="13"/>
        <v>3.903496829211682E-4</v>
      </c>
      <c r="S9" s="2"/>
      <c r="T9" s="2"/>
    </row>
    <row r="10" spans="1:20" ht="16" x14ac:dyDescent="0.2">
      <c r="B10" s="125">
        <v>41.6</v>
      </c>
      <c r="C10" s="126">
        <v>33.700000000000003</v>
      </c>
      <c r="D10" s="9">
        <f t="shared" si="2"/>
        <v>3.7281001672672178</v>
      </c>
      <c r="E10" s="10">
        <f t="shared" si="3"/>
        <v>3.5174978373583161</v>
      </c>
      <c r="F10" s="10">
        <f t="shared" si="4"/>
        <v>1730.5600000000002</v>
      </c>
      <c r="G10" s="10">
        <f t="shared" si="5"/>
        <v>12.37279103582043</v>
      </c>
      <c r="H10" s="10">
        <f t="shared" si="6"/>
        <v>146.32791003410597</v>
      </c>
      <c r="I10" s="65">
        <f t="shared" si="0"/>
        <v>33.307383871497592</v>
      </c>
      <c r="J10" s="65">
        <f t="shared" si="7"/>
        <v>0.39261612850241079</v>
      </c>
      <c r="K10" s="68">
        <f t="shared" si="8"/>
        <v>0.15414742436022155</v>
      </c>
      <c r="L10" s="35">
        <f t="shared" si="9"/>
        <v>1.908333333333335</v>
      </c>
      <c r="M10" s="35">
        <f t="shared" si="14"/>
        <v>3.6417361111111175</v>
      </c>
      <c r="N10" s="71">
        <f t="shared" si="10"/>
        <v>4.694444444444434</v>
      </c>
      <c r="O10" s="127">
        <f t="shared" si="11"/>
        <v>1.1650330222623465E-2</v>
      </c>
      <c r="P10" s="68">
        <f t="shared" si="1"/>
        <v>3.5057791102889979</v>
      </c>
      <c r="Q10" s="72">
        <f t="shared" si="12"/>
        <v>1.3732856412517117E-4</v>
      </c>
      <c r="R10" s="85">
        <f t="shared" si="13"/>
        <v>4.678433643935811E-3</v>
      </c>
      <c r="S10" s="2"/>
      <c r="T10" s="2"/>
    </row>
    <row r="11" spans="1:20" ht="16" x14ac:dyDescent="0.2">
      <c r="B11" s="125">
        <v>41.7</v>
      </c>
      <c r="C11" s="126">
        <v>33.799999999999997</v>
      </c>
      <c r="D11" s="9">
        <f t="shared" si="2"/>
        <v>3.730501128804756</v>
      </c>
      <c r="E11" s="10">
        <f t="shared" si="3"/>
        <v>3.520460802488973</v>
      </c>
      <c r="F11" s="10">
        <f t="shared" si="4"/>
        <v>1738.8900000000003</v>
      </c>
      <c r="G11" s="10">
        <f t="shared" si="5"/>
        <v>12.393644261861304</v>
      </c>
      <c r="H11" s="10">
        <f t="shared" si="6"/>
        <v>146.8032154637902</v>
      </c>
      <c r="I11" s="65">
        <f t="shared" si="0"/>
        <v>33.394630594284308</v>
      </c>
      <c r="J11" s="65">
        <f t="shared" si="7"/>
        <v>0.40536940571568891</v>
      </c>
      <c r="K11" s="68">
        <f t="shared" si="8"/>
        <v>0.16432435509029081</v>
      </c>
      <c r="L11" s="35">
        <f t="shared" si="9"/>
        <v>2.0083333333333293</v>
      </c>
      <c r="M11" s="35">
        <f t="shared" si="14"/>
        <v>4.0334027777777619</v>
      </c>
      <c r="N11" s="71">
        <f t="shared" si="10"/>
        <v>5.1377777777777736</v>
      </c>
      <c r="O11" s="127">
        <f t="shared" si="11"/>
        <v>1.1993177683896123E-2</v>
      </c>
      <c r="P11" s="68">
        <f t="shared" si="1"/>
        <v>3.5083951264091056</v>
      </c>
      <c r="Q11" s="72">
        <f t="shared" si="12"/>
        <v>1.4558053926428473E-4</v>
      </c>
      <c r="R11" s="85">
        <f t="shared" si="13"/>
        <v>5.0925409626204777E-3</v>
      </c>
      <c r="S11" s="2"/>
      <c r="T11" s="2"/>
    </row>
    <row r="12" spans="1:20" ht="16" x14ac:dyDescent="0.2">
      <c r="B12" s="125">
        <v>47.8</v>
      </c>
      <c r="C12" s="126">
        <v>38.700000000000003</v>
      </c>
      <c r="D12" s="9">
        <f t="shared" si="2"/>
        <v>3.8670256394974101</v>
      </c>
      <c r="E12" s="10">
        <f t="shared" si="3"/>
        <v>3.655839600035736</v>
      </c>
      <c r="F12" s="10">
        <f t="shared" si="4"/>
        <v>2284.8399999999997</v>
      </c>
      <c r="G12" s="10">
        <f t="shared" si="5"/>
        <v>13.36516318118945</v>
      </c>
      <c r="H12" s="10">
        <f t="shared" si="6"/>
        <v>174.74913288170816</v>
      </c>
      <c r="I12" s="65">
        <f t="shared" si="0"/>
        <v>39.172387956596552</v>
      </c>
      <c r="J12" s="65">
        <f t="shared" si="7"/>
        <v>-0.47238795659654897</v>
      </c>
      <c r="K12" s="68">
        <f t="shared" si="8"/>
        <v>0.22315038153746303</v>
      </c>
      <c r="L12" s="35">
        <f t="shared" si="9"/>
        <v>6.908333333333335</v>
      </c>
      <c r="M12" s="35">
        <f t="shared" si="14"/>
        <v>47.725069444444465</v>
      </c>
      <c r="N12" s="71">
        <f t="shared" si="10"/>
        <v>70.001111111111001</v>
      </c>
      <c r="O12" s="127">
        <f t="shared" si="11"/>
        <v>1.2206407147197647E-2</v>
      </c>
      <c r="P12" s="68">
        <f t="shared" si="1"/>
        <v>3.6679721097356905</v>
      </c>
      <c r="Q12" s="72">
        <f t="shared" si="12"/>
        <v>1.4719779161948996E-4</v>
      </c>
      <c r="R12" s="85">
        <f t="shared" si="13"/>
        <v>4.2741774516933555E-2</v>
      </c>
      <c r="S12" s="2"/>
      <c r="T12" s="2"/>
    </row>
    <row r="13" spans="1:20" ht="17" thickBot="1" x14ac:dyDescent="0.25">
      <c r="B13" s="125">
        <v>49.3</v>
      </c>
      <c r="C13" s="126">
        <v>39.799999999999997</v>
      </c>
      <c r="D13" s="9">
        <f t="shared" si="2"/>
        <v>3.8979240810486444</v>
      </c>
      <c r="E13" s="10">
        <f t="shared" si="3"/>
        <v>3.6838669122903918</v>
      </c>
      <c r="F13" s="10">
        <f t="shared" si="4"/>
        <v>2430.4899999999998</v>
      </c>
      <c r="G13" s="10">
        <f t="shared" si="5"/>
        <v>13.570875427467945</v>
      </c>
      <c r="H13" s="10">
        <f t="shared" si="6"/>
        <v>181.61463877591629</v>
      </c>
      <c r="I13" s="65">
        <f t="shared" si="0"/>
        <v>40.740079065769315</v>
      </c>
      <c r="J13" s="65">
        <f t="shared" si="7"/>
        <v>-0.94007906576931788</v>
      </c>
      <c r="K13" s="68">
        <f t="shared" si="8"/>
        <v>0.88374864989771351</v>
      </c>
      <c r="L13" s="35">
        <f t="shared" si="9"/>
        <v>8.0083333333333293</v>
      </c>
      <c r="M13" s="35">
        <f>L13^2</f>
        <v>64.133402777777718</v>
      </c>
      <c r="N13" s="71">
        <f t="shared" si="10"/>
        <v>97.351111111110981</v>
      </c>
      <c r="O13" s="127">
        <f t="shared" si="11"/>
        <v>2.3620077029379849E-2</v>
      </c>
      <c r="P13" s="68">
        <f t="shared" si="1"/>
        <v>3.7072123515373097</v>
      </c>
      <c r="Q13" s="72">
        <f t="shared" si="12"/>
        <v>5.4500953363153452E-4</v>
      </c>
      <c r="R13" s="85">
        <f t="shared" si="13"/>
        <v>5.5116084850921031E-2</v>
      </c>
      <c r="S13" s="2"/>
      <c r="T13" s="2"/>
    </row>
    <row r="14" spans="1:20" ht="20" thickBot="1" x14ac:dyDescent="0.25">
      <c r="A14" s="7" t="s">
        <v>9</v>
      </c>
      <c r="B14" s="25">
        <f>SUM(B2:B13)</f>
        <v>473.20000000000005</v>
      </c>
      <c r="C14" s="26">
        <f>SUM(C2:C13)</f>
        <v>381.5</v>
      </c>
      <c r="D14" s="26">
        <f t="shared" ref="D14:K14" si="15">SUM(D2:D13)</f>
        <v>43.976879221655366</v>
      </c>
      <c r="E14" s="26">
        <f t="shared" si="15"/>
        <v>41.389185132239909</v>
      </c>
      <c r="F14" s="26">
        <f t="shared" si="15"/>
        <v>19017.599999999999</v>
      </c>
      <c r="G14" s="26">
        <f t="shared" si="15"/>
        <v>143.00235019003168</v>
      </c>
      <c r="H14" s="26">
        <f t="shared" si="15"/>
        <v>1641.4722441838096</v>
      </c>
      <c r="I14" s="26">
        <f t="shared" si="15"/>
        <v>381.53029016948534</v>
      </c>
      <c r="J14" s="26">
        <f t="shared" si="15"/>
        <v>-3.0290169485372331E-2</v>
      </c>
      <c r="K14" s="26">
        <f t="shared" si="15"/>
        <v>2.2929276769157969</v>
      </c>
      <c r="L14" s="26">
        <f>SUM(L2:L13)</f>
        <v>0</v>
      </c>
      <c r="M14" s="26">
        <f>SUM(M2:M13)</f>
        <v>238.34916666666666</v>
      </c>
      <c r="N14" s="73">
        <f>SUM(N2:N13)</f>
        <v>357.74666666666661</v>
      </c>
      <c r="O14" s="128">
        <f t="shared" ref="O14:Q14" si="16">SUM(O2:O13)</f>
        <v>0.14318225731827378</v>
      </c>
      <c r="P14" s="26">
        <f t="shared" si="16"/>
        <v>41.389185132239909</v>
      </c>
      <c r="Q14" s="74">
        <f t="shared" si="16"/>
        <v>2.1376562887425263E-3</v>
      </c>
      <c r="R14" s="101">
        <f>SUM(R2:R13)</f>
        <v>0.24696303079593274</v>
      </c>
      <c r="S14" s="20"/>
      <c r="T14" s="20"/>
    </row>
    <row r="15" spans="1:20" ht="39" thickBot="1" x14ac:dyDescent="0.25">
      <c r="A15" s="7" t="s">
        <v>10</v>
      </c>
      <c r="B15" s="86">
        <f>AVERAGE(B2:B13)</f>
        <v>39.433333333333337</v>
      </c>
      <c r="C15" s="87">
        <f t="shared" ref="C15:R15" si="17">AVERAGE(C2:C13)</f>
        <v>31.791666666666668</v>
      </c>
      <c r="D15" s="87">
        <f t="shared" si="17"/>
        <v>3.664739935137947</v>
      </c>
      <c r="E15" s="88">
        <f t="shared" si="17"/>
        <v>3.4490987610199926</v>
      </c>
      <c r="F15" s="87">
        <f t="shared" si="17"/>
        <v>1584.8</v>
      </c>
      <c r="G15" s="87">
        <f t="shared" si="17"/>
        <v>11.916862515835973</v>
      </c>
      <c r="H15" s="87">
        <f t="shared" si="17"/>
        <v>136.78935368198412</v>
      </c>
      <c r="I15" s="87">
        <f t="shared" si="17"/>
        <v>31.794190847457113</v>
      </c>
      <c r="J15" s="87">
        <f t="shared" si="17"/>
        <v>-2.5241807904476943E-3</v>
      </c>
      <c r="K15" s="87">
        <f t="shared" si="17"/>
        <v>0.19107730640964973</v>
      </c>
      <c r="L15" s="87">
        <f t="shared" si="17"/>
        <v>0</v>
      </c>
      <c r="M15" s="87">
        <f t="shared" si="17"/>
        <v>19.862430555555555</v>
      </c>
      <c r="N15" s="87">
        <f t="shared" si="17"/>
        <v>29.812222222222218</v>
      </c>
      <c r="O15" s="128">
        <f t="shared" si="17"/>
        <v>1.1931854776522815E-2</v>
      </c>
      <c r="P15" s="87">
        <f t="shared" si="17"/>
        <v>3.4490987610199926</v>
      </c>
      <c r="Q15" s="87">
        <f t="shared" si="17"/>
        <v>1.7813802406187719E-4</v>
      </c>
      <c r="R15" s="87">
        <f t="shared" si="17"/>
        <v>2.0580252566327728E-2</v>
      </c>
      <c r="S15" s="102"/>
      <c r="T15" s="102"/>
    </row>
    <row r="16" spans="1:20" ht="20" thickBot="1" x14ac:dyDescent="0.25">
      <c r="A16" s="16" t="s">
        <v>11</v>
      </c>
      <c r="B16" s="29"/>
      <c r="C16" s="61"/>
      <c r="D16" s="29">
        <f>SQRT(D17)</f>
        <v>39.640505561960296</v>
      </c>
      <c r="E16" s="59">
        <f>SQRT(E17)</f>
        <v>0.14345819100464741</v>
      </c>
      <c r="J16" s="35"/>
      <c r="Q16" s="105"/>
      <c r="R16" s="104"/>
      <c r="S16" s="15"/>
      <c r="T16" s="15"/>
    </row>
    <row r="17" spans="1:20" ht="22" x14ac:dyDescent="0.2">
      <c r="A17" s="75" t="s">
        <v>12</v>
      </c>
      <c r="B17" s="76"/>
      <c r="C17" s="77"/>
      <c r="D17" s="76">
        <f>F15-D15^2</f>
        <v>1571.3696812078051</v>
      </c>
      <c r="E17" s="78">
        <f>G15-E15^2</f>
        <v>2.0580252566325896E-2</v>
      </c>
      <c r="F17" s="106"/>
      <c r="G17" s="106"/>
      <c r="H17" s="106"/>
      <c r="I17" s="106"/>
      <c r="J17" s="107"/>
      <c r="K17" s="106"/>
      <c r="L17" s="106"/>
      <c r="M17" s="106"/>
      <c r="N17" s="106"/>
      <c r="O17" s="106"/>
      <c r="P17" s="106"/>
      <c r="Q17" s="106"/>
      <c r="R17" s="108"/>
      <c r="S17" s="103"/>
      <c r="T17" s="103"/>
    </row>
    <row r="18" spans="1:20" ht="19" x14ac:dyDescent="0.25">
      <c r="B18" s="34"/>
      <c r="C18" s="34"/>
      <c r="D18" s="34"/>
      <c r="E18" s="34"/>
      <c r="F18" s="109"/>
      <c r="G18" s="110"/>
      <c r="H18" s="109"/>
      <c r="I18" s="109"/>
      <c r="J18" s="109"/>
      <c r="K18" s="106"/>
      <c r="L18" s="106"/>
      <c r="M18" s="106"/>
      <c r="N18" s="106"/>
      <c r="O18" s="111"/>
      <c r="P18" s="106"/>
      <c r="Q18" s="112"/>
      <c r="R18" s="106"/>
      <c r="S18" s="34"/>
      <c r="T18" s="34"/>
    </row>
    <row r="19" spans="1:20" ht="30" x14ac:dyDescent="0.2">
      <c r="A19" s="52"/>
      <c r="B19" s="169" t="s">
        <v>73</v>
      </c>
      <c r="C19" s="169"/>
      <c r="D19" s="169"/>
    </row>
    <row r="20" spans="1:20" x14ac:dyDescent="0.2">
      <c r="B20" s="169"/>
      <c r="C20" s="169"/>
      <c r="D20" s="169"/>
    </row>
    <row r="21" spans="1:20" x14ac:dyDescent="0.2">
      <c r="B21" s="169"/>
      <c r="C21" s="169"/>
      <c r="D21" s="169"/>
    </row>
    <row r="22" spans="1:20" x14ac:dyDescent="0.2">
      <c r="B22" s="169"/>
      <c r="C22" s="169"/>
      <c r="D22" s="169"/>
    </row>
    <row r="23" spans="1:20" x14ac:dyDescent="0.2">
      <c r="B23" s="169"/>
      <c r="C23" s="169"/>
      <c r="D23" s="169"/>
    </row>
    <row r="24" spans="1:20" x14ac:dyDescent="0.2">
      <c r="B24" s="169"/>
      <c r="C24" s="169"/>
      <c r="D24" s="169"/>
    </row>
    <row r="25" spans="1:20" x14ac:dyDescent="0.2">
      <c r="B25" s="169"/>
      <c r="C25" s="169"/>
      <c r="D25" s="169"/>
    </row>
    <row r="26" spans="1:20" x14ac:dyDescent="0.2">
      <c r="B26" s="169"/>
      <c r="C26" s="169"/>
      <c r="D26" s="169"/>
    </row>
    <row r="27" spans="1:20" ht="30" x14ac:dyDescent="0.2">
      <c r="A27" s="52" t="s">
        <v>44</v>
      </c>
    </row>
    <row r="29" spans="1:20" x14ac:dyDescent="0.2">
      <c r="C29" s="147">
        <f>(H15-E15*B15)/(F15-(B15^2))</f>
        <v>2.6160161201079436E-2</v>
      </c>
    </row>
    <row r="32" spans="1:20" ht="17" x14ac:dyDescent="0.2">
      <c r="B32" s="82" t="s">
        <v>75</v>
      </c>
      <c r="C32" s="85">
        <f>E15-C29*B15</f>
        <v>2.4175164043240933</v>
      </c>
    </row>
    <row r="34" spans="1:15" ht="18" x14ac:dyDescent="0.2">
      <c r="B34" s="36" t="s">
        <v>74</v>
      </c>
      <c r="C34" s="35">
        <f>EXP(C32)</f>
        <v>11.217963802241703</v>
      </c>
    </row>
    <row r="36" spans="1:15" x14ac:dyDescent="0.2">
      <c r="B36" t="s">
        <v>76</v>
      </c>
    </row>
    <row r="37" spans="1:15" ht="18" x14ac:dyDescent="0.2">
      <c r="B37" s="160" t="s">
        <v>127</v>
      </c>
      <c r="C37" s="160"/>
    </row>
    <row r="38" spans="1:15" x14ac:dyDescent="0.2">
      <c r="E38" s="83"/>
    </row>
    <row r="41" spans="1:15" ht="28.25" customHeight="1" x14ac:dyDescent="0.2">
      <c r="A41" s="52" t="s">
        <v>46</v>
      </c>
    </row>
    <row r="42" spans="1:15" ht="25.25" customHeight="1" x14ac:dyDescent="0.2">
      <c r="F42" s="170" t="s">
        <v>130</v>
      </c>
      <c r="G42" s="170"/>
      <c r="H42" s="170"/>
      <c r="I42" s="170"/>
      <c r="J42" s="170"/>
      <c r="K42" s="170"/>
      <c r="L42" s="170"/>
      <c r="M42" s="170"/>
      <c r="N42" s="170"/>
      <c r="O42" s="170"/>
    </row>
    <row r="43" spans="1:15" ht="23.5" customHeight="1" x14ac:dyDescent="0.2">
      <c r="F43" s="170"/>
      <c r="G43" s="170"/>
      <c r="H43" s="170"/>
      <c r="I43" s="170"/>
      <c r="J43" s="170"/>
      <c r="K43" s="170"/>
      <c r="L43" s="170"/>
      <c r="M43" s="170"/>
      <c r="N43" s="170"/>
      <c r="O43" s="170"/>
    </row>
    <row r="44" spans="1:15" ht="18" customHeight="1" x14ac:dyDescent="0.2">
      <c r="D44" s="140">
        <f>SQRT(1-(Q14/R14))</f>
        <v>0.99566270672523682</v>
      </c>
      <c r="F44" s="170"/>
      <c r="G44" s="170"/>
      <c r="H44" s="170"/>
      <c r="I44" s="170"/>
      <c r="J44" s="170"/>
      <c r="K44" s="170"/>
      <c r="L44" s="170"/>
      <c r="M44" s="170"/>
      <c r="N44" s="170"/>
      <c r="O44" s="170"/>
    </row>
    <row r="45" spans="1:15" ht="14.5" customHeight="1" x14ac:dyDescent="0.2">
      <c r="F45" s="170"/>
      <c r="G45" s="170"/>
      <c r="H45" s="170"/>
      <c r="I45" s="170"/>
      <c r="J45" s="170"/>
      <c r="K45" s="170"/>
      <c r="L45" s="170"/>
      <c r="M45" s="170"/>
      <c r="N45" s="170"/>
      <c r="O45" s="170"/>
    </row>
    <row r="46" spans="1:15" ht="18" customHeight="1" x14ac:dyDescent="0.2">
      <c r="F46" s="170"/>
      <c r="G46" s="170"/>
      <c r="H46" s="170"/>
      <c r="I46" s="170"/>
      <c r="J46" s="170"/>
      <c r="K46" s="170"/>
      <c r="L46" s="170"/>
      <c r="M46" s="170"/>
      <c r="N46" s="170"/>
      <c r="O46" s="170"/>
    </row>
    <row r="47" spans="1:15" ht="18" customHeight="1" x14ac:dyDescent="0.2">
      <c r="D47" s="142">
        <f>D44^2</f>
        <v>0.99134422556342494</v>
      </c>
      <c r="F47" s="170"/>
      <c r="G47" s="170"/>
      <c r="H47" s="170"/>
      <c r="I47" s="170"/>
      <c r="J47" s="170"/>
      <c r="K47" s="170"/>
      <c r="L47" s="170"/>
      <c r="M47" s="170"/>
      <c r="N47" s="170"/>
      <c r="O47" s="170"/>
    </row>
    <row r="48" spans="1:15" ht="30" x14ac:dyDescent="0.2">
      <c r="A48" s="52" t="s">
        <v>49</v>
      </c>
    </row>
    <row r="49" spans="1:15" ht="19" x14ac:dyDescent="0.25">
      <c r="C49" s="67" t="s">
        <v>63</v>
      </c>
      <c r="D49" s="127">
        <f>AVERAGE(O2:O13)</f>
        <v>1.1931854776522815E-2</v>
      </c>
      <c r="F49" s="168" t="s">
        <v>119</v>
      </c>
      <c r="G49" s="168"/>
      <c r="H49" s="168"/>
      <c r="I49" s="168"/>
      <c r="J49" s="168"/>
      <c r="K49" s="168"/>
      <c r="L49" s="168"/>
      <c r="M49" s="168"/>
      <c r="N49" s="98"/>
      <c r="O49" s="98"/>
    </row>
    <row r="50" spans="1:15" ht="30" x14ac:dyDescent="0.2">
      <c r="A50" s="52" t="s">
        <v>51</v>
      </c>
      <c r="F50" s="98"/>
      <c r="G50" s="98"/>
      <c r="H50" s="98"/>
      <c r="I50" s="98"/>
      <c r="J50" s="98"/>
      <c r="K50" s="98"/>
      <c r="L50" s="98"/>
      <c r="M50" s="98"/>
      <c r="N50" s="98"/>
      <c r="O50" s="98"/>
    </row>
    <row r="51" spans="1:15" ht="18" x14ac:dyDescent="0.2">
      <c r="B51" s="90" t="s">
        <v>92</v>
      </c>
      <c r="C51">
        <f>(D47/(1-D47)*10)</f>
        <v>1145.2981276574055</v>
      </c>
    </row>
    <row r="52" spans="1:15" x14ac:dyDescent="0.2">
      <c r="F52" s="157" t="s">
        <v>95</v>
      </c>
      <c r="G52" s="157"/>
      <c r="H52" s="157"/>
      <c r="I52" s="157"/>
      <c r="J52" s="157"/>
      <c r="K52" s="157"/>
      <c r="L52" s="157"/>
      <c r="M52" s="157"/>
      <c r="N52" s="157"/>
    </row>
    <row r="53" spans="1:15" ht="18" x14ac:dyDescent="0.2">
      <c r="B53" s="97" t="s">
        <v>93</v>
      </c>
      <c r="C53" s="70">
        <v>4.96</v>
      </c>
    </row>
    <row r="55" spans="1:15" ht="30" x14ac:dyDescent="0.2">
      <c r="A55" s="52" t="s">
        <v>52</v>
      </c>
    </row>
    <row r="56" spans="1:15" x14ac:dyDescent="0.2">
      <c r="E56" s="166" t="s">
        <v>122</v>
      </c>
      <c r="F56" s="167"/>
      <c r="G56" s="167"/>
      <c r="H56" s="167"/>
      <c r="I56" s="167"/>
    </row>
    <row r="57" spans="1:15" x14ac:dyDescent="0.2">
      <c r="E57" s="167"/>
      <c r="F57" s="167"/>
      <c r="G57" s="167"/>
      <c r="H57" s="167"/>
      <c r="I57" s="167"/>
    </row>
    <row r="58" spans="1:15" ht="18.5" customHeight="1" x14ac:dyDescent="0.25">
      <c r="B58" s="90" t="s">
        <v>79</v>
      </c>
      <c r="C58" s="91">
        <f>SQRT(Q14/12/N14)</f>
        <v>7.0565190357635833E-4</v>
      </c>
      <c r="E58" s="167"/>
      <c r="F58" s="167"/>
      <c r="G58" s="167"/>
      <c r="H58" s="167"/>
      <c r="I58" s="167"/>
    </row>
    <row r="59" spans="1:15" ht="20" x14ac:dyDescent="0.25">
      <c r="B59" s="90" t="s">
        <v>80</v>
      </c>
      <c r="C59">
        <f>SQRT(Q14*F14/(10*12*N14))</f>
        <v>3.0772896185631591E-2</v>
      </c>
      <c r="E59" s="167"/>
      <c r="F59" s="167"/>
      <c r="G59" s="167"/>
      <c r="H59" s="167"/>
      <c r="I59" s="167"/>
    </row>
    <row r="60" spans="1:15" ht="20" x14ac:dyDescent="0.25">
      <c r="B60" s="90" t="s">
        <v>81</v>
      </c>
      <c r="C60">
        <f>SQRT((1-D47)/10)</f>
        <v>2.9420697538595272E-2</v>
      </c>
      <c r="E60" s="167"/>
      <c r="F60" s="167"/>
      <c r="G60" s="167"/>
      <c r="H60" s="167"/>
      <c r="I60" s="167"/>
    </row>
    <row r="61" spans="1:15" ht="20" x14ac:dyDescent="0.25">
      <c r="B61" s="92" t="s">
        <v>82</v>
      </c>
      <c r="C61" s="89">
        <f>C29/C58</f>
        <v>37.072331369752554</v>
      </c>
      <c r="E61" s="167"/>
      <c r="F61" s="167"/>
      <c r="G61" s="167"/>
      <c r="H61" s="167"/>
      <c r="I61" s="167"/>
    </row>
    <row r="62" spans="1:15" ht="20" x14ac:dyDescent="0.25">
      <c r="B62" s="92" t="s">
        <v>83</v>
      </c>
      <c r="C62" s="136">
        <f>C32/C59</f>
        <v>78.559924608359566</v>
      </c>
      <c r="E62" s="167"/>
      <c r="F62" s="167"/>
      <c r="G62" s="167"/>
      <c r="H62" s="167"/>
      <c r="I62" s="167"/>
    </row>
    <row r="63" spans="1:15" ht="20" x14ac:dyDescent="0.25">
      <c r="B63" s="92" t="s">
        <v>84</v>
      </c>
      <c r="C63" s="89">
        <f>D44/C60</f>
        <v>33.842253584201593</v>
      </c>
      <c r="E63" s="167"/>
      <c r="F63" s="167"/>
      <c r="G63" s="167"/>
      <c r="H63" s="167"/>
      <c r="I63" s="167"/>
    </row>
    <row r="64" spans="1:15" x14ac:dyDescent="0.2">
      <c r="E64" s="167"/>
      <c r="F64" s="167"/>
      <c r="G64" s="167"/>
      <c r="H64" s="167"/>
      <c r="I64" s="167"/>
    </row>
    <row r="65" spans="5:9" x14ac:dyDescent="0.2">
      <c r="E65" s="167"/>
      <c r="F65" s="167"/>
      <c r="G65" s="167"/>
      <c r="H65" s="167"/>
      <c r="I65" s="167"/>
    </row>
    <row r="66" spans="5:9" x14ac:dyDescent="0.2">
      <c r="E66" s="167"/>
      <c r="F66" s="167"/>
      <c r="G66" s="167"/>
      <c r="H66" s="167"/>
      <c r="I66" s="167"/>
    </row>
    <row r="67" spans="5:9" x14ac:dyDescent="0.2">
      <c r="E67" s="167"/>
      <c r="F67" s="167"/>
      <c r="G67" s="167"/>
      <c r="H67" s="167"/>
      <c r="I67" s="167"/>
    </row>
    <row r="68" spans="5:9" x14ac:dyDescent="0.2">
      <c r="E68" s="167"/>
      <c r="F68" s="167"/>
      <c r="G68" s="167"/>
      <c r="H68" s="167"/>
      <c r="I68" s="167"/>
    </row>
    <row r="69" spans="5:9" x14ac:dyDescent="0.2">
      <c r="E69" s="167"/>
      <c r="F69" s="167"/>
      <c r="G69" s="167"/>
      <c r="H69" s="167"/>
      <c r="I69" s="167"/>
    </row>
    <row r="70" spans="5:9" x14ac:dyDescent="0.2">
      <c r="E70" s="167"/>
      <c r="F70" s="167"/>
      <c r="G70" s="167"/>
      <c r="H70" s="167"/>
      <c r="I70" s="167"/>
    </row>
  </sheetData>
  <mergeCells count="6">
    <mergeCell ref="F49:M49"/>
    <mergeCell ref="F52:N52"/>
    <mergeCell ref="E56:I70"/>
    <mergeCell ref="B19:D26"/>
    <mergeCell ref="F42:O47"/>
    <mergeCell ref="B37:C37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7171" r:id="rId3">
          <objectPr defaultSize="0" r:id="rId4">
            <anchor moveWithCells="1">
              <from>
                <xdr:col>1</xdr:col>
                <xdr:colOff>596900</xdr:colOff>
                <xdr:row>42</xdr:row>
                <xdr:rowOff>88900</xdr:rowOff>
              </from>
              <to>
                <xdr:col>3</xdr:col>
                <xdr:colOff>584200</xdr:colOff>
                <xdr:row>45</xdr:row>
                <xdr:rowOff>0</xdr:rowOff>
              </to>
            </anchor>
          </objectPr>
        </oleObject>
      </mc:Choice>
      <mc:Fallback>
        <oleObject progId="Equation.3" shapeId="7171" r:id="rId3"/>
      </mc:Fallback>
    </mc:AlternateContent>
    <mc:AlternateContent xmlns:mc="http://schemas.openxmlformats.org/markup-compatibility/2006">
      <mc:Choice Requires="x14">
        <oleObject progId="Equation.3" shapeId="7172" r:id="rId5">
          <objectPr defaultSize="0" r:id="rId6">
            <anchor moveWithCells="1">
              <from>
                <xdr:col>3</xdr:col>
                <xdr:colOff>279400</xdr:colOff>
                <xdr:row>46</xdr:row>
                <xdr:rowOff>0</xdr:rowOff>
              </from>
              <to>
                <xdr:col>3</xdr:col>
                <xdr:colOff>812800</xdr:colOff>
                <xdr:row>47</xdr:row>
                <xdr:rowOff>50800</xdr:rowOff>
              </to>
            </anchor>
          </objectPr>
        </oleObject>
      </mc:Choice>
      <mc:Fallback>
        <oleObject progId="Equation.3" shapeId="7172" r:id="rId5"/>
      </mc:Fallback>
    </mc:AlternateContent>
    <mc:AlternateContent xmlns:mc="http://schemas.openxmlformats.org/markup-compatibility/2006">
      <mc:Choice Requires="x14">
        <oleObject progId="Equation.3" shapeId="7169" r:id="rId7">
          <objectPr defaultSize="0" autoPict="0" r:id="rId8">
            <anchor moveWithCells="1" sizeWithCells="1">
              <from>
                <xdr:col>8</xdr:col>
                <xdr:colOff>215900</xdr:colOff>
                <xdr:row>0</xdr:row>
                <xdr:rowOff>0</xdr:rowOff>
              </from>
              <to>
                <xdr:col>8</xdr:col>
                <xdr:colOff>406400</xdr:colOff>
                <xdr:row>1</xdr:row>
                <xdr:rowOff>12700</xdr:rowOff>
              </to>
            </anchor>
          </objectPr>
        </oleObject>
      </mc:Choice>
      <mc:Fallback>
        <oleObject progId="Equation.3" shapeId="7169" r:id="rId7"/>
      </mc:Fallback>
    </mc:AlternateContent>
    <mc:AlternateContent xmlns:mc="http://schemas.openxmlformats.org/markup-compatibility/2006">
      <mc:Choice Requires="x14">
        <oleObject progId="Equation.3" shapeId="7170" r:id="rId9">
          <objectPr defaultSize="0" autoPict="0" r:id="rId10">
            <anchor moveWithCells="1" sizeWithCells="1">
              <from>
                <xdr:col>9</xdr:col>
                <xdr:colOff>228600</xdr:colOff>
                <xdr:row>0</xdr:row>
                <xdr:rowOff>12700</xdr:rowOff>
              </from>
              <to>
                <xdr:col>9</xdr:col>
                <xdr:colOff>635000</xdr:colOff>
                <xdr:row>0</xdr:row>
                <xdr:rowOff>215900</xdr:rowOff>
              </to>
            </anchor>
          </objectPr>
        </oleObject>
      </mc:Choice>
      <mc:Fallback>
        <oleObject progId="Equation.3" shapeId="7170" r:id="rId9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E2186-3936-437D-8A5E-41CF9D755FA7}">
  <dimension ref="A1:I36"/>
  <sheetViews>
    <sheetView workbookViewId="0">
      <selection activeCell="Y15" sqref="Y15"/>
    </sheetView>
  </sheetViews>
  <sheetFormatPr baseColWidth="10" defaultColWidth="8.83203125" defaultRowHeight="15" x14ac:dyDescent="0.2"/>
  <cols>
    <col min="1" max="1" width="26.5" bestFit="1" customWidth="1"/>
    <col min="2" max="2" width="17.6640625" bestFit="1" customWidth="1"/>
    <col min="3" max="3" width="23.33203125" bestFit="1" customWidth="1"/>
    <col min="4" max="4" width="15.6640625" bestFit="1" customWidth="1"/>
    <col min="5" max="5" width="21.5" bestFit="1" customWidth="1"/>
    <col min="6" max="6" width="15.1640625" bestFit="1" customWidth="1"/>
    <col min="7" max="7" width="13.5" bestFit="1" customWidth="1"/>
    <col min="8" max="8" width="15" bestFit="1" customWidth="1"/>
    <col min="9" max="9" width="15.1640625" bestFit="1" customWidth="1"/>
  </cols>
  <sheetData>
    <row r="1" spans="1:9" x14ac:dyDescent="0.2">
      <c r="A1" t="s">
        <v>13</v>
      </c>
    </row>
    <row r="2" spans="1:9" ht="16" thickBot="1" x14ac:dyDescent="0.25"/>
    <row r="3" spans="1:9" x14ac:dyDescent="0.2">
      <c r="A3" s="138" t="s">
        <v>14</v>
      </c>
      <c r="B3" s="138"/>
    </row>
    <row r="4" spans="1:9" x14ac:dyDescent="0.2">
      <c r="A4" t="s">
        <v>15</v>
      </c>
      <c r="B4">
        <v>0.99566270672523682</v>
      </c>
    </row>
    <row r="5" spans="1:9" x14ac:dyDescent="0.2">
      <c r="A5" t="s">
        <v>16</v>
      </c>
      <c r="B5">
        <v>0.99134422556342505</v>
      </c>
    </row>
    <row r="6" spans="1:9" x14ac:dyDescent="0.2">
      <c r="A6" t="s">
        <v>17</v>
      </c>
      <c r="B6">
        <v>0.99047864811976749</v>
      </c>
    </row>
    <row r="7" spans="1:9" x14ac:dyDescent="0.2">
      <c r="A7" t="s">
        <v>18</v>
      </c>
      <c r="B7">
        <v>1.4620726003665221E-2</v>
      </c>
    </row>
    <row r="8" spans="1:9" ht="16" thickBot="1" x14ac:dyDescent="0.25">
      <c r="A8" s="23" t="s">
        <v>19</v>
      </c>
      <c r="B8" s="23">
        <v>12</v>
      </c>
    </row>
    <row r="10" spans="1:9" ht="16" thickBot="1" x14ac:dyDescent="0.25">
      <c r="A10" t="s">
        <v>20</v>
      </c>
    </row>
    <row r="11" spans="1:9" x14ac:dyDescent="0.2">
      <c r="A11" s="137"/>
      <c r="B11" s="137" t="s">
        <v>24</v>
      </c>
      <c r="C11" s="137" t="s">
        <v>25</v>
      </c>
      <c r="D11" s="137" t="s">
        <v>26</v>
      </c>
      <c r="E11" s="137" t="s">
        <v>27</v>
      </c>
      <c r="F11" s="137" t="s">
        <v>28</v>
      </c>
    </row>
    <row r="12" spans="1:9" x14ac:dyDescent="0.2">
      <c r="A12" t="s">
        <v>21</v>
      </c>
      <c r="B12">
        <v>1</v>
      </c>
      <c r="C12">
        <v>0.24482537450719022</v>
      </c>
      <c r="D12">
        <v>0.24482537450719022</v>
      </c>
      <c r="E12">
        <v>1145.298127657411</v>
      </c>
      <c r="F12">
        <v>1.2000586534770223E-11</v>
      </c>
    </row>
    <row r="13" spans="1:9" x14ac:dyDescent="0.2">
      <c r="A13" t="s">
        <v>22</v>
      </c>
      <c r="B13">
        <v>10</v>
      </c>
      <c r="C13">
        <v>2.1376562887425237E-3</v>
      </c>
      <c r="D13">
        <v>2.1376562887425238E-4</v>
      </c>
    </row>
    <row r="14" spans="1:9" ht="16" thickBot="1" x14ac:dyDescent="0.25">
      <c r="A14" s="23" t="s">
        <v>9</v>
      </c>
      <c r="B14" s="23">
        <v>11</v>
      </c>
      <c r="C14" s="23">
        <v>0.24696303079593274</v>
      </c>
      <c r="D14" s="23"/>
      <c r="E14" s="23"/>
      <c r="F14" s="23"/>
    </row>
    <row r="15" spans="1:9" ht="16" thickBot="1" x14ac:dyDescent="0.25"/>
    <row r="16" spans="1:9" x14ac:dyDescent="0.2">
      <c r="A16" s="137"/>
      <c r="B16" s="137" t="s">
        <v>29</v>
      </c>
      <c r="C16" s="137" t="s">
        <v>18</v>
      </c>
      <c r="D16" s="137" t="s">
        <v>30</v>
      </c>
      <c r="E16" s="137" t="s">
        <v>31</v>
      </c>
      <c r="F16" s="137" t="s">
        <v>32</v>
      </c>
      <c r="G16" s="137" t="s">
        <v>33</v>
      </c>
      <c r="H16" s="137" t="s">
        <v>34</v>
      </c>
      <c r="I16" s="137" t="s">
        <v>35</v>
      </c>
    </row>
    <row r="17" spans="1:9" x14ac:dyDescent="0.2">
      <c r="A17" t="s">
        <v>23</v>
      </c>
      <c r="B17">
        <v>2.4175164043240365</v>
      </c>
      <c r="C17">
        <v>3.0772896185631567E-2</v>
      </c>
      <c r="D17">
        <v>78.559924608357775</v>
      </c>
      <c r="E17">
        <v>2.7281442594984815E-15</v>
      </c>
      <c r="F17">
        <v>2.3489501187446904</v>
      </c>
      <c r="G17">
        <v>2.4860826899033825</v>
      </c>
      <c r="H17">
        <v>2.3489501187446904</v>
      </c>
      <c r="I17">
        <v>2.4860826899033825</v>
      </c>
    </row>
    <row r="18" spans="1:9" ht="16" thickBot="1" x14ac:dyDescent="0.25">
      <c r="A18" s="23" t="s">
        <v>36</v>
      </c>
      <c r="B18" s="23">
        <v>2.6160161201080879E-2</v>
      </c>
      <c r="C18" s="23">
        <v>7.7300293067046318E-4</v>
      </c>
      <c r="D18" s="23">
        <v>33.842253584201671</v>
      </c>
      <c r="E18" s="23">
        <v>1.2000586534770223E-11</v>
      </c>
      <c r="F18" s="23">
        <v>2.4437803338554769E-2</v>
      </c>
      <c r="G18" s="23">
        <v>2.7882519063606989E-2</v>
      </c>
      <c r="H18" s="23">
        <v>2.4437803338554769E-2</v>
      </c>
      <c r="I18" s="23">
        <v>2.7882519063606989E-2</v>
      </c>
    </row>
    <row r="22" spans="1:9" x14ac:dyDescent="0.2">
      <c r="A22" t="s">
        <v>37</v>
      </c>
      <c r="E22" t="s">
        <v>41</v>
      </c>
    </row>
    <row r="23" spans="1:9" ht="16" thickBot="1" x14ac:dyDescent="0.25"/>
    <row r="24" spans="1:9" x14ac:dyDescent="0.2">
      <c r="A24" s="137" t="s">
        <v>38</v>
      </c>
      <c r="B24" s="137" t="s">
        <v>39</v>
      </c>
      <c r="C24" s="137" t="s">
        <v>40</v>
      </c>
      <c r="E24" s="137" t="s">
        <v>42</v>
      </c>
      <c r="F24" s="137" t="s">
        <v>43</v>
      </c>
    </row>
    <row r="25" spans="1:9" x14ac:dyDescent="0.2">
      <c r="A25">
        <v>1</v>
      </c>
      <c r="B25">
        <v>3.1997052242363546</v>
      </c>
      <c r="C25">
        <v>-1.3352591073713782E-2</v>
      </c>
      <c r="E25">
        <v>4.166666666666667</v>
      </c>
      <c r="F25">
        <v>3.1863526331626408</v>
      </c>
    </row>
    <row r="26" spans="1:9" x14ac:dyDescent="0.2">
      <c r="A26">
        <v>2</v>
      </c>
      <c r="B26">
        <v>3.2127853048368951</v>
      </c>
      <c r="C26">
        <v>-2.2308954490392274E-2</v>
      </c>
      <c r="E26">
        <v>12.5</v>
      </c>
      <c r="F26">
        <v>3.1904763503465028</v>
      </c>
    </row>
    <row r="27" spans="1:9" x14ac:dyDescent="0.2">
      <c r="A27">
        <v>3</v>
      </c>
      <c r="B27">
        <v>3.3959064332444613</v>
      </c>
      <c r="C27">
        <v>8.6187385103686509E-3</v>
      </c>
      <c r="E27">
        <v>20.833333333333336</v>
      </c>
      <c r="F27">
        <v>3.4045251717548299</v>
      </c>
    </row>
    <row r="28" spans="1:9" x14ac:dyDescent="0.2">
      <c r="A28">
        <v>4</v>
      </c>
      <c r="B28">
        <v>3.4063704977248936</v>
      </c>
      <c r="C28">
        <v>1.1356185888472314E-2</v>
      </c>
      <c r="E28">
        <v>29.166666666666668</v>
      </c>
      <c r="F28">
        <v>3.417726683613366</v>
      </c>
    </row>
    <row r="29" spans="1:9" x14ac:dyDescent="0.2">
      <c r="A29">
        <v>5</v>
      </c>
      <c r="B29">
        <v>3.4325306589259745</v>
      </c>
      <c r="C29">
        <v>1.108743862013295E-2</v>
      </c>
      <c r="E29">
        <v>37.5</v>
      </c>
      <c r="F29">
        <v>3.4436180975461075</v>
      </c>
    </row>
    <row r="30" spans="1:9" x14ac:dyDescent="0.2">
      <c r="A30">
        <v>6</v>
      </c>
      <c r="B30">
        <v>3.4351466750460826</v>
      </c>
      <c r="C30">
        <v>1.1661217868125018E-2</v>
      </c>
      <c r="E30">
        <v>45.833333333333336</v>
      </c>
      <c r="F30">
        <v>3.4468078929142076</v>
      </c>
    </row>
    <row r="31" spans="1:9" x14ac:dyDescent="0.2">
      <c r="A31">
        <v>7</v>
      </c>
      <c r="B31">
        <v>3.4482267556466231</v>
      </c>
      <c r="C31">
        <v>4.9303649462433263E-3</v>
      </c>
      <c r="E31">
        <v>54.166666666666664</v>
      </c>
      <c r="F31">
        <v>3.4531571205928664</v>
      </c>
    </row>
    <row r="32" spans="1:9" x14ac:dyDescent="0.2">
      <c r="A32">
        <v>8</v>
      </c>
      <c r="B32">
        <v>3.4691548846074878</v>
      </c>
      <c r="C32">
        <v>-2.9885447151745126E-4</v>
      </c>
      <c r="E32">
        <v>62.5</v>
      </c>
      <c r="F32">
        <v>3.4688560301359703</v>
      </c>
    </row>
    <row r="33" spans="1:6" x14ac:dyDescent="0.2">
      <c r="A33">
        <v>9</v>
      </c>
      <c r="B33">
        <v>3.505779110289001</v>
      </c>
      <c r="C33">
        <v>1.1718727069315094E-2</v>
      </c>
      <c r="E33">
        <v>70.833333333333343</v>
      </c>
      <c r="F33">
        <v>3.5174978373583161</v>
      </c>
    </row>
    <row r="34" spans="1:6" x14ac:dyDescent="0.2">
      <c r="A34">
        <v>10</v>
      </c>
      <c r="B34">
        <v>3.5083951264091091</v>
      </c>
      <c r="C34">
        <v>1.2065676079863863E-2</v>
      </c>
      <c r="E34">
        <v>79.166666666666671</v>
      </c>
      <c r="F34">
        <v>3.520460802488973</v>
      </c>
    </row>
    <row r="35" spans="1:6" x14ac:dyDescent="0.2">
      <c r="A35">
        <v>11</v>
      </c>
      <c r="B35">
        <v>3.6679721097357021</v>
      </c>
      <c r="C35">
        <v>-1.2132509699966043E-2</v>
      </c>
      <c r="E35">
        <v>87.500000000000014</v>
      </c>
      <c r="F35">
        <v>3.655839600035736</v>
      </c>
    </row>
    <row r="36" spans="1:6" ht="16" thickBot="1" x14ac:dyDescent="0.25">
      <c r="A36" s="23">
        <v>12</v>
      </c>
      <c r="B36" s="23">
        <v>3.7072123515373239</v>
      </c>
      <c r="C36" s="23">
        <v>-2.3345439246932109E-2</v>
      </c>
      <c r="E36" s="23">
        <v>95.833333333333343</v>
      </c>
      <c r="F36" s="23">
        <v>3.6838669122903918</v>
      </c>
    </row>
  </sheetData>
  <sortState xmlns:xlrd2="http://schemas.microsoft.com/office/spreadsheetml/2017/richdata2" ref="F25:F36">
    <sortCondition ref="F25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80D29-D62E-45CD-9143-8106C8A316C0}">
  <dimension ref="A1:T60"/>
  <sheetViews>
    <sheetView topLeftCell="A32" zoomScale="115" zoomScaleNormal="115" workbookViewId="0">
      <selection activeCell="C44" sqref="C44"/>
    </sheetView>
  </sheetViews>
  <sheetFormatPr baseColWidth="10" defaultColWidth="8.83203125" defaultRowHeight="15" x14ac:dyDescent="0.2"/>
  <cols>
    <col min="2" max="2" width="29.5" bestFit="1" customWidth="1"/>
    <col min="3" max="3" width="17.6640625" bestFit="1" customWidth="1"/>
    <col min="4" max="4" width="20.33203125" bestFit="1" customWidth="1"/>
    <col min="5" max="5" width="12.6640625" bestFit="1" customWidth="1"/>
    <col min="6" max="6" width="15.6640625" bestFit="1" customWidth="1"/>
    <col min="7" max="7" width="9.83203125" bestFit="1" customWidth="1"/>
    <col min="8" max="8" width="13.5" bestFit="1" customWidth="1"/>
    <col min="9" max="9" width="12" bestFit="1" customWidth="1"/>
    <col min="10" max="10" width="10.6640625" bestFit="1" customWidth="1"/>
    <col min="11" max="11" width="17.5" bestFit="1" customWidth="1"/>
    <col min="12" max="12" width="10.6640625" customWidth="1"/>
    <col min="13" max="13" width="15.1640625" bestFit="1" customWidth="1"/>
    <col min="14" max="14" width="10" bestFit="1" customWidth="1"/>
    <col min="16" max="16" width="13.6640625" customWidth="1"/>
    <col min="17" max="17" width="24.33203125" bestFit="1" customWidth="1"/>
    <col min="18" max="18" width="13.33203125" bestFit="1" customWidth="1"/>
    <col min="20" max="20" width="18.6640625" bestFit="1" customWidth="1"/>
  </cols>
  <sheetData>
    <row r="1" spans="1:20" ht="20" thickBot="1" x14ac:dyDescent="0.3">
      <c r="B1" s="11" t="s">
        <v>7</v>
      </c>
      <c r="C1" s="12" t="s">
        <v>8</v>
      </c>
      <c r="D1" s="11" t="s">
        <v>57</v>
      </c>
      <c r="E1" s="12" t="s">
        <v>43</v>
      </c>
      <c r="F1" s="81" t="s">
        <v>70</v>
      </c>
      <c r="G1" s="12" t="s">
        <v>69</v>
      </c>
      <c r="H1" s="12" t="s">
        <v>68</v>
      </c>
      <c r="I1" s="12"/>
      <c r="J1" s="12"/>
      <c r="O1" s="67" t="s">
        <v>63</v>
      </c>
      <c r="Q1" s="131" t="s">
        <v>64</v>
      </c>
      <c r="S1" s="34"/>
      <c r="T1" s="34"/>
    </row>
    <row r="2" spans="1:20" ht="16" x14ac:dyDescent="0.2">
      <c r="B2" s="123">
        <v>29.9</v>
      </c>
      <c r="C2" s="124">
        <v>24.2</v>
      </c>
      <c r="D2" s="9">
        <f>LN(B2)</f>
        <v>3.3978584803966405</v>
      </c>
      <c r="E2" s="10">
        <f>LN(C2)</f>
        <v>3.1863526331626408</v>
      </c>
      <c r="F2" s="10">
        <f>E2^2</f>
        <v>10.152843102862494</v>
      </c>
      <c r="G2" s="10">
        <f>D2^2</f>
        <v>11.545442252803367</v>
      </c>
      <c r="H2" s="10">
        <f>D2*C2</f>
        <v>82.228175225598704</v>
      </c>
      <c r="I2" s="65">
        <f>$D$25*D2+$D$28</f>
        <v>23.449466474638328</v>
      </c>
      <c r="J2" s="65">
        <f>C2-I2</f>
        <v>0.75053352536167139</v>
      </c>
      <c r="K2" s="68">
        <f>J2^2</f>
        <v>0.56330057269181866</v>
      </c>
      <c r="L2" s="35">
        <f>C2-$C$15</f>
        <v>-7.5916666666666686</v>
      </c>
      <c r="M2" s="35">
        <f>L2^2</f>
        <v>57.633402777777803</v>
      </c>
      <c r="N2" s="71">
        <f>(D2-$D$15)^2</f>
        <v>7.1225710884836049E-2</v>
      </c>
      <c r="O2" s="127">
        <f>ABS(J2/C2)</f>
        <v>3.1013782039738487E-2</v>
      </c>
      <c r="P2" s="68">
        <f>$D$28+$D$25*D2</f>
        <v>23.449466474638328</v>
      </c>
      <c r="Q2" s="132">
        <f>(E2-P2)^2</f>
        <v>410.59378255260356</v>
      </c>
      <c r="S2" s="2"/>
      <c r="T2" s="2"/>
    </row>
    <row r="3" spans="1:20" ht="16" x14ac:dyDescent="0.2">
      <c r="B3" s="125">
        <v>30.4</v>
      </c>
      <c r="C3" s="126">
        <v>24.3</v>
      </c>
      <c r="D3" s="9">
        <f t="shared" ref="D3:D13" si="0">LN(B3)</f>
        <v>3.414442608412176</v>
      </c>
      <c r="E3" s="10">
        <f t="shared" ref="E3:E13" si="1">LN(C3)</f>
        <v>3.1904763503465028</v>
      </c>
      <c r="F3" s="10">
        <f t="shared" ref="F3:F13" si="2">E3^2</f>
        <v>10.17913934212034</v>
      </c>
      <c r="G3" s="10">
        <f t="shared" ref="G3:G13" si="3">D3^2</f>
        <v>11.658418326140543</v>
      </c>
      <c r="H3" s="10">
        <f t="shared" ref="H3:H13" si="4">D3*C3</f>
        <v>82.970955384415873</v>
      </c>
      <c r="I3" s="65">
        <f>$D$25*D3+$D$28</f>
        <v>23.967854371054457</v>
      </c>
      <c r="J3" s="65">
        <f t="shared" ref="J3:J13" si="5">C3-I3</f>
        <v>0.33214562894554334</v>
      </c>
      <c r="K3" s="68">
        <f t="shared" ref="K3:K13" si="6">J3^2</f>
        <v>0.11032071882763056</v>
      </c>
      <c r="L3" s="35">
        <f t="shared" ref="L3:L13" si="7">C3-$C$15</f>
        <v>-7.4916666666666671</v>
      </c>
      <c r="M3" s="35">
        <f>L3^2</f>
        <v>56.125069444444449</v>
      </c>
      <c r="N3" s="71">
        <f t="shared" ref="N3:N13" si="8">(D3-$D$15)^2</f>
        <v>6.2648751766067406E-2</v>
      </c>
      <c r="O3" s="127">
        <f t="shared" ref="O3:O13" si="9">ABS(J3/C3)</f>
        <v>1.3668544401051166E-2</v>
      </c>
      <c r="P3" s="68">
        <f t="shared" ref="P3:P13" si="10">$D$28+$D$25*D3</f>
        <v>23.967854371054457</v>
      </c>
      <c r="Q3" s="132">
        <f t="shared" ref="Q3:Q13" si="11">(E3-P3)^2</f>
        <v>431.69943741539794</v>
      </c>
      <c r="S3" s="2"/>
      <c r="T3" s="2"/>
    </row>
    <row r="4" spans="1:20" ht="16" x14ac:dyDescent="0.2">
      <c r="B4" s="125">
        <v>37.4</v>
      </c>
      <c r="C4" s="126">
        <v>30.1</v>
      </c>
      <c r="D4" s="9">
        <f t="shared" si="0"/>
        <v>3.6216707044204863</v>
      </c>
      <c r="E4" s="10">
        <f t="shared" si="1"/>
        <v>3.4045251717548299</v>
      </c>
      <c r="F4" s="10">
        <f t="shared" si="2"/>
        <v>11.590791645112255</v>
      </c>
      <c r="G4" s="10">
        <f t="shared" si="3"/>
        <v>13.116498691257581</v>
      </c>
      <c r="H4" s="10">
        <f t="shared" si="4"/>
        <v>109.01228820305664</v>
      </c>
      <c r="I4" s="65">
        <f t="shared" ref="I4:I13" si="12">$D$25*D4+$D$28</f>
        <v>30.445405476993599</v>
      </c>
      <c r="J4" s="65">
        <f t="shared" si="5"/>
        <v>-0.34540547699359792</v>
      </c>
      <c r="K4" s="68">
        <f t="shared" si="6"/>
        <v>0.1193049435371749</v>
      </c>
      <c r="L4" s="35">
        <f t="shared" si="7"/>
        <v>-1.6916666666666664</v>
      </c>
      <c r="M4" s="35">
        <f t="shared" ref="M4:M12" si="13">L4^2</f>
        <v>2.8617361111111101</v>
      </c>
      <c r="N4" s="71">
        <f t="shared" si="8"/>
        <v>1.8549586345938617E-3</v>
      </c>
      <c r="O4" s="127">
        <f t="shared" si="9"/>
        <v>1.1475265016398601E-2</v>
      </c>
      <c r="P4" s="68">
        <f t="shared" si="10"/>
        <v>30.445405476993599</v>
      </c>
      <c r="Q4" s="132">
        <f t="shared" si="11"/>
        <v>731.20920768224994</v>
      </c>
      <c r="S4" s="2"/>
      <c r="T4" s="2"/>
    </row>
    <row r="5" spans="1:20" ht="16" x14ac:dyDescent="0.2">
      <c r="B5" s="125">
        <v>37.799999999999997</v>
      </c>
      <c r="C5" s="126">
        <v>30.5</v>
      </c>
      <c r="D5" s="9">
        <f t="shared" si="0"/>
        <v>3.6323091026255421</v>
      </c>
      <c r="E5" s="10">
        <f t="shared" si="1"/>
        <v>3.417726683613366</v>
      </c>
      <c r="F5" s="10">
        <f t="shared" si="2"/>
        <v>11.680855683882816</v>
      </c>
      <c r="G5" s="10">
        <f t="shared" si="3"/>
        <v>13.193669417016372</v>
      </c>
      <c r="H5" s="10">
        <f t="shared" si="4"/>
        <v>110.78542763007903</v>
      </c>
      <c r="I5" s="65">
        <f t="shared" si="12"/>
        <v>30.77794131255817</v>
      </c>
      <c r="J5" s="65">
        <f t="shared" si="5"/>
        <v>-0.27794131255816978</v>
      </c>
      <c r="K5" s="68">
        <f t="shared" si="6"/>
        <v>7.7251373226558229E-2</v>
      </c>
      <c r="L5" s="35">
        <f t="shared" si="7"/>
        <v>-1.2916666666666679</v>
      </c>
      <c r="M5" s="35">
        <f t="shared" si="13"/>
        <v>1.6684027777777808</v>
      </c>
      <c r="N5" s="71">
        <f t="shared" si="8"/>
        <v>1.0517588974476634E-3</v>
      </c>
      <c r="O5" s="127">
        <f t="shared" si="9"/>
        <v>9.1128299199399933E-3</v>
      </c>
      <c r="P5" s="68">
        <f t="shared" si="10"/>
        <v>30.77794131255817</v>
      </c>
      <c r="Q5" s="132">
        <f t="shared" si="11"/>
        <v>748.5813445419252</v>
      </c>
      <c r="S5" s="2"/>
      <c r="T5" s="2"/>
    </row>
    <row r="6" spans="1:20" ht="16" x14ac:dyDescent="0.2">
      <c r="B6" s="125">
        <v>38.799999999999997</v>
      </c>
      <c r="C6" s="126">
        <v>31.3</v>
      </c>
      <c r="D6" s="9">
        <f t="shared" si="0"/>
        <v>3.6584202466292277</v>
      </c>
      <c r="E6" s="10">
        <f t="shared" si="1"/>
        <v>3.4436180975461075</v>
      </c>
      <c r="F6" s="10">
        <f t="shared" si="2"/>
        <v>11.858505601747073</v>
      </c>
      <c r="G6" s="10">
        <f t="shared" si="3"/>
        <v>13.384038700946659</v>
      </c>
      <c r="H6" s="10">
        <f t="shared" si="4"/>
        <v>114.50855371949483</v>
      </c>
      <c r="I6" s="65">
        <f t="shared" si="12"/>
        <v>31.594125377249995</v>
      </c>
      <c r="J6" s="66">
        <f>C6-I6</f>
        <v>-0.2941253772499941</v>
      </c>
      <c r="K6" s="68">
        <f t="shared" si="6"/>
        <v>8.6509737542451351E-2</v>
      </c>
      <c r="L6" s="35">
        <f t="shared" si="7"/>
        <v>-0.49166666666666714</v>
      </c>
      <c r="M6" s="35">
        <f t="shared" si="13"/>
        <v>0.24173611111111157</v>
      </c>
      <c r="N6" s="71">
        <f t="shared" si="8"/>
        <v>3.9938462847239203E-5</v>
      </c>
      <c r="O6" s="127">
        <f t="shared" si="9"/>
        <v>9.3969769089454983E-3</v>
      </c>
      <c r="P6" s="68">
        <f t="shared" si="10"/>
        <v>31.594125377249995</v>
      </c>
      <c r="Q6" s="132">
        <f t="shared" si="11"/>
        <v>792.45106010466156</v>
      </c>
      <c r="S6" s="2"/>
      <c r="T6" s="2"/>
    </row>
    <row r="7" spans="1:20" ht="16" x14ac:dyDescent="0.2">
      <c r="B7" s="125">
        <v>38.9</v>
      </c>
      <c r="C7" s="126">
        <v>31.4</v>
      </c>
      <c r="D7" s="9">
        <f t="shared" si="0"/>
        <v>3.6609942506244004</v>
      </c>
      <c r="E7" s="10">
        <f t="shared" si="1"/>
        <v>3.4468078929142076</v>
      </c>
      <c r="F7" s="10">
        <f t="shared" si="2"/>
        <v>11.88048465065568</v>
      </c>
      <c r="G7" s="10">
        <f t="shared" si="3"/>
        <v>13.402878903104915</v>
      </c>
      <c r="H7" s="10">
        <f t="shared" si="4"/>
        <v>114.95521946960616</v>
      </c>
      <c r="I7" s="65">
        <f t="shared" si="12"/>
        <v>31.674583783937052</v>
      </c>
      <c r="J7" s="65">
        <f>C7-I7</f>
        <v>-0.27458378393705374</v>
      </c>
      <c r="K7" s="68">
        <f t="shared" si="6"/>
        <v>7.5396254401190604E-2</v>
      </c>
      <c r="L7" s="35">
        <f t="shared" si="7"/>
        <v>-0.39166666666666927</v>
      </c>
      <c r="M7" s="35">
        <f t="shared" si="13"/>
        <v>0.15340277777777983</v>
      </c>
      <c r="N7" s="71">
        <f t="shared" si="8"/>
        <v>1.4030152475022987E-5</v>
      </c>
      <c r="O7" s="127">
        <f t="shared" si="9"/>
        <v>8.7447064948106296E-3</v>
      </c>
      <c r="P7" s="68">
        <f t="shared" si="10"/>
        <v>31.674583783937052</v>
      </c>
      <c r="Q7" s="132">
        <f t="shared" si="11"/>
        <v>796.80733175381056</v>
      </c>
      <c r="S7" s="2"/>
      <c r="T7" s="2"/>
    </row>
    <row r="8" spans="1:20" ht="16" x14ac:dyDescent="0.2">
      <c r="B8" s="125">
        <v>39.4</v>
      </c>
      <c r="C8" s="126">
        <v>31.6</v>
      </c>
      <c r="D8" s="9">
        <f t="shared" si="0"/>
        <v>3.673765816303888</v>
      </c>
      <c r="E8" s="10">
        <f t="shared" si="1"/>
        <v>3.4531571205928664</v>
      </c>
      <c r="F8" s="10">
        <f t="shared" si="2"/>
        <v>11.924294099501216</v>
      </c>
      <c r="G8" s="10">
        <f t="shared" si="3"/>
        <v>13.496555273042972</v>
      </c>
      <c r="H8" s="10">
        <f t="shared" si="4"/>
        <v>116.09099979520286</v>
      </c>
      <c r="I8" s="65">
        <f t="shared" si="12"/>
        <v>32.073798325716282</v>
      </c>
      <c r="J8" s="65">
        <f t="shared" si="5"/>
        <v>-0.473798325716281</v>
      </c>
      <c r="K8" s="68">
        <f t="shared" si="6"/>
        <v>0.22448485345155111</v>
      </c>
      <c r="L8" s="35">
        <f t="shared" si="7"/>
        <v>-0.19166666666666643</v>
      </c>
      <c r="M8" s="35">
        <f t="shared" si="13"/>
        <v>3.6736111111111018E-2</v>
      </c>
      <c r="N8" s="71">
        <f t="shared" si="8"/>
        <v>8.1466530821687396E-5</v>
      </c>
      <c r="O8" s="127">
        <f t="shared" si="9"/>
        <v>1.4993617902413955E-2</v>
      </c>
      <c r="P8" s="68">
        <f t="shared" si="10"/>
        <v>32.073798325716282</v>
      </c>
      <c r="Q8" s="132">
        <f t="shared" si="11"/>
        <v>819.14110299240838</v>
      </c>
      <c r="S8" s="2"/>
      <c r="T8" s="2"/>
    </row>
    <row r="9" spans="1:20" ht="16" x14ac:dyDescent="0.2">
      <c r="B9" s="125">
        <v>40.200000000000003</v>
      </c>
      <c r="C9" s="126">
        <v>32.1</v>
      </c>
      <c r="D9" s="9">
        <f t="shared" si="0"/>
        <v>3.6938669956249757</v>
      </c>
      <c r="E9" s="10">
        <f t="shared" si="1"/>
        <v>3.4688560301359703</v>
      </c>
      <c r="F9" s="10">
        <f t="shared" si="2"/>
        <v>12.032962157810683</v>
      </c>
      <c r="G9" s="10">
        <f t="shared" si="3"/>
        <v>13.644653381367483</v>
      </c>
      <c r="H9" s="10">
        <f t="shared" si="4"/>
        <v>118.57313055956172</v>
      </c>
      <c r="I9" s="65">
        <f t="shared" si="12"/>
        <v>32.702122471187224</v>
      </c>
      <c r="J9" s="65">
        <f t="shared" si="5"/>
        <v>-0.60212247118722217</v>
      </c>
      <c r="K9" s="68">
        <f t="shared" si="6"/>
        <v>0.36255147030860718</v>
      </c>
      <c r="L9" s="35">
        <f t="shared" si="7"/>
        <v>0.30833333333333357</v>
      </c>
      <c r="M9" s="35">
        <f t="shared" si="13"/>
        <v>9.5069444444444595E-2</v>
      </c>
      <c r="N9" s="71">
        <f t="shared" si="8"/>
        <v>8.4838565261502398E-4</v>
      </c>
      <c r="O9" s="127">
        <f t="shared" si="9"/>
        <v>1.8757709382779507E-2</v>
      </c>
      <c r="P9" s="68">
        <f t="shared" si="10"/>
        <v>32.702122471187224</v>
      </c>
      <c r="Q9" s="132">
        <f t="shared" si="11"/>
        <v>854.58386681349339</v>
      </c>
      <c r="S9" s="2"/>
      <c r="T9" s="2"/>
    </row>
    <row r="10" spans="1:20" ht="16" x14ac:dyDescent="0.2">
      <c r="B10" s="125">
        <v>41.6</v>
      </c>
      <c r="C10" s="126">
        <v>33.700000000000003</v>
      </c>
      <c r="D10" s="9">
        <f t="shared" si="0"/>
        <v>3.7281001672672178</v>
      </c>
      <c r="E10" s="10">
        <f t="shared" si="1"/>
        <v>3.5174978373583161</v>
      </c>
      <c r="F10" s="10">
        <f t="shared" si="2"/>
        <v>12.37279103582043</v>
      </c>
      <c r="G10" s="10">
        <f t="shared" si="3"/>
        <v>13.898730857177858</v>
      </c>
      <c r="H10" s="10">
        <f t="shared" si="4"/>
        <v>125.63697563690525</v>
      </c>
      <c r="I10" s="65">
        <f t="shared" si="12"/>
        <v>33.772185474719905</v>
      </c>
      <c r="J10" s="65">
        <f t="shared" si="5"/>
        <v>-7.2185474719901777E-2</v>
      </c>
      <c r="K10" s="68">
        <f t="shared" si="6"/>
        <v>5.2107427605375782E-3</v>
      </c>
      <c r="L10" s="35">
        <f t="shared" si="7"/>
        <v>1.908333333333335</v>
      </c>
      <c r="M10" s="35">
        <f t="shared" si="13"/>
        <v>3.6417361111111175</v>
      </c>
      <c r="N10" s="71">
        <f t="shared" si="8"/>
        <v>4.0145190154750772E-3</v>
      </c>
      <c r="O10" s="127">
        <f t="shared" si="9"/>
        <v>2.1420022172077679E-3</v>
      </c>
      <c r="P10" s="68">
        <f t="shared" si="10"/>
        <v>33.772185474719905</v>
      </c>
      <c r="Q10" s="132">
        <f t="shared" si="11"/>
        <v>915.34612403432016</v>
      </c>
      <c r="S10" s="2"/>
      <c r="T10" s="2"/>
    </row>
    <row r="11" spans="1:20" ht="16" x14ac:dyDescent="0.2">
      <c r="B11" s="125">
        <v>41.7</v>
      </c>
      <c r="C11" s="126">
        <v>33.799999999999997</v>
      </c>
      <c r="D11" s="9">
        <f t="shared" si="0"/>
        <v>3.730501128804756</v>
      </c>
      <c r="E11" s="10">
        <f t="shared" si="1"/>
        <v>3.520460802488973</v>
      </c>
      <c r="F11" s="10">
        <f t="shared" si="2"/>
        <v>12.393644261861304</v>
      </c>
      <c r="G11" s="10">
        <f t="shared" si="3"/>
        <v>13.916638672013558</v>
      </c>
      <c r="H11" s="10">
        <f t="shared" si="4"/>
        <v>126.09093815360075</v>
      </c>
      <c r="I11" s="65">
        <f t="shared" si="12"/>
        <v>33.847234907506149</v>
      </c>
      <c r="J11" s="65">
        <f t="shared" si="5"/>
        <v>-4.7234907506151558E-2</v>
      </c>
      <c r="K11" s="68">
        <f t="shared" si="6"/>
        <v>2.2311364871146926E-3</v>
      </c>
      <c r="L11" s="35">
        <f t="shared" si="7"/>
        <v>2.0083333333333293</v>
      </c>
      <c r="M11" s="35">
        <f t="shared" si="13"/>
        <v>4.0334027777777619</v>
      </c>
      <c r="N11" s="71">
        <f t="shared" si="8"/>
        <v>4.3245345924835593E-3</v>
      </c>
      <c r="O11" s="127">
        <f t="shared" si="9"/>
        <v>1.3974824705962001E-3</v>
      </c>
      <c r="P11" s="68">
        <f t="shared" si="10"/>
        <v>33.847234907506149</v>
      </c>
      <c r="Q11" s="132">
        <f t="shared" si="11"/>
        <v>919.71322761674037</v>
      </c>
      <c r="S11" s="2"/>
      <c r="T11" s="2"/>
    </row>
    <row r="12" spans="1:20" ht="16" x14ac:dyDescent="0.2">
      <c r="B12" s="125">
        <v>47.8</v>
      </c>
      <c r="C12" s="126">
        <v>38.700000000000003</v>
      </c>
      <c r="D12" s="9">
        <f t="shared" si="0"/>
        <v>3.8670256394974101</v>
      </c>
      <c r="E12" s="10">
        <f t="shared" si="1"/>
        <v>3.655839600035736</v>
      </c>
      <c r="F12" s="10">
        <f t="shared" si="2"/>
        <v>13.36516318118945</v>
      </c>
      <c r="G12" s="10">
        <f t="shared" si="3"/>
        <v>14.953887296530354</v>
      </c>
      <c r="H12" s="10">
        <f t="shared" si="4"/>
        <v>149.65389224854979</v>
      </c>
      <c r="I12" s="65">
        <f t="shared" si="12"/>
        <v>38.114728129996294</v>
      </c>
      <c r="J12" s="65">
        <f t="shared" si="5"/>
        <v>0.58527187000370873</v>
      </c>
      <c r="K12" s="68">
        <f t="shared" si="6"/>
        <v>0.34254316181763811</v>
      </c>
      <c r="L12" s="35">
        <f t="shared" si="7"/>
        <v>6.908333333333335</v>
      </c>
      <c r="M12" s="35">
        <f t="shared" si="13"/>
        <v>47.725069444444465</v>
      </c>
      <c r="N12" s="71">
        <f t="shared" si="8"/>
        <v>4.0919506188204079E-2</v>
      </c>
      <c r="O12" s="127">
        <f t="shared" si="9"/>
        <v>1.5123304134462758E-2</v>
      </c>
      <c r="P12" s="68">
        <f t="shared" si="10"/>
        <v>38.114728129996294</v>
      </c>
      <c r="Q12" s="132">
        <f t="shared" si="11"/>
        <v>1187.4149987202475</v>
      </c>
      <c r="S12" s="2"/>
      <c r="T12" s="2"/>
    </row>
    <row r="13" spans="1:20" ht="17" thickBot="1" x14ac:dyDescent="0.25">
      <c r="B13" s="125">
        <v>49.3</v>
      </c>
      <c r="C13" s="126">
        <v>39.799999999999997</v>
      </c>
      <c r="D13" s="9">
        <f t="shared" si="0"/>
        <v>3.8979240810486444</v>
      </c>
      <c r="E13" s="10">
        <f t="shared" si="1"/>
        <v>3.6838669122903918</v>
      </c>
      <c r="F13" s="10">
        <f t="shared" si="2"/>
        <v>13.570875427467945</v>
      </c>
      <c r="G13" s="10">
        <f t="shared" si="3"/>
        <v>15.193812141618919</v>
      </c>
      <c r="H13" s="10">
        <f t="shared" si="4"/>
        <v>155.13737842573605</v>
      </c>
      <c r="I13" s="65">
        <f t="shared" si="12"/>
        <v>39.080553894442673</v>
      </c>
      <c r="J13" s="65">
        <f t="shared" si="5"/>
        <v>0.71944610555732424</v>
      </c>
      <c r="K13" s="68">
        <f t="shared" si="6"/>
        <v>0.51760269880160059</v>
      </c>
      <c r="L13" s="35">
        <f t="shared" si="7"/>
        <v>8.0083333333333293</v>
      </c>
      <c r="M13" s="35">
        <f>L13^2</f>
        <v>64.133402777777718</v>
      </c>
      <c r="N13" s="71">
        <f t="shared" si="8"/>
        <v>5.4374845904101396E-2</v>
      </c>
      <c r="O13" s="127">
        <f t="shared" si="9"/>
        <v>1.807653531551066E-2</v>
      </c>
      <c r="P13" s="68">
        <f t="shared" si="10"/>
        <v>39.080553894442673</v>
      </c>
      <c r="Q13" s="132">
        <f t="shared" si="11"/>
        <v>1252.9254493124688</v>
      </c>
      <c r="S13" s="2"/>
      <c r="T13" s="2"/>
    </row>
    <row r="14" spans="1:20" ht="20" thickBot="1" x14ac:dyDescent="0.25">
      <c r="A14" s="7" t="s">
        <v>9</v>
      </c>
      <c r="B14" s="25">
        <f>SUM(B2:B13)</f>
        <v>473.20000000000005</v>
      </c>
      <c r="C14" s="26">
        <f>SUM(C2:C13)</f>
        <v>381.5</v>
      </c>
      <c r="D14" s="26">
        <f t="shared" ref="D14:K14" si="14">SUM(D2:D13)</f>
        <v>43.976879221655366</v>
      </c>
      <c r="E14" s="26">
        <f t="shared" si="14"/>
        <v>41.389185132239909</v>
      </c>
      <c r="F14" s="26">
        <f t="shared" si="14"/>
        <v>143.00235019003168</v>
      </c>
      <c r="G14" s="26">
        <f t="shared" si="14"/>
        <v>161.40522391302056</v>
      </c>
      <c r="H14" s="26">
        <f t="shared" si="14"/>
        <v>1405.6439344518074</v>
      </c>
      <c r="I14" s="26">
        <f t="shared" si="14"/>
        <v>381.50000000000017</v>
      </c>
      <c r="J14" s="26">
        <f t="shared" si="14"/>
        <v>-1.2434497875801753E-13</v>
      </c>
      <c r="K14" s="26">
        <f t="shared" si="14"/>
        <v>2.4867076638538741</v>
      </c>
      <c r="L14" s="26">
        <f>SUM(L2:L13)</f>
        <v>0</v>
      </c>
      <c r="M14" s="26">
        <f>SUM(M2:M13)</f>
        <v>238.34916666666666</v>
      </c>
      <c r="N14" s="73">
        <f>SUM(N2:N13)</f>
        <v>0.2413984066819681</v>
      </c>
      <c r="O14" s="128">
        <f t="shared" ref="O14:Q14" si="15">SUM(O2:O13)</f>
        <v>0.15390275620385521</v>
      </c>
      <c r="P14" s="26">
        <f t="shared" si="15"/>
        <v>381.50000000000017</v>
      </c>
      <c r="Q14" s="133">
        <f t="shared" si="15"/>
        <v>9860.4669335403269</v>
      </c>
      <c r="R14" s="34"/>
      <c r="S14" s="20"/>
      <c r="T14" s="20"/>
    </row>
    <row r="15" spans="1:20" ht="39" thickBot="1" x14ac:dyDescent="0.25">
      <c r="A15" s="7" t="s">
        <v>10</v>
      </c>
      <c r="B15" s="25">
        <f>AVERAGE(B2:B13)</f>
        <v>39.433333333333337</v>
      </c>
      <c r="C15" s="26">
        <f t="shared" ref="C15:Q15" si="16">AVERAGE(C2:C13)</f>
        <v>31.791666666666668</v>
      </c>
      <c r="D15" s="26">
        <f t="shared" si="16"/>
        <v>3.664739935137947</v>
      </c>
      <c r="E15" s="19">
        <f t="shared" si="16"/>
        <v>3.4490987610199926</v>
      </c>
      <c r="F15" s="26">
        <f t="shared" si="16"/>
        <v>11.916862515835973</v>
      </c>
      <c r="G15" s="26">
        <f t="shared" si="16"/>
        <v>13.450435326085048</v>
      </c>
      <c r="H15" s="26">
        <f t="shared" si="16"/>
        <v>117.13699453765061</v>
      </c>
      <c r="I15" s="26">
        <f t="shared" si="16"/>
        <v>31.791666666666682</v>
      </c>
      <c r="J15" s="26">
        <f t="shared" si="16"/>
        <v>-1.0362081563168127E-14</v>
      </c>
      <c r="K15" s="26">
        <f t="shared" si="16"/>
        <v>0.20722563865448951</v>
      </c>
      <c r="L15" s="26">
        <f t="shared" si="16"/>
        <v>0</v>
      </c>
      <c r="M15" s="26">
        <f t="shared" si="16"/>
        <v>19.862430555555555</v>
      </c>
      <c r="N15" s="26">
        <f t="shared" si="16"/>
        <v>2.0116533890164007E-2</v>
      </c>
      <c r="O15" s="128">
        <f t="shared" si="16"/>
        <v>1.28252296836546E-2</v>
      </c>
      <c r="P15" s="26">
        <f t="shared" si="16"/>
        <v>31.791666666666682</v>
      </c>
      <c r="Q15" s="30">
        <f t="shared" si="16"/>
        <v>821.70557779502724</v>
      </c>
      <c r="R15" s="34"/>
      <c r="S15" s="20"/>
      <c r="T15" s="20"/>
    </row>
    <row r="16" spans="1:20" ht="20" thickBot="1" x14ac:dyDescent="0.25">
      <c r="A16" s="16" t="s">
        <v>11</v>
      </c>
      <c r="B16" s="29"/>
      <c r="C16" s="61"/>
      <c r="D16" s="29" t="e">
        <f>SQRT(D17)</f>
        <v>#NUM!</v>
      </c>
      <c r="E16" s="59">
        <f>SQRT(E17)</f>
        <v>0.14345819100464741</v>
      </c>
      <c r="I16" s="21"/>
      <c r="J16" s="35"/>
      <c r="Q16" s="134"/>
      <c r="R16" s="129"/>
      <c r="S16" s="15"/>
      <c r="T16" s="15"/>
    </row>
    <row r="17" spans="1:20" ht="22" x14ac:dyDescent="0.2">
      <c r="A17" s="75" t="s">
        <v>12</v>
      </c>
      <c r="B17" s="76"/>
      <c r="C17" s="77"/>
      <c r="D17" s="76">
        <f>F15-D15^2</f>
        <v>-1.5134562763589106</v>
      </c>
      <c r="E17" s="78">
        <f>F15-E15^2</f>
        <v>2.0580252566325896E-2</v>
      </c>
      <c r="F17" s="3"/>
      <c r="G17" s="3"/>
      <c r="H17" s="3"/>
      <c r="I17" s="79"/>
      <c r="J17" s="80"/>
      <c r="K17" s="3"/>
      <c r="L17" s="3"/>
      <c r="M17" s="3"/>
      <c r="N17" s="3"/>
      <c r="O17" s="3"/>
      <c r="P17" s="3"/>
      <c r="Q17" s="135"/>
      <c r="R17" s="130"/>
      <c r="S17" s="103"/>
      <c r="T17" s="103"/>
    </row>
    <row r="20" spans="1:20" ht="30" x14ac:dyDescent="0.2">
      <c r="A20" s="52" t="s">
        <v>44</v>
      </c>
      <c r="B20" s="155" t="s">
        <v>71</v>
      </c>
      <c r="C20" s="157"/>
      <c r="D20" s="157"/>
    </row>
    <row r="21" spans="1:20" x14ac:dyDescent="0.2">
      <c r="B21" s="157"/>
      <c r="C21" s="157"/>
      <c r="D21" s="157"/>
    </row>
    <row r="22" spans="1:20" x14ac:dyDescent="0.2">
      <c r="B22" s="157"/>
      <c r="C22" s="157"/>
      <c r="D22" s="157"/>
    </row>
    <row r="25" spans="1:20" x14ac:dyDescent="0.2">
      <c r="D25" s="89">
        <f>(H15-D15*C15)/(G15-D15^2)</f>
        <v>31.258073739573302</v>
      </c>
    </row>
    <row r="28" spans="1:20" x14ac:dyDescent="0.2">
      <c r="D28" s="84">
        <f>C15-D25*D15</f>
        <v>-82.761044462234352</v>
      </c>
    </row>
    <row r="30" spans="1:20" ht="19" x14ac:dyDescent="0.25">
      <c r="B30" s="93" t="s">
        <v>76</v>
      </c>
    </row>
    <row r="31" spans="1:20" ht="18" x14ac:dyDescent="0.2">
      <c r="A31" t="s">
        <v>72</v>
      </c>
      <c r="B31" s="160" t="s">
        <v>128</v>
      </c>
      <c r="C31" s="160"/>
      <c r="D31" s="53"/>
    </row>
    <row r="32" spans="1:20" ht="14.5" customHeight="1" x14ac:dyDescent="0.2">
      <c r="E32" s="99"/>
      <c r="F32" s="99"/>
      <c r="G32" s="99"/>
      <c r="H32" s="99"/>
      <c r="I32" s="99"/>
      <c r="J32" s="99"/>
      <c r="K32" s="99"/>
      <c r="L32" s="99"/>
      <c r="M32" s="99"/>
      <c r="N32" s="99"/>
    </row>
    <row r="33" spans="1:14" ht="30.5" customHeight="1" x14ac:dyDescent="0.2">
      <c r="A33" s="52" t="s">
        <v>46</v>
      </c>
      <c r="C33" s="89"/>
      <c r="E33" s="170" t="s">
        <v>123</v>
      </c>
      <c r="F33" s="170"/>
      <c r="G33" s="170"/>
      <c r="H33" s="170"/>
      <c r="I33" s="170"/>
      <c r="J33" s="170"/>
      <c r="K33" s="170"/>
      <c r="L33" s="170"/>
      <c r="M33" s="170"/>
      <c r="N33" s="170"/>
    </row>
    <row r="34" spans="1:14" ht="18" customHeight="1" x14ac:dyDescent="0.25">
      <c r="B34" s="94" t="s">
        <v>85</v>
      </c>
      <c r="C34" s="64">
        <f>SQRT(1-(K14/M14))</f>
        <v>0.99476979983043035</v>
      </c>
      <c r="E34" s="170"/>
      <c r="F34" s="170"/>
      <c r="G34" s="170"/>
      <c r="H34" s="170"/>
      <c r="I34" s="170"/>
      <c r="J34" s="170"/>
      <c r="K34" s="170"/>
      <c r="L34" s="170"/>
      <c r="M34" s="170"/>
      <c r="N34" s="170"/>
    </row>
    <row r="35" spans="1:14" ht="19" x14ac:dyDescent="0.25">
      <c r="B35" s="94" t="s">
        <v>86</v>
      </c>
      <c r="C35" s="143">
        <f>C34^2</f>
        <v>0.98956695465467448</v>
      </c>
      <c r="E35" s="170"/>
      <c r="F35" s="170"/>
      <c r="G35" s="170"/>
      <c r="H35" s="170"/>
      <c r="I35" s="170"/>
      <c r="J35" s="170"/>
      <c r="K35" s="170"/>
      <c r="L35" s="170"/>
      <c r="M35" s="170"/>
      <c r="N35" s="170"/>
    </row>
    <row r="36" spans="1:14" ht="30" customHeight="1" x14ac:dyDescent="0.2">
      <c r="E36" s="170"/>
      <c r="F36" s="170"/>
      <c r="G36" s="170"/>
      <c r="H36" s="170"/>
      <c r="I36" s="170"/>
      <c r="J36" s="170"/>
      <c r="K36" s="170"/>
      <c r="L36" s="170"/>
      <c r="M36" s="170"/>
      <c r="N36" s="170"/>
    </row>
    <row r="37" spans="1:14" ht="30" x14ac:dyDescent="0.2">
      <c r="A37" s="52" t="s">
        <v>49</v>
      </c>
      <c r="E37" s="99"/>
      <c r="F37" s="99"/>
      <c r="G37" s="99"/>
      <c r="H37" s="99"/>
      <c r="I37" s="99"/>
      <c r="J37" s="99"/>
      <c r="K37" s="99"/>
      <c r="L37" s="99"/>
      <c r="M37" s="99"/>
      <c r="N37" s="99"/>
    </row>
    <row r="38" spans="1:14" ht="19" x14ac:dyDescent="0.25">
      <c r="B38" s="67" t="s">
        <v>63</v>
      </c>
      <c r="C38" s="127">
        <f>O15</f>
        <v>1.28252296836546E-2</v>
      </c>
      <c r="E38" s="168" t="s">
        <v>119</v>
      </c>
      <c r="F38" s="168"/>
      <c r="G38" s="168"/>
      <c r="H38" s="168"/>
      <c r="I38" s="168"/>
      <c r="J38" s="168"/>
      <c r="K38" s="168"/>
      <c r="L38" s="168"/>
    </row>
    <row r="39" spans="1:14" ht="14.5" customHeight="1" x14ac:dyDescent="0.2">
      <c r="B39" s="44" t="s">
        <v>87</v>
      </c>
      <c r="C39" s="95">
        <f>D25/(D28+D25*LN(B15))</f>
        <v>0.97376472322563079</v>
      </c>
    </row>
    <row r="41" spans="1:14" ht="30" x14ac:dyDescent="0.2">
      <c r="A41" s="52" t="s">
        <v>51</v>
      </c>
    </row>
    <row r="42" spans="1:14" ht="18" x14ac:dyDescent="0.2">
      <c r="B42" s="53" t="s">
        <v>91</v>
      </c>
      <c r="C42" s="100">
        <f>(C35/(1-C35)*10)</f>
        <v>948.49291065148645</v>
      </c>
      <c r="E42" s="157" t="s">
        <v>95</v>
      </c>
      <c r="F42" s="157"/>
      <c r="G42" s="157"/>
      <c r="H42" s="157"/>
      <c r="I42" s="157"/>
      <c r="J42" s="157"/>
      <c r="K42" s="157"/>
      <c r="L42" s="157"/>
      <c r="M42" s="157"/>
    </row>
    <row r="43" spans="1:14" ht="18" x14ac:dyDescent="0.2">
      <c r="B43" s="97" t="s">
        <v>94</v>
      </c>
      <c r="C43" s="70">
        <v>4.96</v>
      </c>
    </row>
    <row r="46" spans="1:14" ht="30.5" customHeight="1" x14ac:dyDescent="0.2">
      <c r="A46" s="52" t="s">
        <v>52</v>
      </c>
      <c r="E46" s="166" t="s">
        <v>124</v>
      </c>
      <c r="F46" s="167"/>
      <c r="G46" s="167"/>
      <c r="H46" s="167"/>
      <c r="I46" s="167"/>
    </row>
    <row r="47" spans="1:14" ht="18" x14ac:dyDescent="0.2">
      <c r="B47" s="53" t="s">
        <v>88</v>
      </c>
      <c r="C47" s="89">
        <f>SQRT(K14/10/N14)</f>
        <v>1.014951212608467</v>
      </c>
      <c r="E47" s="167"/>
      <c r="F47" s="167"/>
      <c r="G47" s="167"/>
      <c r="H47" s="167"/>
      <c r="I47" s="167"/>
    </row>
    <row r="48" spans="1:14" ht="18" x14ac:dyDescent="0.2">
      <c r="B48" s="53" t="s">
        <v>89</v>
      </c>
      <c r="C48" s="96">
        <f>SQRT(K14*G14/(10*12*N14))</f>
        <v>3.7223168398421027</v>
      </c>
      <c r="E48" s="167"/>
      <c r="F48" s="167"/>
      <c r="G48" s="167"/>
      <c r="H48" s="167"/>
      <c r="I48" s="167"/>
    </row>
    <row r="49" spans="2:9" ht="18" x14ac:dyDescent="0.2">
      <c r="B49" s="53" t="s">
        <v>90</v>
      </c>
      <c r="C49">
        <f>SQRT((1-C35)/10)</f>
        <v>3.2300224991980347E-2</v>
      </c>
      <c r="E49" s="167"/>
      <c r="F49" s="167"/>
      <c r="G49" s="167"/>
      <c r="H49" s="167"/>
      <c r="I49" s="167"/>
    </row>
    <row r="50" spans="2:9" ht="20" x14ac:dyDescent="0.25">
      <c r="B50" s="92" t="s">
        <v>82</v>
      </c>
      <c r="C50" s="95">
        <f>D25/C47</f>
        <v>30.797612093332788</v>
      </c>
      <c r="E50" s="167"/>
      <c r="F50" s="167"/>
      <c r="G50" s="167"/>
      <c r="H50" s="167"/>
      <c r="I50" s="167"/>
    </row>
    <row r="51" spans="2:9" ht="20" x14ac:dyDescent="0.25">
      <c r="B51" s="92" t="s">
        <v>83</v>
      </c>
      <c r="C51" s="68">
        <f>D28/C48</f>
        <v>-22.233745278315695</v>
      </c>
      <c r="E51" s="167"/>
      <c r="F51" s="167"/>
      <c r="G51" s="167"/>
      <c r="H51" s="167"/>
      <c r="I51" s="167"/>
    </row>
    <row r="52" spans="2:9" ht="20" x14ac:dyDescent="0.25">
      <c r="B52" s="92" t="s">
        <v>84</v>
      </c>
      <c r="C52" s="89">
        <f>C34/C49</f>
        <v>30.797612093334227</v>
      </c>
      <c r="E52" s="167"/>
      <c r="F52" s="167"/>
      <c r="G52" s="167"/>
      <c r="H52" s="167"/>
      <c r="I52" s="167"/>
    </row>
    <row r="53" spans="2:9" x14ac:dyDescent="0.2">
      <c r="E53" s="167"/>
      <c r="F53" s="167"/>
      <c r="G53" s="167"/>
      <c r="H53" s="167"/>
      <c r="I53" s="167"/>
    </row>
    <row r="54" spans="2:9" x14ac:dyDescent="0.2">
      <c r="E54" s="167"/>
      <c r="F54" s="167"/>
      <c r="G54" s="167"/>
      <c r="H54" s="167"/>
      <c r="I54" s="167"/>
    </row>
    <row r="55" spans="2:9" x14ac:dyDescent="0.2">
      <c r="E55" s="167"/>
      <c r="F55" s="167"/>
      <c r="G55" s="167"/>
      <c r="H55" s="167"/>
      <c r="I55" s="167"/>
    </row>
    <row r="56" spans="2:9" x14ac:dyDescent="0.2">
      <c r="E56" s="167"/>
      <c r="F56" s="167"/>
      <c r="G56" s="167"/>
      <c r="H56" s="167"/>
      <c r="I56" s="167"/>
    </row>
    <row r="57" spans="2:9" x14ac:dyDescent="0.2">
      <c r="E57" s="167"/>
      <c r="F57" s="167"/>
      <c r="G57" s="167"/>
      <c r="H57" s="167"/>
      <c r="I57" s="167"/>
    </row>
    <row r="58" spans="2:9" x14ac:dyDescent="0.2">
      <c r="E58" s="167"/>
      <c r="F58" s="167"/>
      <c r="G58" s="167"/>
      <c r="H58" s="167"/>
      <c r="I58" s="167"/>
    </row>
    <row r="59" spans="2:9" x14ac:dyDescent="0.2">
      <c r="E59" s="167"/>
      <c r="F59" s="167"/>
      <c r="G59" s="167"/>
      <c r="H59" s="167"/>
      <c r="I59" s="167"/>
    </row>
    <row r="60" spans="2:9" x14ac:dyDescent="0.2">
      <c r="E60" s="167"/>
      <c r="F60" s="167"/>
      <c r="G60" s="167"/>
      <c r="H60" s="167"/>
      <c r="I60" s="167"/>
    </row>
  </sheetData>
  <mergeCells count="6">
    <mergeCell ref="E42:M42"/>
    <mergeCell ref="E46:I60"/>
    <mergeCell ref="B20:D22"/>
    <mergeCell ref="E33:N36"/>
    <mergeCell ref="E38:L38"/>
    <mergeCell ref="B31:C31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0241" r:id="rId3">
          <objectPr defaultSize="0" autoPict="0" r:id="rId4">
            <anchor moveWithCells="1" sizeWithCells="1">
              <from>
                <xdr:col>8</xdr:col>
                <xdr:colOff>215900</xdr:colOff>
                <xdr:row>0</xdr:row>
                <xdr:rowOff>0</xdr:rowOff>
              </from>
              <to>
                <xdr:col>8</xdr:col>
                <xdr:colOff>406400</xdr:colOff>
                <xdr:row>1</xdr:row>
                <xdr:rowOff>12700</xdr:rowOff>
              </to>
            </anchor>
          </objectPr>
        </oleObject>
      </mc:Choice>
      <mc:Fallback>
        <oleObject progId="Equation.3" shapeId="10241" r:id="rId3"/>
      </mc:Fallback>
    </mc:AlternateContent>
    <mc:AlternateContent xmlns:mc="http://schemas.openxmlformats.org/markup-compatibility/2006">
      <mc:Choice Requires="x14">
        <oleObject progId="Equation.3" shapeId="10242" r:id="rId5">
          <objectPr defaultSize="0" autoPict="0" r:id="rId6">
            <anchor moveWithCells="1" sizeWithCells="1">
              <from>
                <xdr:col>9</xdr:col>
                <xdr:colOff>76200</xdr:colOff>
                <xdr:row>0</xdr:row>
                <xdr:rowOff>0</xdr:rowOff>
              </from>
              <to>
                <xdr:col>9</xdr:col>
                <xdr:colOff>647700</xdr:colOff>
                <xdr:row>0</xdr:row>
                <xdr:rowOff>228600</xdr:rowOff>
              </to>
            </anchor>
          </objectPr>
        </oleObject>
      </mc:Choice>
      <mc:Fallback>
        <oleObject progId="Equation.3" shapeId="10242" r:id="rId5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8B182-B499-4584-9FB7-AEE9F6E17A5A}">
  <dimension ref="A1:I36"/>
  <sheetViews>
    <sheetView workbookViewId="0">
      <selection activeCell="U36" sqref="U36"/>
    </sheetView>
  </sheetViews>
  <sheetFormatPr baseColWidth="10" defaultColWidth="8.83203125" defaultRowHeight="15" x14ac:dyDescent="0.2"/>
  <cols>
    <col min="1" max="1" width="26.5" bestFit="1" customWidth="1"/>
    <col min="2" max="2" width="17.6640625" bestFit="1" customWidth="1"/>
    <col min="3" max="3" width="23.33203125" bestFit="1" customWidth="1"/>
    <col min="4" max="4" width="15.6640625" bestFit="1" customWidth="1"/>
    <col min="5" max="5" width="21.5" bestFit="1" customWidth="1"/>
    <col min="6" max="6" width="15.1640625" bestFit="1" customWidth="1"/>
    <col min="7" max="7" width="13.5" bestFit="1" customWidth="1"/>
    <col min="8" max="8" width="15" bestFit="1" customWidth="1"/>
    <col min="9" max="9" width="15.1640625" bestFit="1" customWidth="1"/>
  </cols>
  <sheetData>
    <row r="1" spans="1:9" x14ac:dyDescent="0.2">
      <c r="A1" t="s">
        <v>13</v>
      </c>
    </row>
    <row r="2" spans="1:9" ht="16" thickBot="1" x14ac:dyDescent="0.25"/>
    <row r="3" spans="1:9" x14ac:dyDescent="0.2">
      <c r="A3" s="138" t="s">
        <v>14</v>
      </c>
      <c r="B3" s="138"/>
    </row>
    <row r="4" spans="1:9" x14ac:dyDescent="0.2">
      <c r="A4" t="s">
        <v>15</v>
      </c>
      <c r="B4">
        <v>0.99476979983043035</v>
      </c>
    </row>
    <row r="5" spans="1:9" x14ac:dyDescent="0.2">
      <c r="A5" t="s">
        <v>16</v>
      </c>
      <c r="B5">
        <v>0.98956695465467448</v>
      </c>
    </row>
    <row r="6" spans="1:9" x14ac:dyDescent="0.2">
      <c r="A6" t="s">
        <v>17</v>
      </c>
      <c r="B6">
        <v>0.98852365012014187</v>
      </c>
    </row>
    <row r="7" spans="1:9" x14ac:dyDescent="0.2">
      <c r="A7" t="s">
        <v>18</v>
      </c>
      <c r="B7">
        <v>0.49866899481057425</v>
      </c>
    </row>
    <row r="8" spans="1:9" ht="16" thickBot="1" x14ac:dyDescent="0.25">
      <c r="A8" s="23" t="s">
        <v>19</v>
      </c>
      <c r="B8" s="23">
        <v>12</v>
      </c>
    </row>
    <row r="10" spans="1:9" ht="16" thickBot="1" x14ac:dyDescent="0.25">
      <c r="A10" t="s">
        <v>20</v>
      </c>
    </row>
    <row r="11" spans="1:9" x14ac:dyDescent="0.2">
      <c r="A11" s="137"/>
      <c r="B11" s="137" t="s">
        <v>24</v>
      </c>
      <c r="C11" s="137" t="s">
        <v>25</v>
      </c>
      <c r="D11" s="137" t="s">
        <v>26</v>
      </c>
      <c r="E11" s="137" t="s">
        <v>27</v>
      </c>
      <c r="F11" s="137" t="s">
        <v>28</v>
      </c>
    </row>
    <row r="12" spans="1:9" x14ac:dyDescent="0.2">
      <c r="A12" t="s">
        <v>21</v>
      </c>
      <c r="B12">
        <v>1</v>
      </c>
      <c r="C12">
        <v>235.86245900281278</v>
      </c>
      <c r="D12">
        <v>235.86245900281278</v>
      </c>
      <c r="E12">
        <v>948.49291065148566</v>
      </c>
      <c r="F12">
        <v>3.0552910915292098E-11</v>
      </c>
    </row>
    <row r="13" spans="1:9" x14ac:dyDescent="0.2">
      <c r="A13" t="s">
        <v>22</v>
      </c>
      <c r="B13">
        <v>10</v>
      </c>
      <c r="C13">
        <v>2.4867076638538852</v>
      </c>
      <c r="D13">
        <v>0.24867076638538851</v>
      </c>
    </row>
    <row r="14" spans="1:9" ht="16" thickBot="1" x14ac:dyDescent="0.25">
      <c r="A14" s="23" t="s">
        <v>9</v>
      </c>
      <c r="B14" s="23">
        <v>11</v>
      </c>
      <c r="C14" s="23">
        <v>238.34916666666666</v>
      </c>
      <c r="D14" s="23"/>
      <c r="E14" s="23"/>
      <c r="F14" s="23"/>
    </row>
    <row r="15" spans="1:9" ht="16" thickBot="1" x14ac:dyDescent="0.25"/>
    <row r="16" spans="1:9" x14ac:dyDescent="0.2">
      <c r="A16" s="137"/>
      <c r="B16" s="137" t="s">
        <v>29</v>
      </c>
      <c r="C16" s="137" t="s">
        <v>18</v>
      </c>
      <c r="D16" s="137" t="s">
        <v>30</v>
      </c>
      <c r="E16" s="137" t="s">
        <v>31</v>
      </c>
      <c r="F16" s="137" t="s">
        <v>32</v>
      </c>
      <c r="G16" s="137" t="s">
        <v>33</v>
      </c>
      <c r="H16" s="137" t="s">
        <v>34</v>
      </c>
      <c r="I16" s="137" t="s">
        <v>35</v>
      </c>
    </row>
    <row r="17" spans="1:9" x14ac:dyDescent="0.2">
      <c r="A17" t="s">
        <v>23</v>
      </c>
      <c r="B17">
        <v>-82.761044462239937</v>
      </c>
      <c r="C17">
        <v>3.7223168398421116</v>
      </c>
      <c r="D17">
        <v>-22.233745278317144</v>
      </c>
      <c r="E17">
        <v>7.6051053720794358E-10</v>
      </c>
      <c r="F17">
        <v>-91.054883232494916</v>
      </c>
      <c r="G17">
        <v>-74.467205691984958</v>
      </c>
      <c r="H17">
        <v>-91.054883232494916</v>
      </c>
      <c r="I17">
        <v>-74.467205691984958</v>
      </c>
    </row>
    <row r="18" spans="1:9" ht="16" thickBot="1" x14ac:dyDescent="0.25">
      <c r="A18" s="23" t="s">
        <v>36</v>
      </c>
      <c r="B18" s="23">
        <v>31.258073739574826</v>
      </c>
      <c r="C18" s="23">
        <v>1.0149512126084692</v>
      </c>
      <c r="D18" s="23">
        <v>30.797612093334223</v>
      </c>
      <c r="E18" s="23">
        <v>3.0552910915291995E-11</v>
      </c>
      <c r="F18" s="23">
        <v>28.996621509891312</v>
      </c>
      <c r="G18" s="23">
        <v>33.519525969258339</v>
      </c>
      <c r="H18" s="23">
        <v>28.996621509891312</v>
      </c>
      <c r="I18" s="23">
        <v>33.519525969258339</v>
      </c>
    </row>
    <row r="22" spans="1:9" x14ac:dyDescent="0.2">
      <c r="A22" t="s">
        <v>37</v>
      </c>
      <c r="E22" t="s">
        <v>41</v>
      </c>
    </row>
    <row r="23" spans="1:9" ht="16" thickBot="1" x14ac:dyDescent="0.25"/>
    <row r="24" spans="1:9" x14ac:dyDescent="0.2">
      <c r="A24" s="137" t="s">
        <v>38</v>
      </c>
      <c r="B24" s="137" t="s">
        <v>39</v>
      </c>
      <c r="C24" s="137" t="s">
        <v>40</v>
      </c>
      <c r="E24" s="137" t="s">
        <v>42</v>
      </c>
      <c r="F24" s="137" t="s">
        <v>43</v>
      </c>
    </row>
    <row r="25" spans="1:9" x14ac:dyDescent="0.2">
      <c r="A25">
        <v>1</v>
      </c>
      <c r="B25">
        <v>23.449466474637916</v>
      </c>
      <c r="C25">
        <v>0.75053352536208351</v>
      </c>
      <c r="E25">
        <v>4.166666666666667</v>
      </c>
      <c r="F25">
        <v>24.2</v>
      </c>
    </row>
    <row r="26" spans="1:9" x14ac:dyDescent="0.2">
      <c r="A26">
        <v>2</v>
      </c>
      <c r="B26">
        <v>23.967854371054074</v>
      </c>
      <c r="C26">
        <v>0.33214562894592703</v>
      </c>
      <c r="E26">
        <v>12.5</v>
      </c>
      <c r="F26">
        <v>24.3</v>
      </c>
    </row>
    <row r="27" spans="1:9" x14ac:dyDescent="0.2">
      <c r="A27">
        <v>3</v>
      </c>
      <c r="B27">
        <v>30.445405476993528</v>
      </c>
      <c r="C27">
        <v>-0.34540547699352686</v>
      </c>
      <c r="E27">
        <v>20.833333333333336</v>
      </c>
      <c r="F27">
        <v>30.1</v>
      </c>
    </row>
    <row r="28" spans="1:9" x14ac:dyDescent="0.2">
      <c r="A28">
        <v>4</v>
      </c>
      <c r="B28">
        <v>30.777941312558127</v>
      </c>
      <c r="C28">
        <v>-0.27794131255812715</v>
      </c>
      <c r="E28">
        <v>29.166666666666668</v>
      </c>
      <c r="F28">
        <v>30.5</v>
      </c>
    </row>
    <row r="29" spans="1:9" x14ac:dyDescent="0.2">
      <c r="A29">
        <v>5</v>
      </c>
      <c r="B29">
        <v>31.594125377249981</v>
      </c>
      <c r="C29">
        <v>-0.29412537724997989</v>
      </c>
      <c r="E29">
        <v>37.5</v>
      </c>
      <c r="F29">
        <v>31.3</v>
      </c>
    </row>
    <row r="30" spans="1:9" x14ac:dyDescent="0.2">
      <c r="A30">
        <v>6</v>
      </c>
      <c r="B30">
        <v>31.674583783937052</v>
      </c>
      <c r="C30">
        <v>-0.27458378393705374</v>
      </c>
      <c r="E30">
        <v>45.833333333333336</v>
      </c>
      <c r="F30">
        <v>31.4</v>
      </c>
    </row>
    <row r="31" spans="1:9" x14ac:dyDescent="0.2">
      <c r="A31">
        <v>7</v>
      </c>
      <c r="B31">
        <v>32.073798325716297</v>
      </c>
      <c r="C31">
        <v>-0.47379832571629521</v>
      </c>
      <c r="E31">
        <v>54.166666666666664</v>
      </c>
      <c r="F31">
        <v>31.6</v>
      </c>
    </row>
    <row r="32" spans="1:9" x14ac:dyDescent="0.2">
      <c r="A32">
        <v>8</v>
      </c>
      <c r="B32">
        <v>32.702122471187266</v>
      </c>
      <c r="C32">
        <v>-0.60212247118726481</v>
      </c>
      <c r="E32">
        <v>62.5</v>
      </c>
      <c r="F32">
        <v>32.1</v>
      </c>
    </row>
    <row r="33" spans="1:6" x14ac:dyDescent="0.2">
      <c r="A33">
        <v>9</v>
      </c>
      <c r="B33">
        <v>33.772185474720004</v>
      </c>
      <c r="C33">
        <v>-7.2185474720001253E-2</v>
      </c>
      <c r="E33">
        <v>70.833333333333343</v>
      </c>
      <c r="F33">
        <v>33.700000000000003</v>
      </c>
    </row>
    <row r="34" spans="1:6" x14ac:dyDescent="0.2">
      <c r="A34">
        <v>10</v>
      </c>
      <c r="B34">
        <v>33.847234907506248</v>
      </c>
      <c r="C34">
        <v>-4.7234907506251034E-2</v>
      </c>
      <c r="E34">
        <v>79.166666666666671</v>
      </c>
      <c r="F34">
        <v>33.799999999999997</v>
      </c>
    </row>
    <row r="35" spans="1:6" x14ac:dyDescent="0.2">
      <c r="A35">
        <v>11</v>
      </c>
      <c r="B35">
        <v>38.114728129996607</v>
      </c>
      <c r="C35">
        <v>0.58527187000339609</v>
      </c>
      <c r="E35">
        <v>87.500000000000014</v>
      </c>
      <c r="F35">
        <v>38.700000000000003</v>
      </c>
    </row>
    <row r="36" spans="1:6" ht="16" thickBot="1" x14ac:dyDescent="0.25">
      <c r="A36" s="23">
        <v>12</v>
      </c>
      <c r="B36" s="23">
        <v>39.080553894443028</v>
      </c>
      <c r="C36" s="23">
        <v>0.71944610555696897</v>
      </c>
      <c r="E36" s="23">
        <v>95.833333333333343</v>
      </c>
      <c r="F36" s="23">
        <v>39.799999999999997</v>
      </c>
    </row>
  </sheetData>
  <sortState xmlns:xlrd2="http://schemas.microsoft.com/office/spreadsheetml/2017/richdata2" ref="F25:F36">
    <sortCondition ref="F2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Диаграммы</vt:lpstr>
      </vt:variant>
      <vt:variant>
        <vt:i4>1</vt:i4>
      </vt:variant>
    </vt:vector>
  </HeadingPairs>
  <TitlesOfParts>
    <vt:vector size="11" baseType="lpstr">
      <vt:lpstr>ИД</vt:lpstr>
      <vt:lpstr>Линейная регрессия</vt:lpstr>
      <vt:lpstr>П.А. Линейная</vt:lpstr>
      <vt:lpstr>Степенная регрессия</vt:lpstr>
      <vt:lpstr>П.А. Степенная</vt:lpstr>
      <vt:lpstr>Экспоненциальная регрессия </vt:lpstr>
      <vt:lpstr>ПА Экспоненциальная</vt:lpstr>
      <vt:lpstr>Логарифмическая регрессия</vt:lpstr>
      <vt:lpstr>ПА Логарифмическая</vt:lpstr>
      <vt:lpstr>Вывод</vt:lpstr>
      <vt:lpstr>Поле Корреляции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IYI_Link _IYI</dc:creator>
  <cp:lastModifiedBy>Владислав Туровец</cp:lastModifiedBy>
  <dcterms:created xsi:type="dcterms:W3CDTF">2024-02-28T02:07:23Z</dcterms:created>
  <dcterms:modified xsi:type="dcterms:W3CDTF">2024-05-27T01:37:53Z</dcterms:modified>
</cp:coreProperties>
</file>