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.ploszaj\Desktop\Titoli\"/>
    </mc:Choice>
  </mc:AlternateContent>
  <xr:revisionPtr revIDLastSave="0" documentId="13_ncr:1_{58B2BC27-BD1C-41D0-81F6-5998A288A768}" xr6:coauthVersionLast="46" xr6:coauthVersionMax="46" xr10:uidLastSave="{00000000-0000-0000-0000-000000000000}"/>
  <bookViews>
    <workbookView xWindow="1170" yWindow="1200" windowWidth="27180" windowHeight="13410" activeTab="1" xr2:uid="{CC742022-B6D8-4E9E-849E-2166DB602B4B}"/>
  </bookViews>
  <sheets>
    <sheet name="Mvts" sheetId="1" r:id="rId1"/>
    <sheet name="Comp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2" l="1"/>
  <c r="N11" i="2"/>
  <c r="M11" i="2"/>
  <c r="I13" i="2"/>
  <c r="J13" i="2" s="1"/>
  <c r="N14" i="2"/>
  <c r="M14" i="2"/>
  <c r="F7" i="1"/>
  <c r="I17" i="2"/>
  <c r="I18" i="2"/>
  <c r="J16" i="2"/>
  <c r="O12" i="2"/>
  <c r="J12" i="2"/>
  <c r="H12" i="2"/>
  <c r="J11" i="2"/>
  <c r="O3" i="1"/>
  <c r="F13" i="2" s="1"/>
  <c r="J17" i="2"/>
  <c r="I15" i="2"/>
  <c r="J15" i="2"/>
  <c r="I14" i="2"/>
  <c r="P3" i="1"/>
  <c r="F11" i="2"/>
  <c r="G11" i="2" s="1"/>
  <c r="H11" i="2" s="1"/>
  <c r="I11" i="2" s="1"/>
  <c r="F3" i="1"/>
  <c r="F3" i="2"/>
  <c r="D5" i="2"/>
  <c r="F14" i="2"/>
  <c r="G14" i="2" s="1"/>
  <c r="H14" i="2" s="1"/>
  <c r="J6" i="1"/>
  <c r="F4" i="2"/>
  <c r="G4" i="2" s="1"/>
  <c r="H4" i="2" s="1"/>
  <c r="I4" i="2" s="1"/>
  <c r="J4" i="2" s="1"/>
  <c r="F7" i="2"/>
  <c r="G7" i="2" s="1"/>
  <c r="H7" i="2" s="1"/>
  <c r="I7" i="2" s="1"/>
  <c r="J7" i="2" s="1"/>
  <c r="O7" i="2" s="1"/>
  <c r="D9" i="2"/>
  <c r="E7" i="1"/>
  <c r="I7" i="1" s="1"/>
  <c r="J7" i="1" s="1"/>
  <c r="E6" i="1"/>
  <c r="F6" i="1" s="1"/>
  <c r="P6" i="1" s="1"/>
  <c r="I5" i="1"/>
  <c r="J5" i="1" s="1"/>
  <c r="P5" i="1" s="1"/>
  <c r="E5" i="1"/>
  <c r="F5" i="1" s="1"/>
  <c r="E4" i="1"/>
  <c r="I4" i="1" s="1"/>
  <c r="J4" i="1" s="1"/>
  <c r="P4" i="1" s="1"/>
  <c r="E3" i="1"/>
  <c r="J14" i="2" l="1"/>
  <c r="H18" i="2"/>
  <c r="H16" i="2"/>
  <c r="I16" i="2" s="1"/>
  <c r="O4" i="1"/>
  <c r="O5" i="1"/>
  <c r="P7" i="1"/>
  <c r="J18" i="2" s="1"/>
  <c r="O6" i="1"/>
  <c r="O7" i="1"/>
  <c r="O4" i="2"/>
  <c r="F5" i="2"/>
  <c r="G5" i="2" s="1"/>
  <c r="H5" i="2" s="1"/>
  <c r="I5" i="2" s="1"/>
  <c r="J5" i="2" s="1"/>
  <c r="L5" i="2" s="1"/>
  <c r="F4" i="1"/>
  <c r="F6" i="2"/>
  <c r="G6" i="2" s="1"/>
  <c r="H6" i="2" s="1"/>
  <c r="I6" i="2" s="1"/>
  <c r="J6" i="2" s="1"/>
  <c r="I3" i="1"/>
  <c r="F8" i="1" l="1"/>
  <c r="J8" i="1" s="1"/>
  <c r="G13" i="2"/>
  <c r="H13" i="2" s="1"/>
  <c r="F12" i="2"/>
  <c r="G12" i="2" s="1"/>
  <c r="H17" i="2"/>
  <c r="H15" i="2"/>
  <c r="F9" i="2"/>
  <c r="J3" i="1"/>
  <c r="O11" i="2" l="1"/>
  <c r="O14" i="2"/>
  <c r="J12" i="1"/>
  <c r="I12" i="1" s="1"/>
  <c r="F11" i="1"/>
  <c r="E11" i="1" s="1"/>
  <c r="O5" i="2"/>
  <c r="G3" i="2"/>
  <c r="G9" i="2" s="1"/>
  <c r="F9" i="1" l="1"/>
  <c r="E9" i="1" s="1"/>
  <c r="O16" i="2"/>
  <c r="O15" i="2" s="1"/>
  <c r="O18" i="2"/>
  <c r="O17" i="2" s="1"/>
  <c r="F12" i="1"/>
  <c r="J11" i="1"/>
  <c r="H3" i="2"/>
  <c r="H9" i="2" s="1"/>
  <c r="O13" i="2" l="1"/>
  <c r="F10" i="1"/>
  <c r="J9" i="1"/>
  <c r="I3" i="2"/>
  <c r="I9" i="2" s="1"/>
  <c r="E10" i="1" l="1"/>
  <c r="O6" i="2" s="1"/>
  <c r="J10" i="1"/>
  <c r="O8" i="2" s="1"/>
  <c r="J3" i="2"/>
  <c r="O3" i="2" s="1"/>
  <c r="O9" i="2" l="1"/>
  <c r="J9" i="2"/>
</calcChain>
</file>

<file path=xl/sharedStrings.xml><?xml version="1.0" encoding="utf-8"?>
<sst xmlns="http://schemas.openxmlformats.org/spreadsheetml/2006/main" count="132" uniqueCount="57">
  <si>
    <t>Cpt Dt</t>
  </si>
  <si>
    <t>Cpt Cr</t>
  </si>
  <si>
    <t>Libellé</t>
  </si>
  <si>
    <t>Comptabilité Auxiliaire ( Article ? )</t>
  </si>
  <si>
    <t>Qty</t>
  </si>
  <si>
    <t>ISIN</t>
  </si>
  <si>
    <t>Desc</t>
  </si>
  <si>
    <t>Ecriture</t>
  </si>
  <si>
    <t>Ptf Titres</t>
  </si>
  <si>
    <t>Mt Dt</t>
  </si>
  <si>
    <t>Mt Cr</t>
  </si>
  <si>
    <t>Mon Dt</t>
  </si>
  <si>
    <t>Mon Cr</t>
  </si>
  <si>
    <t>CHF</t>
  </si>
  <si>
    <t>Banque Cash</t>
  </si>
  <si>
    <t>Compta Générale Banana</t>
  </si>
  <si>
    <t>Nestlé</t>
  </si>
  <si>
    <t>USD</t>
  </si>
  <si>
    <t>Tx fx</t>
  </si>
  <si>
    <t>CH 123</t>
  </si>
  <si>
    <t>US 445</t>
  </si>
  <si>
    <t>Intel</t>
  </si>
  <si>
    <t>CH123</t>
  </si>
  <si>
    <t>Capital</t>
  </si>
  <si>
    <t>en chf</t>
  </si>
  <si>
    <t>Initialisation</t>
  </si>
  <si>
    <t>en USD</t>
  </si>
  <si>
    <t>Total</t>
  </si>
  <si>
    <t>Qté</t>
  </si>
  <si>
    <t>Coût Achat</t>
  </si>
  <si>
    <t>Coût Revient</t>
  </si>
  <si>
    <t>Soldes</t>
  </si>
  <si>
    <t>Taux</t>
  </si>
  <si>
    <t>Mt Dt Chf</t>
  </si>
  <si>
    <t>Mt Cr Chf</t>
  </si>
  <si>
    <t>Fact Mon</t>
  </si>
  <si>
    <t>Fact chf</t>
  </si>
  <si>
    <t>P/L</t>
  </si>
  <si>
    <t>Réévaluation</t>
  </si>
  <si>
    <t>Réal</t>
  </si>
  <si>
    <t>Non Réal</t>
  </si>
  <si>
    <t>FX</t>
  </si>
  <si>
    <t>Après</t>
  </si>
  <si>
    <t>Rééval</t>
  </si>
  <si>
    <t>Gain non-réalisé Nestlé</t>
  </si>
  <si>
    <t>Gain réalisé Intel</t>
  </si>
  <si>
    <t>Gain non-réalisé Intel</t>
  </si>
  <si>
    <t>Cours</t>
  </si>
  <si>
    <t>c. acquisto- vendita</t>
  </si>
  <si>
    <t>Vente 500 Nestlé à 100 (2v)</t>
  </si>
  <si>
    <t>Vente 300 Intel à 58$ (2v)</t>
  </si>
  <si>
    <t>Achat 1000 Nestlé à 95 chf (2a)</t>
  </si>
  <si>
    <t>Achat 1000 Nestlé à 98 chf (2a)</t>
  </si>
  <si>
    <t>Achat 1000 Intel à 60$ (2a)</t>
  </si>
  <si>
    <t xml:space="preserve">Gain réalisé Nestlé </t>
  </si>
  <si>
    <t>(vmc)</t>
  </si>
  <si>
    <t>(8u,8p)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</si>
</sst>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theme="9" tint="-0.499984740745262"/>
      </left>
      <right/>
      <top/>
      <bottom style="thin">
        <color auto="1"/>
      </bottom>
      <diagonal/>
    </border>
    <border>
      <left/>
      <right style="thick">
        <color theme="9" tint="-0.24994659260841701"/>
      </right>
      <top/>
      <bottom style="thin">
        <color auto="1"/>
      </bottom>
      <diagonal/>
    </border>
    <border>
      <left style="thick">
        <color theme="9" tint="-0.499984740745262"/>
      </left>
      <right/>
      <top style="thick">
        <color theme="9" tint="-0.499984740745262"/>
      </top>
      <bottom/>
      <diagonal/>
    </border>
    <border>
      <left/>
      <right/>
      <top style="thick">
        <color theme="9" tint="-0.499984740745262"/>
      </top>
      <bottom/>
      <diagonal/>
    </border>
    <border>
      <left style="thin">
        <color auto="1"/>
      </left>
      <right/>
      <top style="thick">
        <color theme="9" tint="-0.499984740745262"/>
      </top>
      <bottom/>
      <diagonal/>
    </border>
    <border>
      <left/>
      <right style="thin">
        <color auto="1"/>
      </right>
      <top style="thick">
        <color theme="9" tint="-0.499984740745262"/>
      </top>
      <bottom/>
      <diagonal/>
    </border>
    <border>
      <left style="thin">
        <color auto="1"/>
      </left>
      <right style="thick">
        <color theme="9" tint="-0.499984740745262"/>
      </right>
      <top style="thick">
        <color theme="9" tint="-0.499984740745262"/>
      </top>
      <bottom/>
      <diagonal/>
    </border>
    <border>
      <left style="thick">
        <color theme="9" tint="-0.499984740745262"/>
      </left>
      <right/>
      <top/>
      <bottom/>
      <diagonal/>
    </border>
    <border>
      <left style="thin">
        <color auto="1"/>
      </left>
      <right style="thick">
        <color theme="9" tint="-0.499984740745262"/>
      </right>
      <top style="hair">
        <color auto="1"/>
      </top>
      <bottom style="hair">
        <color auto="1"/>
      </bottom>
      <diagonal/>
    </border>
    <border>
      <left style="thick">
        <color theme="9" tint="-0.499984740745262"/>
      </left>
      <right/>
      <top/>
      <bottom style="dashed">
        <color auto="1"/>
      </bottom>
      <diagonal/>
    </border>
    <border>
      <left style="thin">
        <color auto="1"/>
      </left>
      <right style="thick">
        <color theme="9" tint="-0.499984740745262"/>
      </right>
      <top/>
      <bottom style="dashed">
        <color auto="1"/>
      </bottom>
      <diagonal/>
    </border>
    <border>
      <left style="thin">
        <color auto="1"/>
      </left>
      <right style="thick">
        <color theme="9" tint="-0.499984740745262"/>
      </right>
      <top/>
      <bottom/>
      <diagonal/>
    </border>
    <border>
      <left style="thin">
        <color auto="1"/>
      </left>
      <right style="thick">
        <color theme="9" tint="-0.499984740745262"/>
      </right>
      <top style="hair">
        <color auto="1"/>
      </top>
      <bottom/>
      <diagonal/>
    </border>
    <border>
      <left style="thin">
        <color auto="1"/>
      </left>
      <right style="thick">
        <color theme="9" tint="-0.499984740745262"/>
      </right>
      <top/>
      <bottom style="hair">
        <color auto="1"/>
      </bottom>
      <diagonal/>
    </border>
    <border>
      <left style="thick">
        <color theme="9" tint="-0.499984740745262"/>
      </left>
      <right/>
      <top/>
      <bottom style="thick">
        <color theme="9" tint="-0.499984740745262"/>
      </bottom>
      <diagonal/>
    </border>
    <border>
      <left/>
      <right/>
      <top/>
      <bottom style="thick">
        <color theme="9" tint="-0.499984740745262"/>
      </bottom>
      <diagonal/>
    </border>
    <border>
      <left style="thin">
        <color auto="1"/>
      </left>
      <right/>
      <top/>
      <bottom style="thick">
        <color theme="9" tint="-0.499984740745262"/>
      </bottom>
      <diagonal/>
    </border>
    <border>
      <left/>
      <right style="thin">
        <color auto="1"/>
      </right>
      <top/>
      <bottom style="thick">
        <color theme="9" tint="-0.499984740745262"/>
      </bottom>
      <diagonal/>
    </border>
    <border>
      <left style="thin">
        <color auto="1"/>
      </left>
      <right style="thick">
        <color theme="9" tint="-0.499984740745262"/>
      </right>
      <top/>
      <bottom style="thick">
        <color theme="9" tint="-0.499984740745262"/>
      </bottom>
      <diagonal/>
    </border>
  </borders>
  <cellStyleXfs count="1">
    <xf numFmtId="0" fontId="0" fillId="0" borderId="0"/>
  </cellStyleXfs>
  <cellXfs count="204">
    <xf numFmtId="0" fontId="0" fillId="0" borderId="0" xfId="0"/>
    <xf numFmtId="3" fontId="0" fillId="0" borderId="0" xfId="0" applyNumberForma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1" fillId="0" borderId="0" xfId="0" applyFont="1" applyAlignment="1">
      <alignment horizontal="center"/>
    </xf>
    <xf numFmtId="3" fontId="1" fillId="0" borderId="0" xfId="0" applyNumberFormat="1" applyFont="1"/>
    <xf numFmtId="2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/>
    <xf numFmtId="3" fontId="0" fillId="0" borderId="0" xfId="0" applyNumberFormat="1" applyAlignment="1"/>
    <xf numFmtId="4" fontId="0" fillId="0" borderId="0" xfId="0" applyNumberFormat="1" applyAlignment="1"/>
    <xf numFmtId="0" fontId="2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3" fontId="6" fillId="0" borderId="2" xfId="0" applyNumberFormat="1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3" fontId="7" fillId="0" borderId="2" xfId="0" applyNumberFormat="1" applyFont="1" applyBorder="1" applyAlignment="1">
      <alignment horizontal="centerContinuous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5" fillId="0" borderId="0" xfId="0" applyFont="1" applyBorder="1"/>
    <xf numFmtId="3" fontId="5" fillId="0" borderId="0" xfId="0" applyNumberFormat="1" applyFont="1" applyBorder="1"/>
    <xf numFmtId="3" fontId="5" fillId="0" borderId="0" xfId="0" applyNumberFormat="1" applyFont="1" applyBorder="1" applyAlignment="1">
      <alignment horizontal="right"/>
    </xf>
    <xf numFmtId="3" fontId="5" fillId="0" borderId="4" xfId="0" applyNumberFormat="1" applyFont="1" applyBorder="1" applyAlignment="1"/>
    <xf numFmtId="4" fontId="5" fillId="0" borderId="5" xfId="0" applyNumberFormat="1" applyFont="1" applyBorder="1" applyAlignment="1"/>
    <xf numFmtId="0" fontId="0" fillId="0" borderId="10" xfId="0" applyBorder="1"/>
    <xf numFmtId="3" fontId="0" fillId="0" borderId="9" xfId="0" applyNumberFormat="1" applyBorder="1" applyAlignment="1">
      <alignment horizontal="right"/>
    </xf>
    <xf numFmtId="4" fontId="0" fillId="0" borderId="11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0" fontId="0" fillId="0" borderId="13" xfId="0" applyBorder="1"/>
    <xf numFmtId="3" fontId="0" fillId="0" borderId="12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0" fontId="0" fillId="0" borderId="15" xfId="0" applyBorder="1"/>
    <xf numFmtId="0" fontId="0" fillId="0" borderId="16" xfId="0" applyBorder="1"/>
    <xf numFmtId="3" fontId="0" fillId="0" borderId="15" xfId="0" applyNumberFormat="1" applyBorder="1" applyAlignment="1">
      <alignment horizontal="right"/>
    </xf>
    <xf numFmtId="4" fontId="0" fillId="0" borderId="17" xfId="0" applyNumberFormat="1" applyBorder="1" applyAlignment="1">
      <alignment horizontal="right"/>
    </xf>
    <xf numFmtId="3" fontId="0" fillId="0" borderId="16" xfId="0" applyNumberFormat="1" applyBorder="1" applyAlignment="1">
      <alignment horizontal="right"/>
    </xf>
    <xf numFmtId="0" fontId="5" fillId="0" borderId="13" xfId="0" applyFont="1" applyBorder="1"/>
    <xf numFmtId="3" fontId="5" fillId="0" borderId="12" xfId="0" applyNumberFormat="1" applyFont="1" applyBorder="1" applyAlignment="1"/>
    <xf numFmtId="4" fontId="5" fillId="0" borderId="14" xfId="0" applyNumberFormat="1" applyFont="1" applyBorder="1" applyAlignment="1"/>
    <xf numFmtId="3" fontId="5" fillId="0" borderId="13" xfId="0" applyNumberFormat="1" applyFont="1" applyBorder="1" applyAlignment="1">
      <alignment horizontal="right"/>
    </xf>
    <xf numFmtId="2" fontId="0" fillId="0" borderId="4" xfId="0" applyNumberFormat="1" applyBorder="1" applyAlignment="1">
      <alignment horizontal="centerContinuous"/>
    </xf>
    <xf numFmtId="2" fontId="0" fillId="0" borderId="5" xfId="0" applyNumberFormat="1" applyBorder="1" applyAlignment="1">
      <alignment horizontal="centerContinuous"/>
    </xf>
    <xf numFmtId="3" fontId="0" fillId="0" borderId="4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3" fontId="0" fillId="0" borderId="2" xfId="0" applyNumberFormat="1" applyBorder="1" applyAlignment="1">
      <alignment horizontal="centerContinuous"/>
    </xf>
    <xf numFmtId="3" fontId="0" fillId="0" borderId="3" xfId="0" applyNumberFormat="1" applyBorder="1" applyAlignment="1">
      <alignment horizontal="centerContinuous"/>
    </xf>
    <xf numFmtId="3" fontId="0" fillId="0" borderId="4" xfId="0" applyNumberFormat="1" applyBorder="1" applyAlignment="1"/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0" xfId="0" applyNumberFormat="1" applyBorder="1" applyAlignment="1"/>
    <xf numFmtId="3" fontId="0" fillId="0" borderId="5" xfId="0" applyNumberFormat="1" applyBorder="1" applyAlignment="1"/>
    <xf numFmtId="4" fontId="0" fillId="0" borderId="4" xfId="0" applyNumberFormat="1" applyBorder="1" applyAlignment="1"/>
    <xf numFmtId="4" fontId="0" fillId="0" borderId="0" xfId="0" applyNumberFormat="1" applyBorder="1" applyAlignment="1"/>
    <xf numFmtId="3" fontId="11" fillId="0" borderId="4" xfId="0" applyNumberFormat="1" applyFont="1" applyBorder="1" applyAlignment="1"/>
    <xf numFmtId="3" fontId="11" fillId="0" borderId="0" xfId="0" applyNumberFormat="1" applyFont="1" applyBorder="1" applyAlignment="1"/>
    <xf numFmtId="3" fontId="11" fillId="0" borderId="5" xfId="0" applyNumberFormat="1" applyFont="1" applyBorder="1" applyAlignment="1"/>
    <xf numFmtId="3" fontId="2" fillId="0" borderId="4" xfId="0" applyNumberFormat="1" applyFont="1" applyBorder="1" applyAlignment="1"/>
    <xf numFmtId="3" fontId="2" fillId="0" borderId="0" xfId="0" applyNumberFormat="1" applyFont="1" applyBorder="1" applyAlignment="1"/>
    <xf numFmtId="3" fontId="2" fillId="0" borderId="5" xfId="0" applyNumberFormat="1" applyFont="1" applyBorder="1" applyAlignment="1"/>
    <xf numFmtId="3" fontId="0" fillId="0" borderId="19" xfId="0" applyNumberFormat="1" applyBorder="1" applyAlignment="1">
      <alignment horizontal="center"/>
    </xf>
    <xf numFmtId="3" fontId="0" fillId="0" borderId="20" xfId="0" applyNumberFormat="1" applyBorder="1" applyAlignment="1">
      <alignment horizontal="right"/>
    </xf>
    <xf numFmtId="3" fontId="0" fillId="0" borderId="21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3" fontId="0" fillId="0" borderId="0" xfId="0" applyNumberFormat="1" applyAlignment="1">
      <alignment horizontal="center" vertical="center"/>
    </xf>
    <xf numFmtId="3" fontId="0" fillId="0" borderId="18" xfId="0" applyNumberFormat="1" applyBorder="1" applyAlignment="1">
      <alignment horizontal="center"/>
    </xf>
    <xf numFmtId="16" fontId="0" fillId="2" borderId="1" xfId="0" applyNumberFormat="1" applyFill="1" applyBorder="1"/>
    <xf numFmtId="0" fontId="0" fillId="2" borderId="2" xfId="0" applyFill="1" applyBorder="1"/>
    <xf numFmtId="3" fontId="0" fillId="2" borderId="1" xfId="0" applyNumberFormat="1" applyFill="1" applyBorder="1" applyAlignment="1">
      <alignment horizontal="right"/>
    </xf>
    <xf numFmtId="4" fontId="0" fillId="2" borderId="3" xfId="0" applyNumberFormat="1" applyFill="1" applyBorder="1" applyAlignment="1">
      <alignment horizontal="right"/>
    </xf>
    <xf numFmtId="3" fontId="0" fillId="2" borderId="2" xfId="0" applyNumberForma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0" fontId="0" fillId="2" borderId="15" xfId="0" applyFill="1" applyBorder="1"/>
    <xf numFmtId="0" fontId="0" fillId="2" borderId="16" xfId="0" applyFill="1" applyBorder="1"/>
    <xf numFmtId="3" fontId="0" fillId="2" borderId="15" xfId="0" applyNumberFormat="1" applyFill="1" applyBorder="1" applyAlignment="1">
      <alignment horizontal="right"/>
    </xf>
    <xf numFmtId="4" fontId="0" fillId="2" borderId="17" xfId="0" applyNumberFormat="1" applyFill="1" applyBorder="1" applyAlignment="1">
      <alignment horizontal="right"/>
    </xf>
    <xf numFmtId="3" fontId="0" fillId="2" borderId="16" xfId="0" applyNumberFormat="1" applyFill="1" applyBorder="1" applyAlignment="1">
      <alignment horizontal="right"/>
    </xf>
    <xf numFmtId="3" fontId="0" fillId="2" borderId="8" xfId="0" applyNumberFormat="1" applyFill="1" applyBorder="1" applyAlignment="1">
      <alignment horizontal="right"/>
    </xf>
    <xf numFmtId="0" fontId="11" fillId="2" borderId="15" xfId="0" applyFont="1" applyFill="1" applyBorder="1"/>
    <xf numFmtId="0" fontId="11" fillId="2" borderId="16" xfId="0" applyFont="1" applyFill="1" applyBorder="1"/>
    <xf numFmtId="3" fontId="11" fillId="2" borderId="15" xfId="0" applyNumberFormat="1" applyFont="1" applyFill="1" applyBorder="1" applyAlignment="1">
      <alignment horizontal="right"/>
    </xf>
    <xf numFmtId="4" fontId="11" fillId="2" borderId="17" xfId="0" applyNumberFormat="1" applyFont="1" applyFill="1" applyBorder="1" applyAlignment="1">
      <alignment horizontal="right"/>
    </xf>
    <xf numFmtId="3" fontId="11" fillId="2" borderId="16" xfId="0" applyNumberFormat="1" applyFont="1" applyFill="1" applyBorder="1" applyAlignment="1">
      <alignment horizontal="right"/>
    </xf>
    <xf numFmtId="3" fontId="11" fillId="2" borderId="8" xfId="0" applyNumberFormat="1" applyFont="1" applyFill="1" applyBorder="1" applyAlignment="1">
      <alignment horizontal="right"/>
    </xf>
    <xf numFmtId="0" fontId="5" fillId="0" borderId="23" xfId="0" applyFont="1" applyBorder="1"/>
    <xf numFmtId="3" fontId="5" fillId="0" borderId="24" xfId="0" applyNumberFormat="1" applyFont="1" applyBorder="1" applyAlignment="1"/>
    <xf numFmtId="4" fontId="5" fillId="0" borderId="22" xfId="0" applyNumberFormat="1" applyFont="1" applyBorder="1" applyAlignment="1"/>
    <xf numFmtId="3" fontId="5" fillId="0" borderId="23" xfId="0" applyNumberFormat="1" applyFont="1" applyBorder="1" applyAlignment="1">
      <alignment horizontal="right"/>
    </xf>
    <xf numFmtId="3" fontId="5" fillId="0" borderId="22" xfId="0" applyNumberFormat="1" applyFont="1" applyBorder="1" applyAlignment="1">
      <alignment horizontal="right"/>
    </xf>
    <xf numFmtId="0" fontId="5" fillId="0" borderId="25" xfId="0" applyFont="1" applyBorder="1"/>
    <xf numFmtId="3" fontId="5" fillId="0" borderId="26" xfId="0" applyNumberFormat="1" applyFont="1" applyBorder="1" applyAlignment="1"/>
    <xf numFmtId="4" fontId="5" fillId="0" borderId="27" xfId="0" applyNumberFormat="1" applyFont="1" applyBorder="1" applyAlignment="1"/>
    <xf numFmtId="3" fontId="5" fillId="0" borderId="25" xfId="0" applyNumberFormat="1" applyFont="1" applyBorder="1" applyAlignment="1">
      <alignment horizontal="right"/>
    </xf>
    <xf numFmtId="3" fontId="5" fillId="0" borderId="27" xfId="0" applyNumberFormat="1" applyFont="1" applyBorder="1" applyAlignment="1">
      <alignment horizontal="right"/>
    </xf>
    <xf numFmtId="0" fontId="5" fillId="0" borderId="28" xfId="0" applyFont="1" applyBorder="1"/>
    <xf numFmtId="3" fontId="5" fillId="0" borderId="29" xfId="0" applyNumberFormat="1" applyFont="1" applyBorder="1" applyAlignment="1"/>
    <xf numFmtId="4" fontId="5" fillId="0" borderId="30" xfId="0" applyNumberFormat="1" applyFont="1" applyBorder="1" applyAlignment="1"/>
    <xf numFmtId="3" fontId="5" fillId="0" borderId="28" xfId="0" applyNumberFormat="1" applyFont="1" applyBorder="1" applyAlignment="1">
      <alignment horizontal="right"/>
    </xf>
    <xf numFmtId="3" fontId="5" fillId="0" borderId="30" xfId="0" applyNumberFormat="1" applyFont="1" applyBorder="1" applyAlignment="1">
      <alignment horizontal="right"/>
    </xf>
    <xf numFmtId="0" fontId="5" fillId="0" borderId="0" xfId="0" applyFont="1" applyFill="1" applyBorder="1"/>
    <xf numFmtId="3" fontId="5" fillId="4" borderId="4" xfId="0" applyNumberFormat="1" applyFont="1" applyFill="1" applyBorder="1" applyAlignment="1"/>
    <xf numFmtId="3" fontId="5" fillId="4" borderId="0" xfId="0" applyNumberFormat="1" applyFont="1" applyFill="1" applyBorder="1" applyAlignment="1"/>
    <xf numFmtId="0" fontId="9" fillId="4" borderId="0" xfId="0" applyFont="1" applyFill="1" applyBorder="1"/>
    <xf numFmtId="3" fontId="9" fillId="4" borderId="4" xfId="0" applyNumberFormat="1" applyFont="1" applyFill="1" applyBorder="1" applyAlignment="1"/>
    <xf numFmtId="4" fontId="9" fillId="4" borderId="5" xfId="0" applyNumberFormat="1" applyFont="1" applyFill="1" applyBorder="1" applyAlignment="1"/>
    <xf numFmtId="3" fontId="9" fillId="4" borderId="0" xfId="0" applyNumberFormat="1" applyFont="1" applyFill="1" applyBorder="1" applyAlignment="1">
      <alignment horizontal="right"/>
    </xf>
    <xf numFmtId="0" fontId="8" fillId="5" borderId="7" xfId="0" applyFont="1" applyFill="1" applyBorder="1" applyAlignment="1">
      <alignment horizontal="center"/>
    </xf>
    <xf numFmtId="3" fontId="8" fillId="5" borderId="7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3" fontId="4" fillId="5" borderId="0" xfId="0" applyNumberFormat="1" applyFont="1" applyFill="1" applyBorder="1"/>
    <xf numFmtId="0" fontId="4" fillId="5" borderId="7" xfId="0" applyFont="1" applyFill="1" applyBorder="1" applyAlignment="1">
      <alignment horizontal="center"/>
    </xf>
    <xf numFmtId="3" fontId="4" fillId="5" borderId="7" xfId="0" applyNumberFormat="1" applyFont="1" applyFill="1" applyBorder="1"/>
    <xf numFmtId="0" fontId="8" fillId="6" borderId="7" xfId="0" applyFont="1" applyFill="1" applyBorder="1" applyAlignment="1">
      <alignment horizontal="center"/>
    </xf>
    <xf numFmtId="3" fontId="8" fillId="6" borderId="7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3" fontId="4" fillId="6" borderId="0" xfId="0" applyNumberFormat="1" applyFont="1" applyFill="1" applyBorder="1"/>
    <xf numFmtId="0" fontId="4" fillId="6" borderId="7" xfId="0" applyFont="1" applyFill="1" applyBorder="1" applyAlignment="1">
      <alignment horizontal="center"/>
    </xf>
    <xf numFmtId="3" fontId="4" fillId="6" borderId="7" xfId="0" applyNumberFormat="1" applyFont="1" applyFill="1" applyBorder="1"/>
    <xf numFmtId="0" fontId="4" fillId="0" borderId="0" xfId="0" applyFont="1"/>
    <xf numFmtId="0" fontId="4" fillId="0" borderId="0" xfId="0" applyFont="1" applyFill="1" applyBorder="1"/>
    <xf numFmtId="0" fontId="4" fillId="5" borderId="0" xfId="0" applyFont="1" applyFill="1" applyAlignment="1">
      <alignment horizontal="center"/>
    </xf>
    <xf numFmtId="3" fontId="4" fillId="5" borderId="0" xfId="0" applyNumberFormat="1" applyFont="1" applyFill="1"/>
    <xf numFmtId="0" fontId="4" fillId="6" borderId="0" xfId="0" applyFont="1" applyFill="1" applyAlignment="1">
      <alignment horizontal="center"/>
    </xf>
    <xf numFmtId="3" fontId="4" fillId="6" borderId="0" xfId="0" applyNumberFormat="1" applyFont="1" applyFill="1"/>
    <xf numFmtId="2" fontId="4" fillId="6" borderId="0" xfId="0" applyNumberFormat="1" applyFont="1" applyFill="1"/>
    <xf numFmtId="0" fontId="5" fillId="0" borderId="31" xfId="0" applyFont="1" applyBorder="1"/>
    <xf numFmtId="0" fontId="5" fillId="0" borderId="32" xfId="0" applyFont="1" applyFill="1" applyBorder="1"/>
    <xf numFmtId="0" fontId="5" fillId="0" borderId="32" xfId="0" applyFont="1" applyBorder="1" applyAlignment="1">
      <alignment horizontal="center"/>
    </xf>
    <xf numFmtId="3" fontId="5" fillId="0" borderId="32" xfId="0" applyNumberFormat="1" applyFont="1" applyBorder="1"/>
    <xf numFmtId="3" fontId="5" fillId="0" borderId="33" xfId="0" applyNumberFormat="1" applyFont="1" applyBorder="1"/>
    <xf numFmtId="0" fontId="5" fillId="0" borderId="34" xfId="0" applyFont="1" applyBorder="1"/>
    <xf numFmtId="3" fontId="5" fillId="0" borderId="35" xfId="0" applyNumberFormat="1" applyFont="1" applyBorder="1"/>
    <xf numFmtId="0" fontId="5" fillId="0" borderId="36" xfId="0" applyFont="1" applyBorder="1"/>
    <xf numFmtId="0" fontId="5" fillId="0" borderId="37" xfId="0" applyFont="1" applyFill="1" applyBorder="1"/>
    <xf numFmtId="0" fontId="5" fillId="0" borderId="37" xfId="0" applyFont="1" applyBorder="1" applyAlignment="1">
      <alignment horizontal="center"/>
    </xf>
    <xf numFmtId="3" fontId="5" fillId="0" borderId="37" xfId="0" applyNumberFormat="1" applyFont="1" applyBorder="1"/>
    <xf numFmtId="3" fontId="5" fillId="0" borderId="38" xfId="0" applyNumberFormat="1" applyFont="1" applyBorder="1"/>
    <xf numFmtId="2" fontId="8" fillId="0" borderId="2" xfId="0" applyNumberFormat="1" applyFont="1" applyBorder="1" applyAlignment="1">
      <alignment horizontal="centerContinuous"/>
    </xf>
    <xf numFmtId="2" fontId="8" fillId="6" borderId="7" xfId="0" applyNumberFormat="1" applyFont="1" applyFill="1" applyBorder="1" applyAlignment="1">
      <alignment horizontal="center"/>
    </xf>
    <xf numFmtId="2" fontId="4" fillId="6" borderId="0" xfId="0" applyNumberFormat="1" applyFont="1" applyFill="1" applyBorder="1"/>
    <xf numFmtId="2" fontId="4" fillId="6" borderId="7" xfId="0" applyNumberFormat="1" applyFont="1" applyFill="1" applyBorder="1"/>
    <xf numFmtId="0" fontId="9" fillId="0" borderId="31" xfId="0" applyFont="1" applyBorder="1" applyAlignment="1">
      <alignment horizontal="centerContinuous"/>
    </xf>
    <xf numFmtId="0" fontId="9" fillId="0" borderId="32" xfId="0" applyFont="1" applyBorder="1" applyAlignment="1">
      <alignment horizontal="centerContinuous"/>
    </xf>
    <xf numFmtId="0" fontId="9" fillId="0" borderId="33" xfId="0" applyFont="1" applyBorder="1" applyAlignment="1">
      <alignment horizontal="centerContinuous"/>
    </xf>
    <xf numFmtId="0" fontId="5" fillId="4" borderId="34" xfId="0" applyFont="1" applyFill="1" applyBorder="1"/>
    <xf numFmtId="0" fontId="5" fillId="4" borderId="36" xfId="0" applyFont="1" applyFill="1" applyBorder="1"/>
    <xf numFmtId="0" fontId="9" fillId="4" borderId="39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7" xfId="0" applyFont="1" applyBorder="1"/>
    <xf numFmtId="0" fontId="9" fillId="0" borderId="40" xfId="0" applyFont="1" applyBorder="1"/>
    <xf numFmtId="0" fontId="10" fillId="3" borderId="4" xfId="0" applyFont="1" applyFill="1" applyBorder="1"/>
    <xf numFmtId="0" fontId="10" fillId="3" borderId="0" xfId="0" applyFont="1" applyFill="1" applyBorder="1"/>
    <xf numFmtId="3" fontId="10" fillId="3" borderId="4" xfId="0" applyNumberFormat="1" applyFont="1" applyFill="1" applyBorder="1" applyAlignment="1">
      <alignment horizontal="right"/>
    </xf>
    <xf numFmtId="4" fontId="10" fillId="3" borderId="5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3" fontId="10" fillId="3" borderId="19" xfId="0" applyNumberFormat="1" applyFont="1" applyFill="1" applyBorder="1" applyAlignment="1">
      <alignment horizontal="right"/>
    </xf>
    <xf numFmtId="0" fontId="9" fillId="4" borderId="42" xfId="0" applyFont="1" applyFill="1" applyBorder="1"/>
    <xf numFmtId="3" fontId="9" fillId="4" borderId="43" xfId="0" applyNumberFormat="1" applyFont="1" applyFill="1" applyBorder="1" applyAlignment="1"/>
    <xf numFmtId="4" fontId="9" fillId="4" borderId="44" xfId="0" applyNumberFormat="1" applyFont="1" applyFill="1" applyBorder="1" applyAlignment="1"/>
    <xf numFmtId="3" fontId="9" fillId="4" borderId="42" xfId="0" applyNumberFormat="1" applyFont="1" applyFill="1" applyBorder="1" applyAlignment="1">
      <alignment horizontal="right"/>
    </xf>
    <xf numFmtId="3" fontId="5" fillId="4" borderId="43" xfId="0" applyNumberFormat="1" applyFont="1" applyFill="1" applyBorder="1" applyAlignment="1"/>
    <xf numFmtId="3" fontId="5" fillId="4" borderId="42" xfId="0" applyNumberFormat="1" applyFont="1" applyFill="1" applyBorder="1" applyAlignment="1"/>
    <xf numFmtId="3" fontId="9" fillId="4" borderId="45" xfId="0" applyNumberFormat="1" applyFont="1" applyFill="1" applyBorder="1" applyAlignment="1">
      <alignment horizontal="right"/>
    </xf>
    <xf numFmtId="3" fontId="5" fillId="0" borderId="47" xfId="0" applyNumberFormat="1" applyFont="1" applyBorder="1" applyAlignment="1">
      <alignment horizontal="right"/>
    </xf>
    <xf numFmtId="3" fontId="5" fillId="0" borderId="49" xfId="0" applyNumberFormat="1" applyFont="1" applyBorder="1" applyAlignment="1">
      <alignment horizontal="right"/>
    </xf>
    <xf numFmtId="3" fontId="9" fillId="4" borderId="50" xfId="0" applyNumberFormat="1" applyFont="1" applyFill="1" applyBorder="1" applyAlignment="1">
      <alignment horizontal="right"/>
    </xf>
    <xf numFmtId="3" fontId="5" fillId="0" borderId="51" xfId="0" applyNumberFormat="1" applyFont="1" applyBorder="1" applyAlignment="1">
      <alignment horizontal="right"/>
    </xf>
    <xf numFmtId="3" fontId="5" fillId="0" borderId="52" xfId="0" applyNumberFormat="1" applyFont="1" applyBorder="1" applyAlignment="1">
      <alignment horizontal="right"/>
    </xf>
    <xf numFmtId="3" fontId="5" fillId="0" borderId="50" xfId="0" applyNumberFormat="1" applyFont="1" applyBorder="1" applyAlignment="1">
      <alignment horizontal="right"/>
    </xf>
    <xf numFmtId="0" fontId="5" fillId="0" borderId="54" xfId="0" applyFont="1" applyBorder="1"/>
    <xf numFmtId="3" fontId="5" fillId="0" borderId="55" xfId="0" applyNumberFormat="1" applyFont="1" applyBorder="1" applyAlignment="1"/>
    <xf numFmtId="4" fontId="5" fillId="0" borderId="56" xfId="0" applyNumberFormat="1" applyFont="1" applyBorder="1" applyAlignment="1"/>
    <xf numFmtId="3" fontId="5" fillId="0" borderId="54" xfId="0" applyNumberFormat="1" applyFont="1" applyBorder="1" applyAlignment="1">
      <alignment horizontal="right"/>
    </xf>
    <xf numFmtId="3" fontId="0" fillId="0" borderId="55" xfId="0" applyNumberFormat="1" applyBorder="1" applyAlignment="1"/>
    <xf numFmtId="3" fontId="0" fillId="0" borderId="54" xfId="0" applyNumberFormat="1" applyBorder="1" applyAlignment="1"/>
    <xf numFmtId="3" fontId="5" fillId="0" borderId="57" xfId="0" applyNumberFormat="1" applyFont="1" applyBorder="1" applyAlignment="1">
      <alignment horizontal="right"/>
    </xf>
    <xf numFmtId="0" fontId="10" fillId="0" borderId="0" xfId="0" applyFont="1" applyFill="1" applyBorder="1"/>
    <xf numFmtId="3" fontId="10" fillId="0" borderId="4" xfId="0" applyNumberFormat="1" applyFont="1" applyFill="1" applyBorder="1" applyAlignment="1">
      <alignment horizontal="right"/>
    </xf>
    <xf numFmtId="4" fontId="10" fillId="0" borderId="5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0" xfId="0" applyNumberFormat="1" applyFont="1" applyFill="1" applyBorder="1" applyAlignment="1">
      <alignment horizontal="center" vertical="center"/>
    </xf>
    <xf numFmtId="3" fontId="2" fillId="0" borderId="4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16" fontId="0" fillId="0" borderId="9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3" xfId="0" applyBorder="1" applyAlignment="1">
      <alignment vertical="center"/>
    </xf>
    <xf numFmtId="0" fontId="5" fillId="0" borderId="41" xfId="0" applyFont="1" applyBorder="1" applyAlignment="1">
      <alignment vertical="center"/>
    </xf>
    <xf numFmtId="0" fontId="5" fillId="0" borderId="46" xfId="0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0" fontId="5" fillId="0" borderId="53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54" xfId="0" applyFont="1" applyBorder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3488F-32DC-4AA3-B3FC-2343676058BB}">
  <dimension ref="A1:P13"/>
  <sheetViews>
    <sheetView workbookViewId="0">
      <selection activeCell="I33" sqref="I33"/>
    </sheetView>
  </sheetViews>
  <sheetFormatPr defaultRowHeight="15" x14ac:dyDescent="0.25"/>
  <cols>
    <col min="1" max="1" width="8.140625" customWidth="1"/>
    <col min="2" max="2" width="26.42578125" customWidth="1"/>
    <col min="3" max="3" width="14" style="3" customWidth="1"/>
    <col min="4" max="4" width="7.85546875" style="3" customWidth="1"/>
    <col min="5" max="6" width="10.42578125" style="4" customWidth="1"/>
    <col min="7" max="7" width="15.42578125" style="5" customWidth="1"/>
    <col min="8" max="8" width="8.28515625" style="5" customWidth="1"/>
    <col min="9" max="10" width="10.140625" style="6" customWidth="1"/>
    <col min="11" max="11" width="8.5703125" style="7" customWidth="1"/>
    <col min="12" max="12" width="10.42578125" style="8" customWidth="1"/>
    <col min="13" max="13" width="9.140625" style="9"/>
    <col min="14" max="14" width="12.42578125" style="9" customWidth="1"/>
  </cols>
  <sheetData>
    <row r="1" spans="1:16" s="10" customFormat="1" ht="15.75" thickTop="1" x14ac:dyDescent="0.25">
      <c r="A1" s="13" t="s">
        <v>15</v>
      </c>
      <c r="B1" s="14"/>
      <c r="C1" s="15"/>
      <c r="D1" s="15"/>
      <c r="E1" s="16"/>
      <c r="F1" s="16"/>
      <c r="G1" s="17"/>
      <c r="H1" s="17"/>
      <c r="I1" s="18"/>
      <c r="J1" s="18"/>
      <c r="K1" s="144"/>
      <c r="L1" s="148" t="s">
        <v>3</v>
      </c>
      <c r="M1" s="149"/>
      <c r="N1" s="149"/>
      <c r="O1" s="149"/>
      <c r="P1" s="150"/>
    </row>
    <row r="2" spans="1:16" s="10" customFormat="1" x14ac:dyDescent="0.25">
      <c r="A2" s="24" t="s">
        <v>7</v>
      </c>
      <c r="B2" s="25" t="s">
        <v>2</v>
      </c>
      <c r="C2" s="113" t="s">
        <v>0</v>
      </c>
      <c r="D2" s="113" t="s">
        <v>11</v>
      </c>
      <c r="E2" s="114" t="s">
        <v>9</v>
      </c>
      <c r="F2" s="114" t="s">
        <v>33</v>
      </c>
      <c r="G2" s="119" t="s">
        <v>1</v>
      </c>
      <c r="H2" s="119" t="s">
        <v>12</v>
      </c>
      <c r="I2" s="120" t="s">
        <v>10</v>
      </c>
      <c r="J2" s="120" t="s">
        <v>34</v>
      </c>
      <c r="K2" s="145" t="s">
        <v>18</v>
      </c>
      <c r="L2" s="153" t="s">
        <v>4</v>
      </c>
      <c r="M2" s="154" t="s">
        <v>5</v>
      </c>
      <c r="N2" s="154" t="s">
        <v>6</v>
      </c>
      <c r="O2" s="155" t="s">
        <v>35</v>
      </c>
      <c r="P2" s="156" t="s">
        <v>36</v>
      </c>
    </row>
    <row r="3" spans="1:16" x14ac:dyDescent="0.25">
      <c r="A3" s="19">
        <v>1</v>
      </c>
      <c r="B3" s="20" t="s">
        <v>51</v>
      </c>
      <c r="C3" s="115" t="s">
        <v>8</v>
      </c>
      <c r="D3" s="115" t="s">
        <v>13</v>
      </c>
      <c r="E3" s="116">
        <f>95000</f>
        <v>95000</v>
      </c>
      <c r="F3" s="116">
        <f>IF(D3&lt;&gt;"CHF",E3*$K3,E3)</f>
        <v>95000</v>
      </c>
      <c r="G3" s="121" t="s">
        <v>14</v>
      </c>
      <c r="H3" s="121" t="s">
        <v>13</v>
      </c>
      <c r="I3" s="122">
        <f>-E3</f>
        <v>-95000</v>
      </c>
      <c r="J3" s="122">
        <f>IF(H3&lt;&gt;"CHF",I3*$K3,I3)</f>
        <v>-95000</v>
      </c>
      <c r="K3" s="146">
        <v>1</v>
      </c>
      <c r="L3" s="151">
        <v>1000</v>
      </c>
      <c r="M3" s="23" t="s">
        <v>19</v>
      </c>
      <c r="N3" s="23" t="s">
        <v>16</v>
      </c>
      <c r="O3" s="27">
        <f>IF($C3="Ptf Titres",-I3,-E3)</f>
        <v>95000</v>
      </c>
      <c r="P3" s="138">
        <f>IF($C3="Ptf Titres",-J3,-F3)</f>
        <v>95000</v>
      </c>
    </row>
    <row r="4" spans="1:16" x14ac:dyDescent="0.25">
      <c r="A4" s="19">
        <v>2</v>
      </c>
      <c r="B4" s="20" t="s">
        <v>52</v>
      </c>
      <c r="C4" s="115" t="s">
        <v>8</v>
      </c>
      <c r="D4" s="115" t="s">
        <v>13</v>
      </c>
      <c r="E4" s="116">
        <f>98000</f>
        <v>98000</v>
      </c>
      <c r="F4" s="116">
        <f t="shared" ref="F4:F6" si="0">IF(D4&lt;&gt;"CHF",E4*$K4,E4)</f>
        <v>98000</v>
      </c>
      <c r="G4" s="121" t="s">
        <v>14</v>
      </c>
      <c r="H4" s="121" t="s">
        <v>13</v>
      </c>
      <c r="I4" s="122">
        <f>-E4</f>
        <v>-98000</v>
      </c>
      <c r="J4" s="122">
        <f t="shared" ref="J4:J7" si="1">IF(H4&lt;&gt;"CHF",I4*$K4,I4)</f>
        <v>-98000</v>
      </c>
      <c r="K4" s="146">
        <v>1</v>
      </c>
      <c r="L4" s="151">
        <v>1000</v>
      </c>
      <c r="M4" s="23" t="s">
        <v>19</v>
      </c>
      <c r="N4" s="23" t="s">
        <v>16</v>
      </c>
      <c r="O4" s="27">
        <f t="shared" ref="O4:O7" si="2">IF($C4="Ptf Titres",-I4,-E4)</f>
        <v>98000</v>
      </c>
      <c r="P4" s="138">
        <f t="shared" ref="P4:P7" si="3">IF($C4="Ptf Titres",-J4,-F4)</f>
        <v>98000</v>
      </c>
    </row>
    <row r="5" spans="1:16" x14ac:dyDescent="0.25">
      <c r="A5" s="19">
        <v>3</v>
      </c>
      <c r="B5" s="20" t="s">
        <v>53</v>
      </c>
      <c r="C5" s="115" t="s">
        <v>8</v>
      </c>
      <c r="D5" s="115" t="s">
        <v>13</v>
      </c>
      <c r="E5" s="116">
        <f>1000*60*0.9</f>
        <v>54000</v>
      </c>
      <c r="F5" s="116">
        <f t="shared" si="0"/>
        <v>54000</v>
      </c>
      <c r="G5" s="121" t="s">
        <v>14</v>
      </c>
      <c r="H5" s="121" t="s">
        <v>17</v>
      </c>
      <c r="I5" s="122">
        <f>-1000*60</f>
        <v>-60000</v>
      </c>
      <c r="J5" s="122">
        <f t="shared" si="1"/>
        <v>-54000</v>
      </c>
      <c r="K5" s="146">
        <v>0.9</v>
      </c>
      <c r="L5" s="151">
        <v>1000</v>
      </c>
      <c r="M5" s="23" t="s">
        <v>20</v>
      </c>
      <c r="N5" s="23" t="s">
        <v>21</v>
      </c>
      <c r="O5" s="27">
        <f t="shared" si="2"/>
        <v>60000</v>
      </c>
      <c r="P5" s="138">
        <f t="shared" si="3"/>
        <v>54000</v>
      </c>
    </row>
    <row r="6" spans="1:16" x14ac:dyDescent="0.25">
      <c r="A6" s="19">
        <v>4</v>
      </c>
      <c r="B6" s="20" t="s">
        <v>49</v>
      </c>
      <c r="C6" s="115" t="s">
        <v>14</v>
      </c>
      <c r="D6" s="115" t="s">
        <v>13</v>
      </c>
      <c r="E6" s="116">
        <f>500*100</f>
        <v>50000</v>
      </c>
      <c r="F6" s="116">
        <f t="shared" si="0"/>
        <v>50000</v>
      </c>
      <c r="G6" s="121" t="s">
        <v>8</v>
      </c>
      <c r="H6" s="121" t="s">
        <v>13</v>
      </c>
      <c r="I6" s="122">
        <v>-50000</v>
      </c>
      <c r="J6" s="122">
        <f t="shared" si="1"/>
        <v>-50000</v>
      </c>
      <c r="K6" s="146">
        <v>1</v>
      </c>
      <c r="L6" s="151">
        <v>-500</v>
      </c>
      <c r="M6" s="23" t="s">
        <v>22</v>
      </c>
      <c r="N6" s="23" t="s">
        <v>16</v>
      </c>
      <c r="O6" s="27">
        <f t="shared" si="2"/>
        <v>-50000</v>
      </c>
      <c r="P6" s="138">
        <f t="shared" si="3"/>
        <v>-50000</v>
      </c>
    </row>
    <row r="7" spans="1:16" ht="15.75" thickBot="1" x14ac:dyDescent="0.3">
      <c r="A7" s="21">
        <v>5</v>
      </c>
      <c r="B7" s="22" t="s">
        <v>50</v>
      </c>
      <c r="C7" s="117" t="s">
        <v>14</v>
      </c>
      <c r="D7" s="117" t="s">
        <v>17</v>
      </c>
      <c r="E7" s="118">
        <f>58*300</f>
        <v>17400</v>
      </c>
      <c r="F7" s="118">
        <f>IF(D7&lt;&gt;"CHF",E7*$K7,E7)</f>
        <v>16530</v>
      </c>
      <c r="G7" s="123" t="s">
        <v>8</v>
      </c>
      <c r="H7" s="123" t="s">
        <v>13</v>
      </c>
      <c r="I7" s="124">
        <f>-E7*K7</f>
        <v>-16530</v>
      </c>
      <c r="J7" s="124">
        <f t="shared" si="1"/>
        <v>-16530</v>
      </c>
      <c r="K7" s="147">
        <v>0.95</v>
      </c>
      <c r="L7" s="152">
        <v>-300</v>
      </c>
      <c r="M7" s="141" t="s">
        <v>20</v>
      </c>
      <c r="N7" s="141" t="s">
        <v>21</v>
      </c>
      <c r="O7" s="142">
        <f t="shared" si="2"/>
        <v>-17400</v>
      </c>
      <c r="P7" s="143">
        <f t="shared" si="3"/>
        <v>-16530</v>
      </c>
    </row>
    <row r="8" spans="1:16" ht="16.5" thickTop="1" thickBot="1" x14ac:dyDescent="0.3">
      <c r="A8" s="125" t="s">
        <v>43</v>
      </c>
      <c r="B8" s="126" t="s">
        <v>41</v>
      </c>
      <c r="C8" s="127" t="s">
        <v>14</v>
      </c>
      <c r="D8" s="127" t="s">
        <v>17</v>
      </c>
      <c r="E8" s="128"/>
      <c r="F8" s="128">
        <f>-Comptes!L5</f>
        <v>870</v>
      </c>
      <c r="G8" s="129" t="s">
        <v>37</v>
      </c>
      <c r="H8" s="129" t="s">
        <v>13</v>
      </c>
      <c r="I8" s="130"/>
      <c r="J8" s="130">
        <f>F8</f>
        <v>870</v>
      </c>
      <c r="K8" s="131"/>
    </row>
    <row r="9" spans="1:16" ht="15.75" thickTop="1" x14ac:dyDescent="0.25">
      <c r="A9" s="132" t="s">
        <v>43</v>
      </c>
      <c r="B9" s="133" t="s">
        <v>54</v>
      </c>
      <c r="C9" s="134" t="s">
        <v>8</v>
      </c>
      <c r="D9" s="134" t="s">
        <v>13</v>
      </c>
      <c r="E9" s="135">
        <f>F9</f>
        <v>1750</v>
      </c>
      <c r="F9" s="135">
        <f>Comptes!M11</f>
        <v>1750</v>
      </c>
      <c r="G9" s="134" t="s">
        <v>37</v>
      </c>
      <c r="H9" s="134" t="s">
        <v>13</v>
      </c>
      <c r="I9" s="135"/>
      <c r="J9" s="136">
        <f>-F9</f>
        <v>-1750</v>
      </c>
    </row>
    <row r="10" spans="1:16" x14ac:dyDescent="0.25">
      <c r="A10" s="137" t="s">
        <v>43</v>
      </c>
      <c r="B10" s="106" t="s">
        <v>44</v>
      </c>
      <c r="C10" s="23" t="s">
        <v>8</v>
      </c>
      <c r="D10" s="23" t="s">
        <v>13</v>
      </c>
      <c r="E10" s="27">
        <f t="shared" ref="E10:E11" si="4">F10</f>
        <v>8250</v>
      </c>
      <c r="F10" s="27">
        <f>Comptes!N11</f>
        <v>8250</v>
      </c>
      <c r="G10" s="23" t="s">
        <v>37</v>
      </c>
      <c r="H10" s="23" t="s">
        <v>13</v>
      </c>
      <c r="I10" s="27"/>
      <c r="J10" s="138">
        <f>-F10</f>
        <v>-8250</v>
      </c>
    </row>
    <row r="11" spans="1:16" x14ac:dyDescent="0.25">
      <c r="A11" s="137" t="s">
        <v>43</v>
      </c>
      <c r="B11" s="106" t="s">
        <v>45</v>
      </c>
      <c r="C11" s="23" t="s">
        <v>8</v>
      </c>
      <c r="D11" s="23" t="s">
        <v>13</v>
      </c>
      <c r="E11" s="27">
        <f t="shared" si="4"/>
        <v>330</v>
      </c>
      <c r="F11" s="27">
        <f>Comptes!M14</f>
        <v>330</v>
      </c>
      <c r="G11" s="23" t="s">
        <v>37</v>
      </c>
      <c r="H11" s="23" t="s">
        <v>13</v>
      </c>
      <c r="I11" s="27"/>
      <c r="J11" s="138">
        <f>-F11</f>
        <v>-330</v>
      </c>
    </row>
    <row r="12" spans="1:16" ht="15.75" thickBot="1" x14ac:dyDescent="0.3">
      <c r="A12" s="139" t="s">
        <v>43</v>
      </c>
      <c r="B12" s="140" t="s">
        <v>46</v>
      </c>
      <c r="C12" s="141" t="s">
        <v>37</v>
      </c>
      <c r="D12" s="141" t="s">
        <v>13</v>
      </c>
      <c r="E12" s="142"/>
      <c r="F12" s="142">
        <f>-J12</f>
        <v>3150</v>
      </c>
      <c r="G12" s="141" t="s">
        <v>8</v>
      </c>
      <c r="H12" s="141" t="s">
        <v>13</v>
      </c>
      <c r="I12" s="142">
        <f>J12</f>
        <v>-3150</v>
      </c>
      <c r="J12" s="143">
        <f>Comptes!N14</f>
        <v>-3150</v>
      </c>
    </row>
    <row r="13" spans="1:16" ht="15.75" thickTop="1" x14ac:dyDescent="0.25"/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8C76-E783-4C1E-917E-78C6D0F51236}">
  <dimension ref="A1:Q19"/>
  <sheetViews>
    <sheetView tabSelected="1" workbookViewId="0">
      <selection activeCell="I11" sqref="I11"/>
    </sheetView>
  </sheetViews>
  <sheetFormatPr defaultRowHeight="15" x14ac:dyDescent="0.25"/>
  <cols>
    <col min="1" max="1" width="13" customWidth="1"/>
    <col min="2" max="2" width="13.5703125" customWidth="1"/>
    <col min="4" max="4" width="13" style="11" customWidth="1"/>
    <col min="5" max="5" width="9" style="12" customWidth="1"/>
    <col min="6" max="8" width="10.85546875" style="1" customWidth="1"/>
    <col min="9" max="11" width="10.85546875" style="11" customWidth="1"/>
    <col min="12" max="12" width="6.7109375" style="11" customWidth="1"/>
    <col min="13" max="13" width="17.28515625" style="11" bestFit="1" customWidth="1"/>
    <col min="14" max="14" width="28.5703125" style="11" customWidth="1"/>
    <col min="15" max="15" width="46.42578125" style="11" customWidth="1"/>
  </cols>
  <sheetData>
    <row r="1" spans="1:17" x14ac:dyDescent="0.25">
      <c r="D1" s="48" t="s">
        <v>25</v>
      </c>
      <c r="E1" s="49"/>
      <c r="F1" s="1" t="s">
        <v>42</v>
      </c>
      <c r="G1" s="1" t="s">
        <v>42</v>
      </c>
      <c r="H1" s="1" t="s">
        <v>42</v>
      </c>
      <c r="I1" s="1" t="s">
        <v>42</v>
      </c>
      <c r="J1" s="71" t="s">
        <v>42</v>
      </c>
      <c r="K1" s="190" t="s">
        <v>47</v>
      </c>
      <c r="L1" s="52" t="s">
        <v>38</v>
      </c>
      <c r="M1" s="52"/>
      <c r="N1" s="53"/>
      <c r="O1" s="72" t="s">
        <v>42</v>
      </c>
    </row>
    <row r="2" spans="1:17" x14ac:dyDescent="0.25">
      <c r="D2" s="50" t="s">
        <v>31</v>
      </c>
      <c r="E2" s="51" t="s">
        <v>32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91"/>
      <c r="L2" s="55" t="s">
        <v>41</v>
      </c>
      <c r="M2" s="55" t="s">
        <v>39</v>
      </c>
      <c r="N2" s="56" t="s">
        <v>40</v>
      </c>
      <c r="O2" s="67" t="s">
        <v>43</v>
      </c>
    </row>
    <row r="3" spans="1:17" x14ac:dyDescent="0.25">
      <c r="A3" s="73" t="s">
        <v>14</v>
      </c>
      <c r="B3" s="74" t="s">
        <v>13</v>
      </c>
      <c r="C3" s="74" t="s">
        <v>24</v>
      </c>
      <c r="D3" s="75">
        <v>200000</v>
      </c>
      <c r="E3" s="76"/>
      <c r="F3" s="77">
        <f>D3+SUMIFS(Mvts!$E:$E,Mvts!$A:$A,Comptes!F$2,Mvts!$C:$C,Comptes!$A3,Mvts!$D:$D,$B3)+SUMIFS(Mvts!$I:$I,Mvts!$A:$A,Comptes!F$2,Mvts!$G:$G,Comptes!$A3,Mvts!$H:$H,$B3)</f>
        <v>105000</v>
      </c>
      <c r="G3" s="77">
        <f>F3+SUMIFS(Mvts!$E:$E,Mvts!$A:$A,Comptes!G$2,Mvts!$C:$C,Comptes!$A3,Mvts!$D:$D,$B3)+SUMIFS(Mvts!$I:$I,Mvts!$A:$A,Comptes!G$2,Mvts!$G:$G,Comptes!$A3,Mvts!$H:$H,$B3)</f>
        <v>7000</v>
      </c>
      <c r="H3" s="77">
        <f>G3+SUMIFS(Mvts!$E:$E,Mvts!$A:$A,Comptes!H$2,Mvts!$C:$C,Comptes!$A3,Mvts!$D:$D,$B3)+SUMIFS(Mvts!$I:$I,Mvts!$A:$A,Comptes!H$2,Mvts!$G:$G,Comptes!$A3,Mvts!$H:$H,$B3)</f>
        <v>7000</v>
      </c>
      <c r="I3" s="77">
        <f>H3+SUMIFS(Mvts!$E:$E,Mvts!$A:$A,Comptes!I$2,Mvts!$C:$C,Comptes!$A3,Mvts!$D:$D,$B3)+SUMIFS(Mvts!$I:$I,Mvts!$A:$A,Comptes!I$2,Mvts!$G:$G,Comptes!$A3,Mvts!$H:$H,$B3)</f>
        <v>57000</v>
      </c>
      <c r="J3" s="77">
        <f>I3+SUMIFS(Mvts!$E:$E,Mvts!$A:$A,Comptes!J$2,Mvts!$C:$C,Comptes!$A3,Mvts!$D:$D,$B3)+SUMIFS(Mvts!$I:$I,Mvts!$A:$A,Comptes!J$2,Mvts!$G:$G,Comptes!$A3,Mvts!$H:$H,$B3)</f>
        <v>57000</v>
      </c>
      <c r="K3" s="54"/>
      <c r="L3" s="57"/>
      <c r="M3" s="57"/>
      <c r="N3" s="58"/>
      <c r="O3" s="78">
        <f>J3+SUMIFS(Mvts!$E:$E,Mvts!$A:$A,Comptes!O$2,Mvts!$C:$C,Comptes!$A3,Mvts!$D:$D,$B3)+SUMIFS(Mvts!$I:$I,Mvts!$A:$A,Comptes!O$2,Mvts!$G:$G,Comptes!$A3,Mvts!$H:$H,$B3)</f>
        <v>57000</v>
      </c>
    </row>
    <row r="4" spans="1:17" x14ac:dyDescent="0.25">
      <c r="A4" s="192" t="s">
        <v>14</v>
      </c>
      <c r="B4" s="194" t="s">
        <v>17</v>
      </c>
      <c r="C4" s="31" t="s">
        <v>26</v>
      </c>
      <c r="D4" s="32">
        <v>100000</v>
      </c>
      <c r="E4" s="33">
        <v>0.9</v>
      </c>
      <c r="F4" s="34">
        <f>D4+SUMIFS(Mvts!$E:$E,Mvts!$A:$A,Comptes!F$2,Mvts!$C:$C,Comptes!$A4,Mvts!$D:$D,$B4)+SUMIFS(Mvts!$I:$I,Mvts!$A:$A,Comptes!F$2,Mvts!$G:$G,Comptes!$A4,Mvts!$H:$H,$B4)</f>
        <v>100000</v>
      </c>
      <c r="G4" s="34">
        <f>F4+SUMIFS(Mvts!$E:$E,Mvts!$A:$A,Comptes!G$2,Mvts!$C:$C,Comptes!$A4,Mvts!$D:$D,$B4)+SUMIFS(Mvts!$I:$I,Mvts!$A:$A,Comptes!G$2,Mvts!$G:$G,Comptes!$A4,Mvts!$H:$H,$B4)</f>
        <v>100000</v>
      </c>
      <c r="H4" s="34">
        <f>G4+SUMIFS(Mvts!$E:$E,Mvts!$A:$A,Comptes!H$2,Mvts!$C:$C,Comptes!$A4,Mvts!$D:$D,$B4)+SUMIFS(Mvts!$I:$I,Mvts!$A:$A,Comptes!H$2,Mvts!$G:$G,Comptes!$A4,Mvts!$H:$H,$B4)</f>
        <v>40000</v>
      </c>
      <c r="I4" s="34">
        <f>H4+SUMIFS(Mvts!$E:$E,Mvts!$A:$A,Comptes!I$2,Mvts!$C:$C,Comptes!$A4,Mvts!$D:$D,$B4)+SUMIFS(Mvts!$I:$I,Mvts!$A:$A,Comptes!I$2,Mvts!$G:$G,Comptes!$A4,Mvts!$H:$H,$B4)</f>
        <v>40000</v>
      </c>
      <c r="J4" s="34">
        <f>I4+SUMIFS(Mvts!$E:$E,Mvts!$A:$A,Comptes!J$2,Mvts!$C:$C,Comptes!$A4,Mvts!$D:$D,$B4)+SUMIFS(Mvts!$I:$I,Mvts!$A:$A,Comptes!J$2,Mvts!$G:$G,Comptes!$A4,Mvts!$H:$H,$B4)</f>
        <v>57400</v>
      </c>
      <c r="K4" s="59">
        <v>0.9</v>
      </c>
      <c r="L4" s="60"/>
      <c r="M4" s="57"/>
      <c r="N4" s="58"/>
      <c r="O4" s="68">
        <f>J4+SUMIFS(Mvts!$E:$E,Mvts!$A:$A,Comptes!O$2,Mvts!$C:$C,Comptes!$A4,Mvts!$D:$D,$B4)+SUMIFS(Mvts!$I:$I,Mvts!$A:$A,Comptes!O$2,Mvts!$G:$G,Comptes!$A4,Mvts!$H:$H,$B4)</f>
        <v>57400</v>
      </c>
    </row>
    <row r="5" spans="1:17" x14ac:dyDescent="0.25">
      <c r="A5" s="193"/>
      <c r="B5" s="195"/>
      <c r="C5" s="35" t="s">
        <v>24</v>
      </c>
      <c r="D5" s="36">
        <f>D4*0.9</f>
        <v>90000</v>
      </c>
      <c r="E5" s="37"/>
      <c r="F5" s="38">
        <f>D5+SUMIFS(Mvts!$F:$F,Mvts!$A:$A,Comptes!F$2,Mvts!$C:$C,Comptes!$A4,Mvts!$D:$D,$B4)+SUMIFS(Mvts!$J:$J,Mvts!$A:$A,Comptes!F$2,Mvts!$G:$G,Comptes!$A4,Mvts!$H:$H,$B4)</f>
        <v>90000</v>
      </c>
      <c r="G5" s="38">
        <f>F5+SUMIFS(Mvts!$F:$F,Mvts!$A:$A,Comptes!G$2,Mvts!$C:$C,Comptes!$A4,Mvts!$D:$D,$B4)+SUMIFS(Mvts!$J:$J,Mvts!$A:$A,Comptes!G$2,Mvts!$G:$G,Comptes!$A4,Mvts!$H:$H,$B4)</f>
        <v>90000</v>
      </c>
      <c r="H5" s="38">
        <f>G5+SUMIFS(Mvts!$F:$F,Mvts!$A:$A,Comptes!H$2,Mvts!$C:$C,Comptes!$A4,Mvts!$D:$D,$B4)+SUMIFS(Mvts!$J:$J,Mvts!$A:$A,Comptes!H$2,Mvts!$G:$G,Comptes!$A4,Mvts!$H:$H,$B4)</f>
        <v>36000</v>
      </c>
      <c r="I5" s="38">
        <f>H5+SUMIFS(Mvts!$F:$F,Mvts!$A:$A,Comptes!I$2,Mvts!$C:$C,Comptes!$A4,Mvts!$D:$D,$B4)+SUMIFS(Mvts!$J:$J,Mvts!$A:$A,Comptes!I$2,Mvts!$G:$G,Comptes!$A4,Mvts!$H:$H,$B4)</f>
        <v>36000</v>
      </c>
      <c r="J5" s="38">
        <f>I5+SUMIFS(Mvts!$F:$F,Mvts!$A:$A,Comptes!J$2,Mvts!$C:$C,Comptes!$A4,Mvts!$D:$D,$B4)+SUMIFS(Mvts!$J:$J,Mvts!$A:$A,Comptes!J$2,Mvts!$G:$G,Comptes!$A4,Mvts!$H:$H,$B4)</f>
        <v>52530</v>
      </c>
      <c r="K5" s="54"/>
      <c r="L5" s="57">
        <f>J4*K4-J5</f>
        <v>-870</v>
      </c>
      <c r="M5" s="57"/>
      <c r="N5" s="58"/>
      <c r="O5" s="69">
        <f>J5+SUMIFS(Mvts!$F:$F,Mvts!$A:$A,Comptes!O$2,Mvts!$C:$C,Comptes!$A4,Mvts!$D:$D,$B4)+SUMIFS(Mvts!$J:$J,Mvts!$A:$A,Comptes!O$2,Mvts!$G:$G,Comptes!$A4,Mvts!$H:$H,$B4)</f>
        <v>53400</v>
      </c>
    </row>
    <row r="6" spans="1:17" x14ac:dyDescent="0.25">
      <c r="A6" s="79" t="s">
        <v>8</v>
      </c>
      <c r="B6" s="80" t="s">
        <v>13</v>
      </c>
      <c r="C6" s="80" t="s">
        <v>24</v>
      </c>
      <c r="D6" s="81">
        <v>0</v>
      </c>
      <c r="E6" s="82"/>
      <c r="F6" s="83">
        <f>D6+SUMIFS(Mvts!$E:$E,Mvts!$A:$A,Comptes!F$2,Mvts!$C:$C,Comptes!$A6,Mvts!$D:$D,$B6)+SUMIFS(Mvts!$I:$I,Mvts!$A:$A,Comptes!F$2,Mvts!$G:$G,Comptes!$A6,Mvts!$H:$H,$B6)</f>
        <v>95000</v>
      </c>
      <c r="G6" s="83">
        <f>F6+SUMIFS(Mvts!$E:$E,Mvts!$A:$A,Comptes!G$2,Mvts!$C:$C,Comptes!$A6,Mvts!$D:$D,$B6)+SUMIFS(Mvts!$I:$I,Mvts!$A:$A,Comptes!G$2,Mvts!$G:$G,Comptes!$A6,Mvts!$H:$H,$B6)</f>
        <v>193000</v>
      </c>
      <c r="H6" s="83">
        <f>G6+SUMIFS(Mvts!$E:$E,Mvts!$A:$A,Comptes!H$2,Mvts!$C:$C,Comptes!$A6,Mvts!$D:$D,$B6)+SUMIFS(Mvts!$I:$I,Mvts!$A:$A,Comptes!H$2,Mvts!$G:$G,Comptes!$A6,Mvts!$H:$H,$B6)</f>
        <v>247000</v>
      </c>
      <c r="I6" s="83">
        <f>H6+SUMIFS(Mvts!$E:$E,Mvts!$A:$A,Comptes!I$2,Mvts!$C:$C,Comptes!$A6,Mvts!$D:$D,$B6)+SUMIFS(Mvts!$I:$I,Mvts!$A:$A,Comptes!I$2,Mvts!$G:$G,Comptes!$A6,Mvts!$H:$H,$B6)</f>
        <v>197000</v>
      </c>
      <c r="J6" s="83">
        <f>I6+SUMIFS(Mvts!$E:$E,Mvts!$A:$A,Comptes!J$2,Mvts!$C:$C,Comptes!$A6,Mvts!$D:$D,$B6)+SUMIFS(Mvts!$I:$I,Mvts!$A:$A,Comptes!J$2,Mvts!$G:$G,Comptes!$A6,Mvts!$H:$H,$B6)</f>
        <v>180470</v>
      </c>
      <c r="K6" s="54"/>
      <c r="L6" s="57"/>
      <c r="M6" s="57"/>
      <c r="N6" s="58"/>
      <c r="O6" s="84">
        <f>J6+SUMIFS(Mvts!$E:$E,Mvts!$A:$A,Comptes!O$2,Mvts!$C:$C,Comptes!$A6,Mvts!$D:$D,$B6)+SUMIFS(Mvts!$I:$I,Mvts!$A:$A,Comptes!O$2,Mvts!$G:$G,Comptes!$A6,Mvts!$H:$H,$B6)</f>
        <v>187650</v>
      </c>
      <c r="Q6" s="2"/>
    </row>
    <row r="7" spans="1:17" x14ac:dyDescent="0.25">
      <c r="A7" s="39" t="s">
        <v>23</v>
      </c>
      <c r="B7" s="40" t="s">
        <v>13</v>
      </c>
      <c r="C7" s="40" t="s">
        <v>24</v>
      </c>
      <c r="D7" s="41">
        <v>-290000</v>
      </c>
      <c r="E7" s="42"/>
      <c r="F7" s="43">
        <f>D7+SUMIFS(Mvts!$E:$E,Mvts!$A:$A,Comptes!F$2,Mvts!$C:$C,Comptes!$A7,Mvts!$D:$D,$B7)+SUMIFS(Mvts!$I:$I,Mvts!$A:$A,Comptes!F$2,Mvts!$G:$G,Comptes!$A7,Mvts!$H:$H,$B7)</f>
        <v>-290000</v>
      </c>
      <c r="G7" s="43">
        <f>F7+SUMIFS(Mvts!$E:$E,Mvts!$A:$A,Comptes!G$2,Mvts!$C:$C,Comptes!$A7,Mvts!$D:$D,$B7)+SUMIFS(Mvts!$I:$I,Mvts!$A:$A,Comptes!G$2,Mvts!$G:$G,Comptes!$A7,Mvts!$H:$H,$B7)</f>
        <v>-290000</v>
      </c>
      <c r="H7" s="43">
        <f>G7+SUMIFS(Mvts!$E:$E,Mvts!$A:$A,Comptes!H$2,Mvts!$C:$C,Comptes!$A7,Mvts!$D:$D,$B7)+SUMIFS(Mvts!$I:$I,Mvts!$A:$A,Comptes!H$2,Mvts!$G:$G,Comptes!$A7,Mvts!$H:$H,$B7)</f>
        <v>-290000</v>
      </c>
      <c r="I7" s="43">
        <f>H7+SUMIFS(Mvts!$E:$E,Mvts!$A:$A,Comptes!I$2,Mvts!$C:$C,Comptes!$A7,Mvts!$D:$D,$B7)+SUMIFS(Mvts!$I:$I,Mvts!$A:$A,Comptes!I$2,Mvts!$G:$G,Comptes!$A7,Mvts!$H:$H,$B7)</f>
        <v>-290000</v>
      </c>
      <c r="J7" s="43">
        <f>I7+SUMIFS(Mvts!$E:$E,Mvts!$A:$A,Comptes!J$2,Mvts!$C:$C,Comptes!$A7,Mvts!$D:$D,$B7)+SUMIFS(Mvts!$I:$I,Mvts!$A:$A,Comptes!J$2,Mvts!$G:$G,Comptes!$A7,Mvts!$H:$H,$B7)</f>
        <v>-290000</v>
      </c>
      <c r="K7" s="54"/>
      <c r="L7" s="57"/>
      <c r="M7" s="57"/>
      <c r="N7" s="58"/>
      <c r="O7" s="70">
        <f>J7+SUMIFS(Mvts!$E:$E,Mvts!$A:$A,Comptes!O$2,Mvts!$C:$C,Comptes!$A7,Mvts!$D:$D,$B7)+SUMIFS(Mvts!$I:$I,Mvts!$A:$A,Comptes!O$2,Mvts!$G:$G,Comptes!$A7,Mvts!$H:$H,$B7)</f>
        <v>-290000</v>
      </c>
    </row>
    <row r="8" spans="1:17" x14ac:dyDescent="0.25">
      <c r="A8" s="85" t="s">
        <v>37</v>
      </c>
      <c r="B8" s="86" t="s">
        <v>13</v>
      </c>
      <c r="C8" s="86" t="s">
        <v>24</v>
      </c>
      <c r="D8" s="87"/>
      <c r="E8" s="88"/>
      <c r="F8" s="89"/>
      <c r="G8" s="89"/>
      <c r="H8" s="89"/>
      <c r="I8" s="89"/>
      <c r="J8" s="89"/>
      <c r="K8" s="61"/>
      <c r="L8" s="62"/>
      <c r="M8" s="62"/>
      <c r="N8" s="63"/>
      <c r="O8" s="90">
        <f>J8+SUMIFS(Mvts!$F:$F,Mvts!$A:$A,Comptes!O$2,Mvts!$C:$C,Comptes!$A8,Mvts!$D:$D,$B8)+SUMIFS(Mvts!$J:$J,Mvts!$A:$A,Comptes!O$2,Mvts!$G:$G,Comptes!$A8,Mvts!$H:$H,$B8)</f>
        <v>-6310</v>
      </c>
    </row>
    <row r="9" spans="1:17" s="10" customFormat="1" x14ac:dyDescent="0.25">
      <c r="A9" s="157" t="s">
        <v>27</v>
      </c>
      <c r="B9" s="158"/>
      <c r="C9" s="158"/>
      <c r="D9" s="159">
        <f>SUMIF($C$3:$C$7,"en chf",D3:D7)</f>
        <v>0</v>
      </c>
      <c r="E9" s="160"/>
      <c r="F9" s="161">
        <f ca="1">SUMIF($C$3:$C$8,"en chf",F3:F7)</f>
        <v>0</v>
      </c>
      <c r="G9" s="161">
        <f t="shared" ref="G9:J9" ca="1" si="0">SUMIF($C$3:$C$8,"en chf",G3:G7)</f>
        <v>0</v>
      </c>
      <c r="H9" s="161">
        <f t="shared" ca="1" si="0"/>
        <v>0</v>
      </c>
      <c r="I9" s="161">
        <f t="shared" ca="1" si="0"/>
        <v>0</v>
      </c>
      <c r="J9" s="161">
        <f t="shared" ca="1" si="0"/>
        <v>0</v>
      </c>
      <c r="K9" s="64"/>
      <c r="L9" s="65"/>
      <c r="M9" s="65"/>
      <c r="N9" s="66"/>
      <c r="O9" s="162">
        <f ca="1">SUMIF($C$3:$C$8,"en chf",O3:O7)</f>
        <v>1740</v>
      </c>
    </row>
    <row r="10" spans="1:17" s="10" customFormat="1" ht="15.75" thickBot="1" x14ac:dyDescent="0.3">
      <c r="A10" s="183"/>
      <c r="B10" s="183"/>
      <c r="C10" s="183"/>
      <c r="D10" s="184"/>
      <c r="E10" s="185"/>
      <c r="F10" s="186"/>
      <c r="G10" s="186"/>
      <c r="H10" s="186"/>
      <c r="I10" s="186"/>
      <c r="J10" s="186"/>
      <c r="K10" s="189" t="s">
        <v>55</v>
      </c>
      <c r="L10" s="187"/>
      <c r="M10" s="188" t="s">
        <v>48</v>
      </c>
      <c r="N10" s="188" t="s">
        <v>56</v>
      </c>
      <c r="O10" s="184"/>
    </row>
    <row r="11" spans="1:17" ht="15.75" thickTop="1" x14ac:dyDescent="0.25">
      <c r="A11" s="196" t="s">
        <v>16</v>
      </c>
      <c r="B11" s="163" t="s">
        <v>28</v>
      </c>
      <c r="C11" s="163"/>
      <c r="D11" s="164">
        <v>0</v>
      </c>
      <c r="E11" s="165"/>
      <c r="F11" s="166">
        <f>D11+SUMIFS(Mvts!$L:$L,Mvts!$A:$A,Comptes!F$2,Mvts!$N:$N,Comptes!$A11)</f>
        <v>1000</v>
      </c>
      <c r="G11" s="166">
        <f>F11+SUMIFS(Mvts!$L:$L,Mvts!$A:$A,Comptes!G$2,Mvts!$N:$N,Comptes!$A11)</f>
        <v>2000</v>
      </c>
      <c r="H11" s="166">
        <f>G11+SUMIFS(Mvts!$L:$L,Mvts!$A:$A,Comptes!H$2,Mvts!$N:$N,Comptes!$A11)</f>
        <v>2000</v>
      </c>
      <c r="I11" s="166">
        <f>H11+SUMIFS(Mvts!$L:$L,Mvts!$A:$A,Comptes!I$2,Mvts!$N:$N,Comptes!$A11)</f>
        <v>1500</v>
      </c>
      <c r="J11" s="166">
        <f>I11+SUMIFS(Mvts!$L:$L,Mvts!$A:$A,Comptes!J$2,Mvts!$N:$N,Comptes!$A11)</f>
        <v>1500</v>
      </c>
      <c r="K11" s="167">
        <v>102</v>
      </c>
      <c r="L11" s="168"/>
      <c r="M11" s="168">
        <f>J12-J13</f>
        <v>1750</v>
      </c>
      <c r="N11" s="168">
        <f>J11*K11-J12</f>
        <v>8250</v>
      </c>
      <c r="O11" s="169">
        <f>N11+SUMIFS(Mvts!$L:$L,Mvts!$A:$A,Comptes!O$2,Mvts!$N:$N,Comptes!$A11)</f>
        <v>8250</v>
      </c>
    </row>
    <row r="12" spans="1:17" x14ac:dyDescent="0.25">
      <c r="A12" s="197"/>
      <c r="B12" s="91" t="s">
        <v>29</v>
      </c>
      <c r="C12" s="91" t="s">
        <v>24</v>
      </c>
      <c r="D12" s="92">
        <v>0</v>
      </c>
      <c r="E12" s="93"/>
      <c r="F12" s="94">
        <f>Mvts!O$3</f>
        <v>95000</v>
      </c>
      <c r="G12" s="94">
        <f>F12+Mvts!O$4</f>
        <v>193000</v>
      </c>
      <c r="H12" s="94">
        <f>G12</f>
        <v>193000</v>
      </c>
      <c r="I12" s="94">
        <f>H12/H11*I11</f>
        <v>144750</v>
      </c>
      <c r="J12" s="95">
        <f>I12</f>
        <v>144750</v>
      </c>
      <c r="K12" s="54"/>
      <c r="L12" s="57"/>
      <c r="M12" s="57"/>
      <c r="N12" s="57"/>
      <c r="O12" s="170">
        <f>J12+N11</f>
        <v>153000</v>
      </c>
    </row>
    <row r="13" spans="1:17" x14ac:dyDescent="0.25">
      <c r="A13" s="198"/>
      <c r="B13" s="44" t="s">
        <v>30</v>
      </c>
      <c r="C13" s="44" t="s">
        <v>24</v>
      </c>
      <c r="D13" s="45">
        <v>0</v>
      </c>
      <c r="E13" s="46"/>
      <c r="F13" s="47">
        <f>Mvts!O$3</f>
        <v>95000</v>
      </c>
      <c r="G13" s="47">
        <f>F13+Mvts!O$4</f>
        <v>193000</v>
      </c>
      <c r="H13" s="47">
        <f>G13</f>
        <v>193000</v>
      </c>
      <c r="I13" s="47">
        <f>H13+Mvts!O6</f>
        <v>143000</v>
      </c>
      <c r="J13" s="47">
        <f>I13</f>
        <v>143000</v>
      </c>
      <c r="K13" s="54"/>
      <c r="L13" s="57"/>
      <c r="M13" s="57"/>
      <c r="N13" s="57"/>
      <c r="O13" s="171">
        <f>J13+M11+N11</f>
        <v>153000</v>
      </c>
    </row>
    <row r="14" spans="1:17" x14ac:dyDescent="0.25">
      <c r="A14" s="197" t="s">
        <v>21</v>
      </c>
      <c r="B14" s="109" t="s">
        <v>28</v>
      </c>
      <c r="C14" s="109"/>
      <c r="D14" s="110">
        <v>0</v>
      </c>
      <c r="E14" s="111"/>
      <c r="F14" s="112">
        <f>D14+SUMIFS(Mvts!$L:$L,Mvts!$A:$A,Comptes!F$2,Mvts!$N:$N,Comptes!$A14)</f>
        <v>0</v>
      </c>
      <c r="G14" s="112">
        <f>F14+SUMIFS(Mvts!$L:$L,Mvts!$A:$A,Comptes!G$2,Mvts!$N:$N,Comptes!$A14)</f>
        <v>0</v>
      </c>
      <c r="H14" s="112">
        <f>G14+SUMIFS(Mvts!$L:$L,Mvts!$A:$A,Comptes!H$2,Mvts!$N:$N,Comptes!$A14)</f>
        <v>1000</v>
      </c>
      <c r="I14" s="112">
        <f>H14+SUMIFS(Mvts!$L:$L,Mvts!$A:$A,Comptes!I$2,Mvts!$N:$N,Comptes!$A14)</f>
        <v>1000</v>
      </c>
      <c r="J14" s="112">
        <f>I14+SUMIFS(Mvts!$L:$L,Mvts!$A:$A,Comptes!J$2,Mvts!$N:$N,Comptes!$A14)</f>
        <v>700</v>
      </c>
      <c r="K14" s="107">
        <v>55</v>
      </c>
      <c r="L14" s="108"/>
      <c r="M14" s="108">
        <f>J16-J18</f>
        <v>330</v>
      </c>
      <c r="N14" s="108">
        <f>J14*K14*K4-J16</f>
        <v>-3150</v>
      </c>
      <c r="O14" s="172">
        <f>N14+SUMIFS(Mvts!$L:$L,Mvts!$A:$A,Comptes!O$2,Mvts!$N:$N,Comptes!$A14)</f>
        <v>-3150</v>
      </c>
    </row>
    <row r="15" spans="1:17" x14ac:dyDescent="0.25">
      <c r="A15" s="197"/>
      <c r="B15" s="200" t="s">
        <v>29</v>
      </c>
      <c r="C15" s="96" t="s">
        <v>26</v>
      </c>
      <c r="D15" s="97">
        <v>0</v>
      </c>
      <c r="E15" s="98"/>
      <c r="F15" s="99">
        <v>0</v>
      </c>
      <c r="G15" s="99">
        <v>0</v>
      </c>
      <c r="H15" s="99">
        <f>Mvts!O$5</f>
        <v>60000</v>
      </c>
      <c r="I15" s="99">
        <f>H15</f>
        <v>60000</v>
      </c>
      <c r="J15" s="100">
        <f>I15/I$14*J$14</f>
        <v>42000</v>
      </c>
      <c r="K15" s="54"/>
      <c r="L15" s="57"/>
      <c r="M15" s="57"/>
      <c r="N15" s="57"/>
      <c r="O15" s="173">
        <f>O16/K4</f>
        <v>38500</v>
      </c>
    </row>
    <row r="16" spans="1:17" x14ac:dyDescent="0.25">
      <c r="A16" s="197"/>
      <c r="B16" s="201"/>
      <c r="C16" s="101" t="s">
        <v>24</v>
      </c>
      <c r="D16" s="102">
        <v>0</v>
      </c>
      <c r="E16" s="103"/>
      <c r="F16" s="104">
        <v>0</v>
      </c>
      <c r="G16" s="104">
        <v>0</v>
      </c>
      <c r="H16" s="104">
        <f>Mvts!P$5</f>
        <v>54000</v>
      </c>
      <c r="I16" s="104">
        <f t="shared" ref="I16" si="1">H16</f>
        <v>54000</v>
      </c>
      <c r="J16" s="105">
        <f>I16/I$14*J$14</f>
        <v>37800</v>
      </c>
      <c r="K16" s="54"/>
      <c r="L16" s="57"/>
      <c r="M16" s="57"/>
      <c r="N16" s="57"/>
      <c r="O16" s="174">
        <f>J16+N14</f>
        <v>34650</v>
      </c>
      <c r="Q16" s="2"/>
    </row>
    <row r="17" spans="1:15" x14ac:dyDescent="0.25">
      <c r="A17" s="197"/>
      <c r="B17" s="202" t="s">
        <v>30</v>
      </c>
      <c r="C17" s="26" t="s">
        <v>26</v>
      </c>
      <c r="D17" s="29">
        <v>0</v>
      </c>
      <c r="E17" s="30"/>
      <c r="F17" s="28">
        <v>0</v>
      </c>
      <c r="G17" s="28">
        <v>0</v>
      </c>
      <c r="H17" s="28">
        <f>Mvts!O$5</f>
        <v>60000</v>
      </c>
      <c r="I17" s="28">
        <f>H17</f>
        <v>60000</v>
      </c>
      <c r="J17" s="28">
        <f>I17+Mvts!O$7</f>
        <v>42600</v>
      </c>
      <c r="K17" s="54"/>
      <c r="L17" s="57"/>
      <c r="M17" s="57"/>
      <c r="N17" s="57"/>
      <c r="O17" s="175">
        <f>O18/K4</f>
        <v>38500</v>
      </c>
    </row>
    <row r="18" spans="1:15" ht="15.75" thickBot="1" x14ac:dyDescent="0.3">
      <c r="A18" s="199"/>
      <c r="B18" s="203"/>
      <c r="C18" s="176" t="s">
        <v>24</v>
      </c>
      <c r="D18" s="177">
        <v>0</v>
      </c>
      <c r="E18" s="178"/>
      <c r="F18" s="179">
        <v>0</v>
      </c>
      <c r="G18" s="179">
        <v>0</v>
      </c>
      <c r="H18" s="179">
        <f>Mvts!P$5</f>
        <v>54000</v>
      </c>
      <c r="I18" s="179">
        <f>H18</f>
        <v>54000</v>
      </c>
      <c r="J18" s="179">
        <f>I18+Mvts!P$7</f>
        <v>37470</v>
      </c>
      <c r="K18" s="180"/>
      <c r="L18" s="181"/>
      <c r="M18" s="181"/>
      <c r="N18" s="181"/>
      <c r="O18" s="182">
        <f>J18+M14+N14</f>
        <v>34650</v>
      </c>
    </row>
    <row r="19" spans="1:15" ht="15.75" thickTop="1" x14ac:dyDescent="0.25"/>
  </sheetData>
  <mergeCells count="7">
    <mergeCell ref="K1:K2"/>
    <mergeCell ref="A4:A5"/>
    <mergeCell ref="B4:B5"/>
    <mergeCell ref="A11:A13"/>
    <mergeCell ref="A14:A18"/>
    <mergeCell ref="B15:B16"/>
    <mergeCell ref="B17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Mvts</vt:lpstr>
      <vt:lpstr>Comptes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Gabriel</dc:creator>
  <cp:lastModifiedBy>Aaron Ploszaj</cp:lastModifiedBy>
  <dcterms:created xsi:type="dcterms:W3CDTF">2021-02-28T18:37:11Z</dcterms:created>
  <dcterms:modified xsi:type="dcterms:W3CDTF">2021-04-22T15:24:01Z</dcterms:modified>
</cp:coreProperties>
</file>