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queryTables/queryTable1.xml" ContentType="application/vnd.openxmlformats-officedocument.spreadsheetml.query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3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5.xml" ContentType="application/vnd.openxmlformats-officedocument.drawing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queryTables/queryTable2.xml" ContentType="application/vnd.openxmlformats-officedocument.spreadsheetml.query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bane\Bane-Sync\Projekti Digitalni\AI Dokumenta\Cursor\"/>
    </mc:Choice>
  </mc:AlternateContent>
  <xr:revisionPtr revIDLastSave="0" documentId="13_ncr:8001_{73175F05-2872-4814-8D97-EC69D980E90D}" xr6:coauthVersionLast="47" xr6:coauthVersionMax="47" xr10:uidLastSave="{00000000-0000-0000-0000-000000000000}"/>
  <bookViews>
    <workbookView xWindow="-110" yWindow="-110" windowWidth="19420" windowHeight="11500" firstSheet="1" activeTab="2" xr2:uid="{00000000-000D-0000-FFFF-FFFF00000000}"/>
  </bookViews>
  <sheets>
    <sheet name="Claude Log" sheetId="27" r:id="rId1"/>
    <sheet name="Sadržaj" sheetId="19" r:id="rId2"/>
    <sheet name="Nabavka" sheetId="9" r:id="rId3"/>
    <sheet name="Sheet1" sheetId="26" state="hidden" r:id="rId4"/>
    <sheet name="Kurs" sheetId="21" state="hidden" r:id="rId5"/>
    <sheet name="Prodaja" sheetId="11" r:id="rId6"/>
    <sheet name="Troškovi" sheetId="10" r:id="rId7"/>
    <sheet name="Prerada" sheetId="12" r:id="rId8"/>
    <sheet name="Vrednost Zaliha" sheetId="13" r:id="rId9"/>
    <sheet name="Izveštaj" sheetId="16" r:id="rId10"/>
    <sheet name="Kalkulacija" sheetId="15" r:id="rId11"/>
    <sheet name="Ugovori" sheetId="25" r:id="rId12"/>
    <sheet name="Pivoti za obračun" sheetId="8" state="hidden" r:id="rId13"/>
    <sheet name="Podaci Za Obračun Originali" sheetId="18" state="hidden" r:id="rId14"/>
    <sheet name="Podaci Obračun Sveža" sheetId="20" state="hidden" r:id="rId15"/>
    <sheet name="Baza" sheetId="24" state="hidden" r:id="rId16"/>
  </sheets>
  <definedNames>
    <definedName name="_xlcn.Baza1" hidden="1">Baza[]</definedName>
    <definedName name="Baza_2">Baza[]</definedName>
    <definedName name="ExternalData_1" localSheetId="15" hidden="1">Baza!$A$1:$AQ$266</definedName>
    <definedName name="ObracunOtkupa_1" localSheetId="10" hidden="1">Kalkulacija!$A$13:$F$17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Nabavka!$O$5</definedName>
    <definedName name="solver_typ" localSheetId="2" hidden="1">1</definedName>
    <definedName name="solver_val" localSheetId="2" hidden="1">0</definedName>
    <definedName name="solver_ver" localSheetId="2" hidden="1">3</definedName>
    <definedName name="srednjiKurs.faces?lang_cir" localSheetId="4">Kurs!$A$1:$E$36</definedName>
  </definedNames>
  <calcPr calcId="191029"/>
  <pivotCaches>
    <pivotCache cacheId="0" r:id="rId17"/>
  </pivotCaches>
  <extLst>
    <ext xmlns:x15="http://schemas.microsoft.com/office/spreadsheetml/2010/11/main" uri="{FCE2AD5D-F65C-4FA6-A056-5C36A1767C68}">
      <x15:dataModel>
        <x15:modelTables>
          <x15:modelTable id="Baza_1ab1f27b-206b-43eb-b058-c8a6fcbce8d3" name="Baza" connection="Query - Baza"/>
          <x15:modelTable id="Baza 1" name="Baza 1" connection="Baz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47" i="13" l="1"/>
  <c r="C48" i="13"/>
  <c r="E55" i="16"/>
  <c r="E56" i="16" s="1"/>
  <c r="Q60" i="12"/>
  <c r="K60" i="12"/>
  <c r="N59" i="12"/>
  <c r="H51" i="12"/>
  <c r="E59" i="12"/>
  <c r="B59" i="12"/>
  <c r="H14" i="10" s="1"/>
  <c r="B18" i="12"/>
  <c r="H2" i="10" s="1"/>
  <c r="B37" i="12"/>
  <c r="H3" i="10" s="1"/>
  <c r="E18" i="12"/>
  <c r="H4" i="10" s="1"/>
  <c r="K19" i="12"/>
  <c r="H6" i="10" s="1"/>
  <c r="H10" i="12"/>
  <c r="H8" i="10" s="1"/>
  <c r="F58" i="18"/>
  <c r="F58" i="20" s="1"/>
  <c r="S2" i="15"/>
  <c r="F69" i="18" s="1"/>
  <c r="D90" i="20"/>
  <c r="C84" i="20"/>
  <c r="D63" i="20"/>
  <c r="C62" i="20"/>
  <c r="C65" i="20" s="1"/>
  <c r="C57" i="20"/>
  <c r="D90" i="18"/>
  <c r="D47" i="16"/>
  <c r="C84" i="18"/>
  <c r="C57" i="18"/>
  <c r="C62" i="18"/>
  <c r="C65" i="18" s="1"/>
  <c r="D63" i="18"/>
  <c r="C42" i="13"/>
  <c r="Q38" i="12"/>
  <c r="H13" i="10" s="1"/>
  <c r="K38" i="12"/>
  <c r="H7" i="10" s="1"/>
  <c r="E37" i="12"/>
  <c r="H5" i="10" s="1"/>
  <c r="N29" i="12"/>
  <c r="H11" i="10" s="1"/>
  <c r="H29" i="12"/>
  <c r="H9" i="10" s="1"/>
  <c r="Q19" i="12"/>
  <c r="H12" i="10" s="1"/>
  <c r="N10" i="12"/>
  <c r="H10" i="10" s="1"/>
  <c r="N8" i="13"/>
  <c r="F9" i="15"/>
  <c r="G14" i="10"/>
  <c r="B9" i="15"/>
  <c r="F46" i="13"/>
  <c r="BU12" i="8"/>
  <c r="BU23" i="8"/>
  <c r="C4" i="15"/>
  <c r="C55" i="16"/>
  <c r="BU45" i="8"/>
  <c r="B53" i="16"/>
  <c r="D53" i="16"/>
  <c r="D16" i="15"/>
  <c r="C9" i="15"/>
  <c r="BU55" i="8"/>
  <c r="BU34" i="8"/>
  <c r="BU65" i="8"/>
  <c r="C56" i="16" l="1"/>
  <c r="B55" i="16"/>
  <c r="G47" i="13"/>
  <c r="I14" i="10"/>
  <c r="F26" i="20"/>
  <c r="F8" i="20"/>
  <c r="F83" i="18"/>
  <c r="F41" i="18"/>
  <c r="F41" i="13"/>
  <c r="N10" i="13" s="1"/>
  <c r="F25" i="20"/>
  <c r="F27" i="20"/>
  <c r="F5" i="13"/>
  <c r="F7" i="13"/>
  <c r="F28" i="13"/>
  <c r="F83" i="20"/>
  <c r="F70" i="18"/>
  <c r="F71" i="18" s="1"/>
  <c r="J16" i="15"/>
  <c r="F27" i="18"/>
  <c r="F82" i="18"/>
  <c r="F33" i="13"/>
  <c r="F7" i="20"/>
  <c r="F42" i="18"/>
  <c r="F41" i="20"/>
  <c r="F10" i="18"/>
  <c r="F15" i="13"/>
  <c r="F25" i="18"/>
  <c r="F9" i="18"/>
  <c r="F82" i="20"/>
  <c r="F21" i="13"/>
  <c r="F7" i="18"/>
  <c r="F22" i="13"/>
  <c r="F13" i="13"/>
  <c r="J26" i="15"/>
  <c r="F6" i="13"/>
  <c r="F56" i="18"/>
  <c r="F56" i="20"/>
  <c r="F55" i="20"/>
  <c r="F40" i="13"/>
  <c r="F9" i="20"/>
  <c r="F34" i="13"/>
  <c r="F70" i="20"/>
  <c r="F26" i="18"/>
  <c r="F55" i="18"/>
  <c r="F42" i="20"/>
  <c r="F27" i="13"/>
  <c r="F14" i="13"/>
  <c r="F69" i="20"/>
  <c r="F10" i="20"/>
  <c r="F8" i="18"/>
  <c r="B56" i="16" l="1"/>
  <c r="D56" i="16" s="1"/>
  <c r="D55" i="16"/>
  <c r="B46" i="13" s="1"/>
  <c r="F43" i="18"/>
  <c r="F43" i="20"/>
  <c r="F71" i="20"/>
  <c r="BB33" i="8"/>
  <c r="C91" i="20"/>
  <c r="U16" i="8"/>
  <c r="C7" i="16"/>
  <c r="I3" i="15"/>
  <c r="B6" i="15"/>
  <c r="D60" i="20"/>
  <c r="AW64" i="8"/>
  <c r="N9" i="15"/>
  <c r="AW22" i="8"/>
  <c r="D14" i="20"/>
  <c r="C23" i="16"/>
  <c r="C77" i="18"/>
  <c r="C34" i="18"/>
  <c r="C34" i="20"/>
  <c r="C48" i="20"/>
  <c r="G7" i="10"/>
  <c r="D14" i="15"/>
  <c r="AW33" i="8"/>
  <c r="G11" i="10"/>
  <c r="C35" i="20"/>
  <c r="BA66" i="8"/>
  <c r="U70" i="8"/>
  <c r="C19" i="18"/>
  <c r="G13" i="10"/>
  <c r="C16" i="16"/>
  <c r="C16" i="15"/>
  <c r="BB55" i="8"/>
  <c r="C29" i="16"/>
  <c r="I13" i="15"/>
  <c r="G12" i="10"/>
  <c r="C38" i="16"/>
  <c r="C16" i="18"/>
  <c r="B46" i="18"/>
  <c r="C91" i="18"/>
  <c r="B74" i="18"/>
  <c r="C49" i="20"/>
  <c r="C48" i="18"/>
  <c r="U47" i="8"/>
  <c r="C76" i="18"/>
  <c r="C17" i="18"/>
  <c r="D46" i="20"/>
  <c r="D74" i="20"/>
  <c r="G10" i="10"/>
  <c r="C36" i="18"/>
  <c r="C19" i="20"/>
  <c r="B5" i="15"/>
  <c r="BB22" i="8"/>
  <c r="D60" i="18"/>
  <c r="G2" i="10"/>
  <c r="C31" i="16"/>
  <c r="G9" i="10"/>
  <c r="C17" i="20"/>
  <c r="C76" i="20"/>
  <c r="BA33" i="8"/>
  <c r="C5" i="16"/>
  <c r="D20" i="16"/>
  <c r="D74" i="18"/>
  <c r="B16" i="15"/>
  <c r="B17" i="15"/>
  <c r="BQ13" i="8"/>
  <c r="C6" i="16"/>
  <c r="C35" i="18"/>
  <c r="BB44" i="8"/>
  <c r="C8" i="15"/>
  <c r="C48" i="16"/>
  <c r="D46" i="18"/>
  <c r="D17" i="15"/>
  <c r="C37" i="16"/>
  <c r="N10" i="15"/>
  <c r="C49" i="18"/>
  <c r="B87" i="18"/>
  <c r="B14" i="15"/>
  <c r="BB11" i="8"/>
  <c r="U59" i="8"/>
  <c r="B7" i="15"/>
  <c r="B8" i="15"/>
  <c r="BA44" i="8"/>
  <c r="G4" i="10"/>
  <c r="E4" i="25"/>
  <c r="D3" i="16"/>
  <c r="AW11" i="8"/>
  <c r="D14" i="18"/>
  <c r="C15" i="15"/>
  <c r="N8" i="15"/>
  <c r="C36" i="20"/>
  <c r="D32" i="20"/>
  <c r="Y6" i="9"/>
  <c r="C5" i="15"/>
  <c r="BA55" i="8"/>
  <c r="D32" i="18"/>
  <c r="N5" i="15"/>
  <c r="N3" i="15"/>
  <c r="D87" i="20"/>
  <c r="C17" i="15"/>
  <c r="C30" i="16"/>
  <c r="C14" i="16"/>
  <c r="C22" i="16"/>
  <c r="Y4" i="9"/>
  <c r="N7" i="15"/>
  <c r="G3" i="10"/>
  <c r="U24" i="8"/>
  <c r="D15" i="15"/>
  <c r="BA11" i="8"/>
  <c r="C89" i="20"/>
  <c r="B15" i="15"/>
  <c r="I5" i="15"/>
  <c r="C15" i="16"/>
  <c r="U38" i="8"/>
  <c r="C7" i="15"/>
  <c r="C14" i="15"/>
  <c r="I23" i="15"/>
  <c r="N4" i="15"/>
  <c r="G8" i="10"/>
  <c r="C16" i="20"/>
  <c r="U15" i="11"/>
  <c r="AW44" i="8"/>
  <c r="B4" i="15"/>
  <c r="G5" i="10"/>
  <c r="G6" i="10"/>
  <c r="D27" i="16"/>
  <c r="BA22" i="8"/>
  <c r="D87" i="18"/>
  <c r="C6" i="15"/>
  <c r="D44" i="16"/>
  <c r="C77" i="20"/>
  <c r="N6" i="15"/>
  <c r="D35" i="16"/>
  <c r="AW54" i="8"/>
  <c r="C46" i="16"/>
  <c r="C89" i="18"/>
  <c r="F17" i="15" l="1"/>
  <c r="C78" i="20"/>
  <c r="C20" i="18"/>
  <c r="F8" i="15"/>
  <c r="I2" i="10"/>
  <c r="G15" i="10"/>
  <c r="I5" i="10"/>
  <c r="E17" i="15"/>
  <c r="N11" i="15"/>
  <c r="I17" i="10" s="1"/>
  <c r="N3" i="18"/>
  <c r="B89" i="18"/>
  <c r="D89" i="18" s="1"/>
  <c r="B91" i="18"/>
  <c r="B83" i="18" s="1"/>
  <c r="D83" i="18" s="1"/>
  <c r="C20" i="20"/>
  <c r="C32" i="16"/>
  <c r="F3" i="9"/>
  <c r="F5" i="15"/>
  <c r="F6" i="9"/>
  <c r="C50" i="20"/>
  <c r="E4" i="15"/>
  <c r="D18" i="15"/>
  <c r="C39" i="16"/>
  <c r="F4" i="9"/>
  <c r="F6" i="15"/>
  <c r="J13" i="15"/>
  <c r="F4" i="15"/>
  <c r="J5" i="15"/>
  <c r="I7" i="10"/>
  <c r="C24" i="16"/>
  <c r="F7" i="15"/>
  <c r="F5" i="9"/>
  <c r="B76" i="18"/>
  <c r="B69" i="18" s="1"/>
  <c r="D69" i="18" s="1"/>
  <c r="B77" i="18"/>
  <c r="B70" i="18" s="1"/>
  <c r="D70" i="18" s="1"/>
  <c r="M3" i="18"/>
  <c r="J23" i="15"/>
  <c r="I10" i="10"/>
  <c r="C17" i="16"/>
  <c r="B10" i="15"/>
  <c r="O8" i="15" s="1"/>
  <c r="E7" i="15"/>
  <c r="E6" i="15"/>
  <c r="E15" i="15"/>
  <c r="E14" i="15"/>
  <c r="C49" i="16"/>
  <c r="I4" i="10"/>
  <c r="C37" i="18"/>
  <c r="F16" i="15"/>
  <c r="C50" i="18"/>
  <c r="B18" i="15"/>
  <c r="E8" i="15"/>
  <c r="C92" i="18"/>
  <c r="I6" i="10"/>
  <c r="I11" i="10"/>
  <c r="C37" i="20"/>
  <c r="F14" i="15"/>
  <c r="I8" i="10"/>
  <c r="J3" i="15"/>
  <c r="C8" i="16"/>
  <c r="F2" i="9"/>
  <c r="C10" i="15"/>
  <c r="P8" i="15" s="1"/>
  <c r="C78" i="18"/>
  <c r="I3" i="10"/>
  <c r="C18" i="15"/>
  <c r="B49" i="18"/>
  <c r="D49" i="18" s="1"/>
  <c r="B48" i="18"/>
  <c r="D48" i="18" s="1"/>
  <c r="K3" i="18"/>
  <c r="I9" i="10"/>
  <c r="E16" i="15"/>
  <c r="I13" i="10"/>
  <c r="F15" i="15"/>
  <c r="I12" i="10"/>
  <c r="E9" i="15"/>
  <c r="C92" i="20"/>
  <c r="B48" i="13"/>
  <c r="D46" i="13"/>
  <c r="D48" i="13" s="1"/>
  <c r="G46" i="13"/>
  <c r="G48" i="13" s="1"/>
  <c r="B32" i="18"/>
  <c r="B60" i="18"/>
  <c r="B35" i="16"/>
  <c r="B27" i="16"/>
  <c r="B44" i="16"/>
  <c r="B14" i="20"/>
  <c r="B60" i="20"/>
  <c r="B74" i="20"/>
  <c r="B46" i="20"/>
  <c r="B3" i="16"/>
  <c r="B14" i="18"/>
  <c r="B20" i="16"/>
  <c r="B32" i="20"/>
  <c r="B87" i="20"/>
  <c r="B23" i="16" l="1"/>
  <c r="B22" i="16"/>
  <c r="D22" i="16" s="1"/>
  <c r="B21" i="13" s="1"/>
  <c r="D21" i="13" s="1"/>
  <c r="J9" i="10"/>
  <c r="G70" i="18"/>
  <c r="D91" i="18"/>
  <c r="Q9" i="15"/>
  <c r="G83" i="18"/>
  <c r="O7" i="15"/>
  <c r="D77" i="18"/>
  <c r="B41" i="18"/>
  <c r="G41" i="18" s="1"/>
  <c r="O6" i="15"/>
  <c r="J13" i="10"/>
  <c r="B42" i="18"/>
  <c r="D42" i="18" s="1"/>
  <c r="P7" i="15"/>
  <c r="G69" i="18"/>
  <c r="P10" i="15"/>
  <c r="P3" i="15"/>
  <c r="P4" i="15"/>
  <c r="B82" i="18"/>
  <c r="D82" i="18" s="1"/>
  <c r="D84" i="18" s="1"/>
  <c r="B92" i="18"/>
  <c r="D92" i="18" s="1"/>
  <c r="P5" i="15"/>
  <c r="H17" i="10"/>
  <c r="F18" i="15"/>
  <c r="J3" i="10"/>
  <c r="B78" i="18"/>
  <c r="D78" i="18" s="1"/>
  <c r="P6" i="15"/>
  <c r="O9" i="15"/>
  <c r="O4" i="15"/>
  <c r="O3" i="15"/>
  <c r="J5" i="10"/>
  <c r="J7" i="10"/>
  <c r="O11" i="15"/>
  <c r="P9" i="15"/>
  <c r="Q11" i="15"/>
  <c r="O10" i="15"/>
  <c r="O5" i="15"/>
  <c r="Q3" i="15"/>
  <c r="B19" i="20"/>
  <c r="B10" i="20" s="1"/>
  <c r="D10" i="20" s="1"/>
  <c r="I3" i="20"/>
  <c r="B18" i="20"/>
  <c r="B9" i="20" s="1"/>
  <c r="D9" i="20" s="1"/>
  <c r="B16" i="20"/>
  <c r="D16" i="20" s="1"/>
  <c r="B17" i="20"/>
  <c r="D17" i="20" s="1"/>
  <c r="K3" i="20"/>
  <c r="B49" i="20"/>
  <c r="B42" i="20" s="1"/>
  <c r="G42" i="20" s="1"/>
  <c r="B48" i="20"/>
  <c r="B41" i="20" s="1"/>
  <c r="G41" i="20" s="1"/>
  <c r="B77" i="20"/>
  <c r="D77" i="20" s="1"/>
  <c r="B76" i="20"/>
  <c r="D76" i="20" s="1"/>
  <c r="M3" i="20"/>
  <c r="B48" i="16"/>
  <c r="D48" i="16" s="1"/>
  <c r="B41" i="13" s="1"/>
  <c r="G41" i="13" s="1"/>
  <c r="B46" i="16"/>
  <c r="D46" i="16" s="1"/>
  <c r="B40" i="13" s="1"/>
  <c r="L3" i="18"/>
  <c r="B62" i="18"/>
  <c r="B55" i="18" s="1"/>
  <c r="D55" i="18" s="1"/>
  <c r="B64" i="18"/>
  <c r="D64" i="18" s="1"/>
  <c r="B38" i="16"/>
  <c r="D38" i="16" s="1"/>
  <c r="B34" i="13" s="1"/>
  <c r="D34" i="13" s="1"/>
  <c r="B37" i="16"/>
  <c r="D37" i="16" s="1"/>
  <c r="B33" i="13" s="1"/>
  <c r="D33" i="13" s="1"/>
  <c r="B18" i="18"/>
  <c r="D18" i="18" s="1"/>
  <c r="B19" i="18"/>
  <c r="B10" i="18" s="1"/>
  <c r="D10" i="18" s="1"/>
  <c r="B17" i="18"/>
  <c r="B8" i="18" s="1"/>
  <c r="D8" i="18" s="1"/>
  <c r="I3" i="18"/>
  <c r="B16" i="18"/>
  <c r="B7" i="18" s="1"/>
  <c r="D7" i="18" s="1"/>
  <c r="D23" i="16"/>
  <c r="B22" i="13" s="1"/>
  <c r="G22" i="13" s="1"/>
  <c r="B64" i="20"/>
  <c r="B56" i="20" s="1"/>
  <c r="D56" i="20" s="1"/>
  <c r="B62" i="20"/>
  <c r="D62" i="20" s="1"/>
  <c r="L3" i="20"/>
  <c r="B6" i="16"/>
  <c r="D6" i="16" s="1"/>
  <c r="B6" i="13" s="1"/>
  <c r="G6" i="13" s="1"/>
  <c r="B7" i="16"/>
  <c r="D7" i="16" s="1"/>
  <c r="B7" i="13" s="1"/>
  <c r="D7" i="13" s="1"/>
  <c r="B5" i="16"/>
  <c r="D5" i="16" s="1"/>
  <c r="B5" i="13" s="1"/>
  <c r="D5" i="13" s="1"/>
  <c r="B91" i="20"/>
  <c r="B83" i="20" s="1"/>
  <c r="D83" i="20" s="1"/>
  <c r="N3" i="20"/>
  <c r="B89" i="20"/>
  <c r="D89" i="20" s="1"/>
  <c r="B36" i="20"/>
  <c r="D36" i="20" s="1"/>
  <c r="J3" i="20"/>
  <c r="B34" i="20"/>
  <c r="B25" i="20" s="1"/>
  <c r="G25" i="20" s="1"/>
  <c r="B35" i="20"/>
  <c r="B26" i="20" s="1"/>
  <c r="G26" i="20" s="1"/>
  <c r="B31" i="16"/>
  <c r="D31" i="16" s="1"/>
  <c r="B28" i="13" s="1"/>
  <c r="D28" i="13" s="1"/>
  <c r="B30" i="16"/>
  <c r="D30" i="16" s="1"/>
  <c r="B29" i="16"/>
  <c r="D29" i="16" s="1"/>
  <c r="B27" i="13" s="1"/>
  <c r="G27" i="13" s="1"/>
  <c r="E18" i="15"/>
  <c r="B35" i="18"/>
  <c r="D35" i="18" s="1"/>
  <c r="B34" i="18"/>
  <c r="B25" i="18" s="1"/>
  <c r="D25" i="18" s="1"/>
  <c r="J3" i="18"/>
  <c r="B36" i="18"/>
  <c r="D36" i="18" s="1"/>
  <c r="I15" i="10"/>
  <c r="I4" i="15" s="1"/>
  <c r="J4" i="15" s="1"/>
  <c r="B71" i="18"/>
  <c r="D76" i="18"/>
  <c r="Q5" i="15"/>
  <c r="B50" i="18"/>
  <c r="D50" i="18" s="1"/>
  <c r="Q7" i="15"/>
  <c r="Q4" i="15"/>
  <c r="Q8" i="15"/>
  <c r="Q10" i="15"/>
  <c r="P11" i="15"/>
  <c r="Q6" i="15"/>
  <c r="F48" i="13"/>
  <c r="D71" i="18"/>
  <c r="D12" i="16"/>
  <c r="D41" i="18" l="1"/>
  <c r="B8" i="20"/>
  <c r="G8" i="20" s="1"/>
  <c r="B84" i="18"/>
  <c r="G71" i="18"/>
  <c r="G5" i="13"/>
  <c r="G55" i="18"/>
  <c r="G56" i="20"/>
  <c r="D41" i="13"/>
  <c r="G82" i="18"/>
  <c r="G84" i="18" s="1"/>
  <c r="D42" i="20"/>
  <c r="G42" i="18"/>
  <c r="G43" i="18" s="1"/>
  <c r="B43" i="20"/>
  <c r="G25" i="18"/>
  <c r="D41" i="20"/>
  <c r="G9" i="20"/>
  <c r="D49" i="20"/>
  <c r="B56" i="18"/>
  <c r="D56" i="18" s="1"/>
  <c r="D57" i="18" s="1"/>
  <c r="B43" i="18"/>
  <c r="G7" i="18"/>
  <c r="B23" i="13"/>
  <c r="J7" i="13" s="1"/>
  <c r="B9" i="18"/>
  <c r="B11" i="18" s="1"/>
  <c r="B42" i="13"/>
  <c r="J10" i="13" s="1"/>
  <c r="B35" i="13"/>
  <c r="D8" i="15" s="1"/>
  <c r="D25" i="20"/>
  <c r="B65" i="18"/>
  <c r="D65" i="18" s="1"/>
  <c r="D91" i="20"/>
  <c r="B65" i="20"/>
  <c r="D65" i="20" s="1"/>
  <c r="J4" i="18"/>
  <c r="I14" i="15" s="1"/>
  <c r="J14" i="15" s="1"/>
  <c r="B20" i="20"/>
  <c r="D20" i="20" s="1"/>
  <c r="B29" i="13"/>
  <c r="J8" i="13" s="1"/>
  <c r="B78" i="20"/>
  <c r="D78" i="20" s="1"/>
  <c r="B27" i="18"/>
  <c r="D27" i="18" s="1"/>
  <c r="G7" i="13"/>
  <c r="D27" i="13"/>
  <c r="D29" i="13" s="1"/>
  <c r="D34" i="20"/>
  <c r="B37" i="20"/>
  <c r="D37" i="20" s="1"/>
  <c r="D6" i="13"/>
  <c r="D9" i="13" s="1"/>
  <c r="L5" i="13" s="1"/>
  <c r="D22" i="13"/>
  <c r="D23" i="13" s="1"/>
  <c r="G33" i="13"/>
  <c r="D26" i="20"/>
  <c r="D35" i="20"/>
  <c r="B82" i="20"/>
  <c r="B84" i="20" s="1"/>
  <c r="B26" i="18"/>
  <c r="D26" i="18" s="1"/>
  <c r="D64" i="20"/>
  <c r="B69" i="20"/>
  <c r="D69" i="20" s="1"/>
  <c r="I18" i="10"/>
  <c r="H18" i="10" s="1"/>
  <c r="J4" i="20"/>
  <c r="I24" i="15" s="1"/>
  <c r="J24" i="15" s="1"/>
  <c r="B9" i="13"/>
  <c r="D4" i="15" s="1"/>
  <c r="E5" i="15"/>
  <c r="E10" i="15" s="1"/>
  <c r="G83" i="20"/>
  <c r="D40" i="13"/>
  <c r="G10" i="20"/>
  <c r="G8" i="18"/>
  <c r="B20" i="18"/>
  <c r="D20" i="18" s="1"/>
  <c r="B70" i="20"/>
  <c r="D70" i="20" s="1"/>
  <c r="D17" i="18"/>
  <c r="G34" i="13"/>
  <c r="G40" i="13"/>
  <c r="G42" i="13" s="1"/>
  <c r="G10" i="18"/>
  <c r="G21" i="13"/>
  <c r="G23" i="13" s="1"/>
  <c r="O7" i="13" s="1"/>
  <c r="B32" i="16"/>
  <c r="D32" i="16" s="1"/>
  <c r="E30" i="16" s="1"/>
  <c r="B39" i="16"/>
  <c r="D39" i="16" s="1"/>
  <c r="E39" i="16" s="1"/>
  <c r="B55" i="20"/>
  <c r="G55" i="20" s="1"/>
  <c r="B24" i="16"/>
  <c r="D24" i="16" s="1"/>
  <c r="E22" i="16" s="1"/>
  <c r="B37" i="18"/>
  <c r="D37" i="18" s="1"/>
  <c r="B8" i="16"/>
  <c r="D8" i="16" s="1"/>
  <c r="E7" i="16" s="1"/>
  <c r="D19" i="20"/>
  <c r="D34" i="18"/>
  <c r="B7" i="20"/>
  <c r="G7" i="20" s="1"/>
  <c r="D35" i="13"/>
  <c r="L9" i="13" s="1"/>
  <c r="B49" i="16"/>
  <c r="D49" i="16" s="1"/>
  <c r="E46" i="16" s="1"/>
  <c r="B50" i="20"/>
  <c r="D50" i="20" s="1"/>
  <c r="D19" i="18"/>
  <c r="B92" i="20"/>
  <c r="D92" i="20" s="1"/>
  <c r="B27" i="20"/>
  <c r="D27" i="20" s="1"/>
  <c r="D16" i="18"/>
  <c r="D18" i="20"/>
  <c r="D48" i="20"/>
  <c r="G28" i="13"/>
  <c r="G29" i="13" s="1"/>
  <c r="O8" i="13" s="1"/>
  <c r="H15" i="10"/>
  <c r="D62" i="18"/>
  <c r="D43" i="18"/>
  <c r="G43" i="20"/>
  <c r="B12" i="16"/>
  <c r="B16" i="16" l="1"/>
  <c r="B14" i="16"/>
  <c r="F42" i="13"/>
  <c r="F85" i="18" s="1"/>
  <c r="G85" i="18" s="1"/>
  <c r="D8" i="20"/>
  <c r="G9" i="13"/>
  <c r="O5" i="13" s="1"/>
  <c r="D43" i="20"/>
  <c r="C43" i="20" s="1"/>
  <c r="F84" i="18"/>
  <c r="G57" i="20"/>
  <c r="J9" i="13"/>
  <c r="K9" i="13" s="1"/>
  <c r="D42" i="13"/>
  <c r="L10" i="13" s="1"/>
  <c r="K10" i="13" s="1"/>
  <c r="D7" i="15"/>
  <c r="C43" i="18"/>
  <c r="C29" i="13"/>
  <c r="E8" i="16"/>
  <c r="D6" i="15"/>
  <c r="D9" i="18"/>
  <c r="D11" i="18" s="1"/>
  <c r="C11" i="18" s="1"/>
  <c r="D71" i="20"/>
  <c r="G56" i="18"/>
  <c r="G57" i="18" s="1"/>
  <c r="C23" i="13"/>
  <c r="G9" i="18"/>
  <c r="G11" i="18" s="1"/>
  <c r="F11" i="18" s="1"/>
  <c r="G69" i="20"/>
  <c r="B71" i="20"/>
  <c r="E38" i="16"/>
  <c r="B57" i="18"/>
  <c r="G58" i="18" s="1"/>
  <c r="B57" i="20"/>
  <c r="G58" i="20" s="1"/>
  <c r="B29" i="20"/>
  <c r="E47" i="16"/>
  <c r="E48" i="16"/>
  <c r="D29" i="20"/>
  <c r="D55" i="20"/>
  <c r="D57" i="20" s="1"/>
  <c r="G70" i="20"/>
  <c r="D29" i="18"/>
  <c r="E37" i="16"/>
  <c r="E5" i="16"/>
  <c r="B29" i="18"/>
  <c r="J5" i="13"/>
  <c r="K5" i="13" s="1"/>
  <c r="E6" i="16"/>
  <c r="G27" i="18"/>
  <c r="F23" i="13"/>
  <c r="N7" i="13" s="1"/>
  <c r="E49" i="16"/>
  <c r="G26" i="18"/>
  <c r="G27" i="20"/>
  <c r="G29" i="20" s="1"/>
  <c r="G35" i="13"/>
  <c r="F35" i="13" s="1"/>
  <c r="F72" i="18" s="1"/>
  <c r="D82" i="20"/>
  <c r="D84" i="20" s="1"/>
  <c r="E23" i="16"/>
  <c r="G82" i="20"/>
  <c r="G84" i="20" s="1"/>
  <c r="F84" i="20" s="1"/>
  <c r="G11" i="20"/>
  <c r="F11" i="20" s="1"/>
  <c r="D16" i="16"/>
  <c r="B15" i="13" s="1"/>
  <c r="D15" i="13" s="1"/>
  <c r="B15" i="16"/>
  <c r="D15" i="16" s="1"/>
  <c r="B14" i="13" s="1"/>
  <c r="D14" i="13" s="1"/>
  <c r="D14" i="16"/>
  <c r="B13" i="13" s="1"/>
  <c r="G13" i="13" s="1"/>
  <c r="O10" i="13"/>
  <c r="L8" i="13"/>
  <c r="K8" i="13" s="1"/>
  <c r="E29" i="16"/>
  <c r="E32" i="16"/>
  <c r="E31" i="16"/>
  <c r="E24" i="16"/>
  <c r="B11" i="20"/>
  <c r="D7" i="20"/>
  <c r="L7" i="13"/>
  <c r="K7" i="13" s="1"/>
  <c r="C9" i="13"/>
  <c r="F85" i="20" l="1"/>
  <c r="G85" i="20" s="1"/>
  <c r="D11" i="20"/>
  <c r="C11" i="20" s="1"/>
  <c r="F9" i="13"/>
  <c r="F12" i="18" s="1"/>
  <c r="F12" i="20" s="1"/>
  <c r="G12" i="20" s="1"/>
  <c r="G71" i="20"/>
  <c r="C29" i="20"/>
  <c r="F44" i="18"/>
  <c r="G44" i="18" s="1"/>
  <c r="G29" i="18"/>
  <c r="F29" i="18" s="1"/>
  <c r="F29" i="20"/>
  <c r="F57" i="18"/>
  <c r="G14" i="13"/>
  <c r="C29" i="18"/>
  <c r="G15" i="13"/>
  <c r="B17" i="13"/>
  <c r="J6" i="13" s="1"/>
  <c r="J11" i="13" s="1"/>
  <c r="N9" i="13"/>
  <c r="O9" i="13"/>
  <c r="D13" i="13"/>
  <c r="D17" i="13" s="1"/>
  <c r="L6" i="13" s="1"/>
  <c r="B17" i="16"/>
  <c r="D17" i="16" s="1"/>
  <c r="E16" i="16" s="1"/>
  <c r="G72" i="18"/>
  <c r="F72" i="20"/>
  <c r="G72" i="20" s="1"/>
  <c r="G12" i="18" l="1"/>
  <c r="N5" i="13"/>
  <c r="F44" i="20"/>
  <c r="G44" i="20" s="1"/>
  <c r="G17" i="13"/>
  <c r="F17" i="13" s="1"/>
  <c r="N6" i="13" s="1"/>
  <c r="D5" i="15"/>
  <c r="D10" i="15" s="1"/>
  <c r="E15" i="16"/>
  <c r="E14" i="16"/>
  <c r="E17" i="16"/>
  <c r="C17" i="13"/>
  <c r="K6" i="13"/>
  <c r="L11" i="13"/>
  <c r="K11" i="13" s="1"/>
  <c r="N11" i="13" l="1"/>
  <c r="F30" i="18"/>
  <c r="F30" i="20" s="1"/>
  <c r="G30" i="20" s="1"/>
  <c r="D1" i="20" s="1"/>
  <c r="I25" i="15" s="1"/>
  <c r="O6" i="13"/>
  <c r="O11" i="13" s="1"/>
  <c r="I6" i="15" s="1"/>
  <c r="J6" i="15" s="1"/>
  <c r="G30" i="18" l="1"/>
  <c r="D1" i="18" s="1"/>
  <c r="I15" i="15" s="1"/>
  <c r="J15" i="15" s="1"/>
  <c r="I7" i="15"/>
  <c r="I9" i="15" s="1"/>
  <c r="J9" i="15" s="1"/>
  <c r="I27" i="15"/>
  <c r="J25" i="15"/>
  <c r="I17" i="15" l="1"/>
  <c r="J17" i="15" s="1"/>
  <c r="J7" i="15"/>
  <c r="I8" i="15"/>
  <c r="J27" i="15"/>
  <c r="I28" i="15"/>
  <c r="I29" i="15"/>
  <c r="I18" i="15" l="1"/>
  <c r="J29" i="15"/>
  <c r="I19" i="15"/>
  <c r="J19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aza" type="102" refreshedVersion="8" minRefreshableVersion="5" saveData="1">
    <extLst>
      <ext xmlns:x15="http://schemas.microsoft.com/office/spreadsheetml/2010/11/main" uri="{DE250136-89BD-433C-8126-D09CA5730AF9}">
        <x15:connection id="Baza 1">
          <x15:rangePr sourceName="_xlcn.Baza1"/>
        </x15:connection>
      </ext>
    </extLst>
  </connection>
  <connection id="2" xr16:uid="{00000000-0015-0000-FFFF-FFFF01000000}" name="Connection" type="4" refreshedVersion="8" deleted="1" background="1" saveData="1">
    <webPr sourceData="1" parsePre="1" consecutive="1" xl2000="1" htmlTables="1"/>
  </connection>
  <connection id="3" xr16:uid="{00000000-0015-0000-FFFF-FFFF02000000}" keepAlive="1" name="ModelConnection_ExternalData_1" description="Data Model" type="5" refreshedVersion="8" minRefreshableVersion="5" saveData="1">
    <dbPr connection="Data Model Connection" command="Baza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keepAlive="1" name="ModelConnection_ObracunOtkupa_1" description="Data Model" type="5" refreshedVersion="5" minRefreshableVersion="5" saveData="1">
    <dbPr connection="Data Model Connection" command="ObracunOtkupa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4000000}" name="Query - Baza" description="Connection to the 'Baza' query in the workbook." type="100" refreshedVersion="8" minRefreshableVersion="5" saveData="1">
    <extLst>
      <ext xmlns:x15="http://schemas.microsoft.com/office/spreadsheetml/2010/11/main" uri="{DE250136-89BD-433C-8126-D09CA5730AF9}">
        <x15:connection id="c9468929-3805-4a50-aaab-a56f59fe4536"/>
      </ext>
    </extLst>
  </connection>
  <connection id="6" xr16:uid="{00000000-0015-0000-FFFF-FFFF05000000}" keepAlive="1" name="ThisWorkbookDataModel" description="Data Model" type="5" refreshedVersion="6" minRefreshableVersion="5" saveData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<sst xmlns="http://schemas.openxmlformats.org/spreadsheetml/2006/main" count="3967" uniqueCount="478">
  <si>
    <t>Datum</t>
  </si>
  <si>
    <t>Tip Prometa</t>
  </si>
  <si>
    <t>Tip Komintenta</t>
  </si>
  <si>
    <t>Komintent</t>
  </si>
  <si>
    <t>Kat.Proizvoda</t>
  </si>
  <si>
    <t>Vr.Proizvoda</t>
  </si>
  <si>
    <t>Proizvod</t>
  </si>
  <si>
    <t>Lokacija</t>
  </si>
  <si>
    <t>Količina</t>
  </si>
  <si>
    <t>Cena Din</t>
  </si>
  <si>
    <t>Cena EUR</t>
  </si>
  <si>
    <t>Iznos Din</t>
  </si>
  <si>
    <t>Iznos EUR</t>
  </si>
  <si>
    <t>Ugovor Br</t>
  </si>
  <si>
    <t>Marža</t>
  </si>
  <si>
    <t>Grupa Troška</t>
  </si>
  <si>
    <t>Trošak</t>
  </si>
  <si>
    <t>Org. celina</t>
  </si>
  <si>
    <t>Iznos Troška</t>
  </si>
  <si>
    <t>Dobavljač</t>
  </si>
  <si>
    <t>Preduzeće</t>
  </si>
  <si>
    <t>Sveža</t>
  </si>
  <si>
    <t>Gotova</t>
  </si>
  <si>
    <t>Malina</t>
  </si>
  <si>
    <t>Kupina</t>
  </si>
  <si>
    <t>Šljiva</t>
  </si>
  <si>
    <t>Višnja</t>
  </si>
  <si>
    <t>Borovnica</t>
  </si>
  <si>
    <t>DZ Malina</t>
  </si>
  <si>
    <t>DZ Kupina</t>
  </si>
  <si>
    <t>DZ Višnja</t>
  </si>
  <si>
    <t>DZ Kajsija</t>
  </si>
  <si>
    <t>Skupljen</t>
  </si>
  <si>
    <t>Hladnjača</t>
  </si>
  <si>
    <t>Fruitimpex</t>
  </si>
  <si>
    <t>Malina Vilamet</t>
  </si>
  <si>
    <t>Šljiva Čačanska Rodna</t>
  </si>
  <si>
    <t>DZ Malina Original</t>
  </si>
  <si>
    <t>DZ Kupina Original</t>
  </si>
  <si>
    <t>DZ Šljiva Original</t>
  </si>
  <si>
    <t>DZ Višnja original</t>
  </si>
  <si>
    <t>DZ Borovica Original</t>
  </si>
  <si>
    <t>Kajsija</t>
  </si>
  <si>
    <t>DZ Šljiva R/S Stenley</t>
  </si>
  <si>
    <t>Sara2009</t>
  </si>
  <si>
    <t>Zamrznuta</t>
  </si>
  <si>
    <t>Malina Global Gap</t>
  </si>
  <si>
    <t>Šljiva Stenley</t>
  </si>
  <si>
    <t>DZ Malina Prebrani Original</t>
  </si>
  <si>
    <t>DZ Kupina Pire</t>
  </si>
  <si>
    <t>DZ Višnja Blok</t>
  </si>
  <si>
    <t>DZ Borovica Blok</t>
  </si>
  <si>
    <t>DZ Šljiva R/S Lepotica</t>
  </si>
  <si>
    <t>Malina Polka</t>
  </si>
  <si>
    <t>Kupina TornFree</t>
  </si>
  <si>
    <t>Šljiva Čačanska Lepotica</t>
  </si>
  <si>
    <t>DZ Malina Griz</t>
  </si>
  <si>
    <t>DZ Kupina Original - Čačanka</t>
  </si>
  <si>
    <t>DZ Šljiva R/S Rodna</t>
  </si>
  <si>
    <t>Malina Miker</t>
  </si>
  <si>
    <t>Kupina Triplecrown</t>
  </si>
  <si>
    <t>DZ Mlina Bruh</t>
  </si>
  <si>
    <t>DZ Kupina Original - Triple Crown</t>
  </si>
  <si>
    <t>Kupina Triplecrown Global GAP</t>
  </si>
  <si>
    <t>DZ Kupina Original - Loch Ness</t>
  </si>
  <si>
    <t>Kupina ORGANSKA</t>
  </si>
  <si>
    <t>DZ Kupina Blok</t>
  </si>
  <si>
    <t>Kupina Chester</t>
  </si>
  <si>
    <t>Kupina Loh Nes</t>
  </si>
  <si>
    <t>Altiva</t>
  </si>
  <si>
    <t>Dz Malina Rollend</t>
  </si>
  <si>
    <t>DZ Kupina Rolend Sl.</t>
  </si>
  <si>
    <t>DZ Borovnica</t>
  </si>
  <si>
    <t>DZ Kajsija R/S</t>
  </si>
  <si>
    <t>Dz Višnja Blok</t>
  </si>
  <si>
    <t>DZ Borovnica Blok</t>
  </si>
  <si>
    <t>DZ Kajsija III</t>
  </si>
  <si>
    <t>DZ Kupina Rollend</t>
  </si>
  <si>
    <t>DZ Šljiva R/S Čačanska Rodna</t>
  </si>
  <si>
    <t>DZ Šljiva R/S Čačanska lepotica</t>
  </si>
  <si>
    <t>DZ Kupina Blok Sl.</t>
  </si>
  <si>
    <t>DZ Šljiva III Klasa</t>
  </si>
  <si>
    <t>DZ Mlina Blok</t>
  </si>
  <si>
    <t>Radnici</t>
  </si>
  <si>
    <t>Repromaterijal</t>
  </si>
  <si>
    <t>Nematerijalni</t>
  </si>
  <si>
    <t>Investicije</t>
  </si>
  <si>
    <t>Održavanje</t>
  </si>
  <si>
    <t>Firma</t>
  </si>
  <si>
    <t>Stalni radnici</t>
  </si>
  <si>
    <t>Struja</t>
  </si>
  <si>
    <t>Kutije</t>
  </si>
  <si>
    <t>Porezi</t>
  </si>
  <si>
    <t>Gorivo</t>
  </si>
  <si>
    <t>Oprema</t>
  </si>
  <si>
    <t>Održavanje Opreme</t>
  </si>
  <si>
    <t>Telefoni</t>
  </si>
  <si>
    <t>Folija</t>
  </si>
  <si>
    <t>Etikete</t>
  </si>
  <si>
    <t>Prevoz radnika</t>
  </si>
  <si>
    <t>Traka</t>
  </si>
  <si>
    <t>DZ Malina G</t>
  </si>
  <si>
    <t>DZ Kupina G</t>
  </si>
  <si>
    <t>DZ Šljiva G</t>
  </si>
  <si>
    <t>DZ Malina rollend</t>
  </si>
  <si>
    <t>DZ Malina Blok</t>
  </si>
  <si>
    <t>Nabavka</t>
  </si>
  <si>
    <t>Inostrani</t>
  </si>
  <si>
    <t>Domaći</t>
  </si>
  <si>
    <t>Prodaja</t>
  </si>
  <si>
    <t>Potrošni Materijal</t>
  </si>
  <si>
    <t>Isplata</t>
  </si>
  <si>
    <t>Uplata Din</t>
  </si>
  <si>
    <t>Uplate EUR</t>
  </si>
  <si>
    <t>Riđake</t>
  </si>
  <si>
    <t>Dane ABD</t>
  </si>
  <si>
    <t>Malina rollend</t>
  </si>
  <si>
    <t>Malina Griz</t>
  </si>
  <si>
    <t>Kupina Rollend</t>
  </si>
  <si>
    <t>Kupina Pire</t>
  </si>
  <si>
    <t>DZ Kupina Konfitura</t>
  </si>
  <si>
    <t>Zbir od Količina</t>
  </si>
  <si>
    <t>Zbir od Iznos Din</t>
  </si>
  <si>
    <t>Zbir od Malina</t>
  </si>
  <si>
    <t>Zbir od Kupina</t>
  </si>
  <si>
    <t>Zbir od Šljiva</t>
  </si>
  <si>
    <t>Zbir od Višnja</t>
  </si>
  <si>
    <t>Zbir od Kajsija</t>
  </si>
  <si>
    <t>Zbir od Borovnica</t>
  </si>
  <si>
    <t>Pivot Za izračunavanje količina po vrstama proizvoda Vrsta proizvoda</t>
  </si>
  <si>
    <t>Nabavka Pivot Za izračunavanje količina po vrstama proizvoda Vrsta proizvoda</t>
  </si>
  <si>
    <t>Nabavka Pivot  za izračunavanje Vrednisti po Kategorijama proizvoda</t>
  </si>
  <si>
    <t>Nabavka Količina Po vrstama</t>
  </si>
  <si>
    <t>Nabavka Vrednost po vrstama proizvoda</t>
  </si>
  <si>
    <t xml:space="preserve">Prodaja Pivoti kolišine gotove robe </t>
  </si>
  <si>
    <t>Prodaja Pivot količine</t>
  </si>
  <si>
    <t>Početak</t>
  </si>
  <si>
    <t>Količina robe</t>
  </si>
  <si>
    <t>Vrednost</t>
  </si>
  <si>
    <t>Cena Dinarska</t>
  </si>
  <si>
    <t xml:space="preserve">Marža </t>
  </si>
  <si>
    <t>Isplaćeno</t>
  </si>
  <si>
    <t xml:space="preserve">Količina </t>
  </si>
  <si>
    <t xml:space="preserve">Iznos Din </t>
  </si>
  <si>
    <t xml:space="preserve">Iznos EUR </t>
  </si>
  <si>
    <t xml:space="preserve">Cena Din </t>
  </si>
  <si>
    <t xml:space="preserve">Cena EUR </t>
  </si>
  <si>
    <t xml:space="preserve">Uplata Din </t>
  </si>
  <si>
    <t xml:space="preserve">Uplate EUR </t>
  </si>
  <si>
    <t>Zbir od Iznos Troška</t>
  </si>
  <si>
    <t>Vrsta Robe</t>
  </si>
  <si>
    <t xml:space="preserve">Trošak po kg </t>
  </si>
  <si>
    <t>Iznos</t>
  </si>
  <si>
    <t>Malina sveža</t>
  </si>
  <si>
    <t>Malina Zamrznuta</t>
  </si>
  <si>
    <t>Kupina Sveža</t>
  </si>
  <si>
    <t>Kupina Zamrznuta</t>
  </si>
  <si>
    <t>Šljiva Sveža</t>
  </si>
  <si>
    <t>Šljiva Zamrznuta</t>
  </si>
  <si>
    <t>Višnja Sveža</t>
  </si>
  <si>
    <t>Višnja Zamrznuta</t>
  </si>
  <si>
    <t>Borovnica Sveža</t>
  </si>
  <si>
    <t>Borovnica Zamrznuta</t>
  </si>
  <si>
    <t>Kajsija Sveža</t>
  </si>
  <si>
    <t xml:space="preserve">Kajsija Zamrznuta </t>
  </si>
  <si>
    <t>Zbir</t>
  </si>
  <si>
    <t>Troskovi do sada</t>
  </si>
  <si>
    <t>Preostali budžet</t>
  </si>
  <si>
    <t>Malina Sveža</t>
  </si>
  <si>
    <t>Cene</t>
  </si>
  <si>
    <t>Smrzavanje</t>
  </si>
  <si>
    <t>Lager</t>
  </si>
  <si>
    <t>Stalni</t>
  </si>
  <si>
    <t>Sezonci</t>
  </si>
  <si>
    <t>Kutija</t>
  </si>
  <si>
    <t>Džakovi/Kutije</t>
  </si>
  <si>
    <t>Kesa</t>
  </si>
  <si>
    <t>Istovar</t>
  </si>
  <si>
    <t>Trosak po kg</t>
  </si>
  <si>
    <t>Voda</t>
  </si>
  <si>
    <t>Marza</t>
  </si>
  <si>
    <t>Razno</t>
  </si>
  <si>
    <t>Kamate</t>
  </si>
  <si>
    <t>Kajsija Zamrznuta</t>
  </si>
  <si>
    <t>Džakovi</t>
  </si>
  <si>
    <t>Rad</t>
  </si>
  <si>
    <t>Prosek od Cena EUR</t>
  </si>
  <si>
    <t>Zbir od Iznos EUR</t>
  </si>
  <si>
    <t>Prosek od Cena Din</t>
  </si>
  <si>
    <t>Otkupljeno</t>
  </si>
  <si>
    <t>Kalo</t>
  </si>
  <si>
    <t>Vrsta</t>
  </si>
  <si>
    <t>Prodato</t>
  </si>
  <si>
    <t>Stanje</t>
  </si>
  <si>
    <t>Ukupno</t>
  </si>
  <si>
    <t>Kalo I Koštica</t>
  </si>
  <si>
    <t xml:space="preserve">DZ Šljiva R/S </t>
  </si>
  <si>
    <t>Dz Višnja</t>
  </si>
  <si>
    <t>Kupina slatke sorte</t>
  </si>
  <si>
    <t>Dz Kupina Rollend SL</t>
  </si>
  <si>
    <t xml:space="preserve">DZ Kajsija R/S </t>
  </si>
  <si>
    <t>DZ Kajsija Original</t>
  </si>
  <si>
    <t>DZ Kajsija III Klasa</t>
  </si>
  <si>
    <t>Kupina Sl</t>
  </si>
  <si>
    <t>Zbir od Kupina Sl</t>
  </si>
  <si>
    <t>Dz Kupina Blok SL</t>
  </si>
  <si>
    <t>Zalihe</t>
  </si>
  <si>
    <t>Pros Cena eur</t>
  </si>
  <si>
    <t>Ukupno eur</t>
  </si>
  <si>
    <t>Cana Din</t>
  </si>
  <si>
    <t>Vrednost din</t>
  </si>
  <si>
    <t>Pros Cena</t>
  </si>
  <si>
    <t>Vednost Din</t>
  </si>
  <si>
    <t>DZ Šljiva R/S</t>
  </si>
  <si>
    <t>DZ Šljiva III</t>
  </si>
  <si>
    <t>Vrednost Din</t>
  </si>
  <si>
    <t>Kupina Slatke Sorte</t>
  </si>
  <si>
    <t>DZ Kupina Konfitura sl</t>
  </si>
  <si>
    <t>DZ Kupina Blok sl</t>
  </si>
  <si>
    <t xml:space="preserve">Kalkulacija pretpostavljenih Vrednosti Zaliha </t>
  </si>
  <si>
    <t>Ukupna Vrednost robe na Zalihama</t>
  </si>
  <si>
    <t>Vrsta proizvoda</t>
  </si>
  <si>
    <t xml:space="preserve">Prosečna cena </t>
  </si>
  <si>
    <t xml:space="preserve">Vrednost </t>
  </si>
  <si>
    <t>Stanje Robe na zalihama</t>
  </si>
  <si>
    <t>Saldo Poslovanja</t>
  </si>
  <si>
    <t>Ukupno Din</t>
  </si>
  <si>
    <t>Ukupno Eur</t>
  </si>
  <si>
    <t>Vrsta robe</t>
  </si>
  <si>
    <t>Kupljeno</t>
  </si>
  <si>
    <t>Na zalihama</t>
  </si>
  <si>
    <t>Nabavna Vrednost</t>
  </si>
  <si>
    <t>Ukupna Prerada</t>
  </si>
  <si>
    <t>Ukupna Prodaja</t>
  </si>
  <si>
    <t>Roba na Zalihama</t>
  </si>
  <si>
    <t>Profit</t>
  </si>
  <si>
    <t>Profitna Stopa</t>
  </si>
  <si>
    <t>Profit po Kg</t>
  </si>
  <si>
    <t>Oračun Otkupa</t>
  </si>
  <si>
    <t>Stanje roba</t>
  </si>
  <si>
    <t>Stanje ukupno</t>
  </si>
  <si>
    <t>Savatić</t>
  </si>
  <si>
    <t>Total</t>
  </si>
  <si>
    <t>Kupna</t>
  </si>
  <si>
    <t>Borovinica</t>
  </si>
  <si>
    <t>Ukupna Nabavna Vrednost</t>
  </si>
  <si>
    <t>Prodaja Pivoti Ukupna</t>
  </si>
  <si>
    <t>Prodaja Ukupna</t>
  </si>
  <si>
    <t>Vrednosti po dobavljaču</t>
  </si>
  <si>
    <t>Prosek od Marža</t>
  </si>
  <si>
    <t>PDV Po Kg</t>
  </si>
  <si>
    <t>Cena bez PDV</t>
  </si>
  <si>
    <t>Vrednost bez PDV</t>
  </si>
  <si>
    <t>š</t>
  </si>
  <si>
    <t>Cena Koštanja Nabavka</t>
  </si>
  <si>
    <t>Obračunska Vrednost</t>
  </si>
  <si>
    <t>Vrednost Global Gap</t>
  </si>
  <si>
    <t>Vr.Doca Global gap</t>
  </si>
  <si>
    <t>Sadržaj</t>
  </si>
  <si>
    <t>Nabavka Pregled</t>
  </si>
  <si>
    <t>Nabavka Otkupljivači</t>
  </si>
  <si>
    <t>Stanje Roba</t>
  </si>
  <si>
    <t>Stanje Sa Maržom</t>
  </si>
  <si>
    <t>Otkup</t>
  </si>
  <si>
    <t>Dobavljač Fakturna</t>
  </si>
  <si>
    <t>Otkup Isplata</t>
  </si>
  <si>
    <t>Nabavka Preduzeća</t>
  </si>
  <si>
    <t>Troškovi</t>
  </si>
  <si>
    <t>Nabavna Vrednost Originali</t>
  </si>
  <si>
    <t>Pivot Za izračunavanje Kupljenih Originala</t>
  </si>
  <si>
    <t>Prerada</t>
  </si>
  <si>
    <t xml:space="preserve">Ukupno </t>
  </si>
  <si>
    <t xml:space="preserve">Ukupna Prodaja </t>
  </si>
  <si>
    <t>1.</t>
  </si>
  <si>
    <t>2.</t>
  </si>
  <si>
    <t>Kalkulacija</t>
  </si>
  <si>
    <t>3.</t>
  </si>
  <si>
    <t>4.</t>
  </si>
  <si>
    <t>5.</t>
  </si>
  <si>
    <t xml:space="preserve">Sadržaj pivota </t>
  </si>
  <si>
    <t>Obračun kupljena DZ Roba</t>
  </si>
  <si>
    <t>Obračun Sva Roba</t>
  </si>
  <si>
    <t>Pivot Za izračunavanje Kupljenie Sveže Robe</t>
  </si>
  <si>
    <t xml:space="preserve">Kupina </t>
  </si>
  <si>
    <t>Kupina Slatka</t>
  </si>
  <si>
    <t>Radna Snaga</t>
  </si>
  <si>
    <t>Komunalije</t>
  </si>
  <si>
    <t>Po Kg Ukupno</t>
  </si>
  <si>
    <t>Din Do Sad</t>
  </si>
  <si>
    <t xml:space="preserve">Udeo </t>
  </si>
  <si>
    <t>DZ Šljiva</t>
  </si>
  <si>
    <t>Sveža i Zamrznuta</t>
  </si>
  <si>
    <t>Doca otkup</t>
  </si>
  <si>
    <t>Zbir od Vr.Doca Global gap</t>
  </si>
  <si>
    <t>Zbir od Isplata</t>
  </si>
  <si>
    <t>Doca Gap</t>
  </si>
  <si>
    <t>Po otkupljivaču</t>
  </si>
  <si>
    <t>Vrednost sa Maržom</t>
  </si>
  <si>
    <t>Vrednost  Robe</t>
  </si>
  <si>
    <t>Po Dobavljaču nabavka</t>
  </si>
  <si>
    <t>Ukupna Marža</t>
  </si>
  <si>
    <t>Zbir od Ukupna Marža</t>
  </si>
  <si>
    <t>Zbir od Cena Din</t>
  </si>
  <si>
    <t>Procenat</t>
  </si>
  <si>
    <t>ШИФРА ВАЛУТЕ</t>
  </si>
  <si>
    <t>НАЗИВ ЗЕМЉЕ</t>
  </si>
  <si>
    <t>ОЗНАКА ВАЛУТЕ</t>
  </si>
  <si>
    <t>ВАЖИ ЗА</t>
  </si>
  <si>
    <t>СРЕДЊИ КУРС</t>
  </si>
  <si>
    <t>ЕМУ</t>
  </si>
  <si>
    <t>EUR</t>
  </si>
  <si>
    <t>Аустралија</t>
  </si>
  <si>
    <t>AUD</t>
  </si>
  <si>
    <t>Канада</t>
  </si>
  <si>
    <t>CAD</t>
  </si>
  <si>
    <t>Кина</t>
  </si>
  <si>
    <t>CNY</t>
  </si>
  <si>
    <t>Чешка Република</t>
  </si>
  <si>
    <t>CZK</t>
  </si>
  <si>
    <t>Данска</t>
  </si>
  <si>
    <t>DKK</t>
  </si>
  <si>
    <t>Мађарска</t>
  </si>
  <si>
    <t>HUF</t>
  </si>
  <si>
    <t>Јапан</t>
  </si>
  <si>
    <t>JPY</t>
  </si>
  <si>
    <t>Кувајт</t>
  </si>
  <si>
    <t>KWD</t>
  </si>
  <si>
    <t>Норвешка</t>
  </si>
  <si>
    <t>NOK</t>
  </si>
  <si>
    <t>Руска Федерација</t>
  </si>
  <si>
    <t>RUB</t>
  </si>
  <si>
    <t>Шведска</t>
  </si>
  <si>
    <t>SEK</t>
  </si>
  <si>
    <t>Швајцарска</t>
  </si>
  <si>
    <t>CHF</t>
  </si>
  <si>
    <t>Велика Британија</t>
  </si>
  <si>
    <t>GBP</t>
  </si>
  <si>
    <t>САД</t>
  </si>
  <si>
    <t>USD</t>
  </si>
  <si>
    <t>Белорусија</t>
  </si>
  <si>
    <t>BYN</t>
  </si>
  <si>
    <t>Румунија</t>
  </si>
  <si>
    <t>RON</t>
  </si>
  <si>
    <t>Турска</t>
  </si>
  <si>
    <t>TRY</t>
  </si>
  <si>
    <t>Бугарска</t>
  </si>
  <si>
    <t>BGN</t>
  </si>
  <si>
    <t>Босна и Херцеговина</t>
  </si>
  <si>
    <t>BAM</t>
  </si>
  <si>
    <t>Пољска</t>
  </si>
  <si>
    <t>PLN</t>
  </si>
  <si>
    <t>Аустрија</t>
  </si>
  <si>
    <t>ATS</t>
  </si>
  <si>
    <t>Белгија</t>
  </si>
  <si>
    <t>BEF</t>
  </si>
  <si>
    <t>Финска</t>
  </si>
  <si>
    <t>FIM</t>
  </si>
  <si>
    <t>Француска</t>
  </si>
  <si>
    <t>FRF</t>
  </si>
  <si>
    <t>Немачка</t>
  </si>
  <si>
    <t>DEM</t>
  </si>
  <si>
    <t>Грчка</t>
  </si>
  <si>
    <t>GRD</t>
  </si>
  <si>
    <t>Ирска</t>
  </si>
  <si>
    <t>IEP</t>
  </si>
  <si>
    <t>Италија</t>
  </si>
  <si>
    <t>ITL</t>
  </si>
  <si>
    <t>Луксембург</t>
  </si>
  <si>
    <t>LUF</t>
  </si>
  <si>
    <t>Португалија</t>
  </si>
  <si>
    <t>PTE</t>
  </si>
  <si>
    <t>Шпанија</t>
  </si>
  <si>
    <t>ESP</t>
  </si>
  <si>
    <t>r.b</t>
  </si>
  <si>
    <t>Vrednost zaliha</t>
  </si>
  <si>
    <t>6.</t>
  </si>
  <si>
    <t>Izveštaj</t>
  </si>
  <si>
    <t>Ugovori</t>
  </si>
  <si>
    <t>Zbir od Cena EUR</t>
  </si>
  <si>
    <t>Ugovorena Količina</t>
  </si>
  <si>
    <t>Preostala količina</t>
  </si>
  <si>
    <t>DZ Malina Bruh</t>
  </si>
  <si>
    <t>Prosečna cena</t>
  </si>
  <si>
    <t>Zbir od Obračunska Vrednost</t>
  </si>
  <si>
    <t>Reklamacije</t>
  </si>
  <si>
    <t>Reklamacija</t>
  </si>
  <si>
    <t>Vrednost za Isplatu</t>
  </si>
  <si>
    <t>Kupina Čačanka</t>
  </si>
  <si>
    <t>Višnja Oblačinska</t>
  </si>
  <si>
    <t>Kupina Čačanka Global GAP</t>
  </si>
  <si>
    <t>Average of Cena Din</t>
  </si>
  <si>
    <t>Sum of Vrednost za Isplatu</t>
  </si>
  <si>
    <t>Uplata</t>
  </si>
  <si>
    <t>Ugovor</t>
  </si>
  <si>
    <t>Sum of Ugovorena Količina</t>
  </si>
  <si>
    <t>Bella 9 DOO</t>
  </si>
  <si>
    <t>Prenos Zaliha</t>
  </si>
  <si>
    <t>kurs</t>
  </si>
  <si>
    <t>Pivot Za izračunavanje Kupljene Sveže</t>
  </si>
  <si>
    <t>Zumdieck</t>
  </si>
  <si>
    <t xml:space="preserve">7. </t>
  </si>
  <si>
    <t>Dosso d.o.o.</t>
  </si>
  <si>
    <t>Preostala Količina po Ugovoru</t>
  </si>
  <si>
    <t xml:space="preserve">  </t>
  </si>
  <si>
    <t xml:space="preserve"> </t>
  </si>
  <si>
    <t>Obračun kupljena Sveža Roba</t>
  </si>
  <si>
    <t>Column1</t>
  </si>
  <si>
    <t>Apollo</t>
  </si>
  <si>
    <t>DZ Kupina Rollend Sl.</t>
  </si>
  <si>
    <t>Kupina Č</t>
  </si>
  <si>
    <t>Kupina SL</t>
  </si>
  <si>
    <t>Sum of Obračunska Vrednost</t>
  </si>
  <si>
    <t>Sum of š</t>
  </si>
  <si>
    <t>DZ Mlina blok</t>
  </si>
  <si>
    <t>Uplate</t>
  </si>
  <si>
    <t>Sum of Uplate EUR</t>
  </si>
  <si>
    <t>Sum of Uplata Din</t>
  </si>
  <si>
    <t>stanje</t>
  </si>
  <si>
    <t>Average of Cena EUR</t>
  </si>
  <si>
    <t>Column2</t>
  </si>
  <si>
    <t>Sum of Iznos EUR</t>
  </si>
  <si>
    <t>INR</t>
  </si>
  <si>
    <t>Индија</t>
  </si>
  <si>
    <t>1</t>
  </si>
  <si>
    <t>Prosecna cena</t>
  </si>
  <si>
    <t>AED</t>
  </si>
  <si>
    <t>Уједињени Арапски Емирати</t>
  </si>
  <si>
    <t>MKD</t>
  </si>
  <si>
    <t>Република Северна Македонија</t>
  </si>
  <si>
    <t>Ridjake</t>
  </si>
  <si>
    <t>ZZ Tamnavica -Osečina</t>
  </si>
  <si>
    <t xml:space="preserve">  Sadržaj</t>
  </si>
  <si>
    <t>Frikos DOO</t>
  </si>
  <si>
    <t>Usluga</t>
  </si>
  <si>
    <t xml:space="preserve">Usluga </t>
  </si>
  <si>
    <t>Malina Usluga</t>
  </si>
  <si>
    <t>Kupina Usluga</t>
  </si>
  <si>
    <t>Višnja Usluga</t>
  </si>
  <si>
    <t>Šljiva Usluga</t>
  </si>
  <si>
    <t>Borovnica Usluga</t>
  </si>
  <si>
    <t>Kajsija Usluga</t>
  </si>
  <si>
    <t>Prodaja Pivoti količine uluga prodaja</t>
  </si>
  <si>
    <t>Glišić</t>
  </si>
  <si>
    <t>FRICTAL</t>
  </si>
  <si>
    <t>Glišic</t>
  </si>
  <si>
    <t>Frictal</t>
  </si>
  <si>
    <t>Turn #</t>
  </si>
  <si>
    <t>Date</t>
  </si>
  <si>
    <t>User Request</t>
  </si>
  <si>
    <t>Action Taken</t>
  </si>
  <si>
    <t>Details</t>
  </si>
  <si>
    <t>Outcome</t>
  </si>
  <si>
    <t>User asked for a comprehensive review of the Excel workbook 'Obračun 2025.xlsm' and opinion on its functionality.</t>
  </si>
  <si>
    <t>Full audit of all 15 sheets: Sadržaj, Nabavka, Kurs, Prodaja, Troškovi, Prerada, Vrednost Zaliha, Izveštaj, Kalkulacija, Ugovori, Pivoti za obračun, Podaci Za Obračun Originali, Podaci Obračun Sveža, Baza, Sheet1. Reviewed formulas, pivots, charts, and data flow.</t>
  </si>
  <si>
    <t>Analyzed 60+ pivot tables, 16 charts, GETPIVOTDATA formulas, EUR/RSD conversion via Kurs sheet, structured table references (Tabela1, Tabela14, etc.), processing cost models in Prerada, and profit calculations in Kalkulacija. Found well-linked architecture with Baza as central data source.</t>
  </si>
  <si>
    <t>Delivered comprehensive functionality review with strengths, concerns, and recommendations. Workbook is a solid agricultural commodity trading/processing operations management system.</t>
  </si>
  <si>
    <t>Row Labels</t>
  </si>
  <si>
    <t>(blank)</t>
  </si>
  <si>
    <t>Grand Total</t>
  </si>
  <si>
    <t>(All)</t>
  </si>
  <si>
    <t>(Multiple Items)</t>
  </si>
  <si>
    <t>Glišić Trend doo</t>
  </si>
  <si>
    <t>Frikos d.o.o.</t>
  </si>
  <si>
    <t>Usluga G</t>
  </si>
  <si>
    <t>Anaize</t>
  </si>
  <si>
    <t>Sertifikati</t>
  </si>
  <si>
    <t>Prevoz robe</t>
  </si>
  <si>
    <t>Kese</t>
  </si>
  <si>
    <t>Higijena</t>
  </si>
  <si>
    <t>Kancelariski Materijal</t>
  </si>
  <si>
    <t>Organizacija</t>
  </si>
  <si>
    <t>Sezonski radnici</t>
  </si>
  <si>
    <t>Održavanje Objekta</t>
  </si>
  <si>
    <t>Proizvodnja</t>
  </si>
  <si>
    <t>Gradnja</t>
  </si>
  <si>
    <t>Savatić Milorad</t>
  </si>
  <si>
    <t>Održavanje Vozila</t>
  </si>
  <si>
    <t>Internet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</si>
</sst>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64" formatCode="_-* #,##0.00\ &quot;din.&quot;_-;\-* #,##0.00\ &quot;din.&quot;_-;_-* &quot;-&quot;??\ &quot;din.&quot;_-;_-@_-"/>
    <numFmt numFmtId="165" formatCode="#,##0.00_ ;\-#,##0.00\ "/>
    <numFmt numFmtId="166" formatCode="#,##0.00\ [$€-1]"/>
    <numFmt numFmtId="167" formatCode="dd/mm/yyyy;@"/>
    <numFmt numFmtId="168" formatCode="#,##0.00\ &quot;RSD&quot;"/>
    <numFmt numFmtId="169" formatCode="#,##0.00\ [$€-803]"/>
    <numFmt numFmtId="170" formatCode="[$€-413]\ #,##0.00;[$€-413]\ \-#,##0.00"/>
    <numFmt numFmtId="171" formatCode="#,##0.00\ [$€-42D]"/>
    <numFmt numFmtId="172" formatCode="#,##0.00\ [$€-1];[Red]\-#,##0.00\ [$€-1]"/>
    <numFmt numFmtId="173" formatCode="_ * #,##0.00_ \ [$€-1]_ ;_ * \-#,##0.00\ \ [$€-1]_ ;_ * &quot;-&quot;??_ \ [$€-1]_ ;_ @_ "/>
    <numFmt numFmtId="174" formatCode="_-* #,##0.00\ [$€-1]_-;\-* #,##0.00\ [$€-1]_-;_-* &quot;-&quot;??\ [$€-1]_-;_-@_-"/>
    <numFmt numFmtId="175" formatCode="_-* #,##0.00\ _R_S_D_-;\-* #,##0.00\ _R_S_D_-;_-* &quot;-&quot;??\ _R_S_D_-;_-@_-"/>
    <numFmt numFmtId="176" formatCode="#,##0.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2"/>
      <name val="Arial Narrow"/>
      <family val="2"/>
      <charset val="238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color rgb="FF000000"/>
      <name val="Verdana"/>
      <family val="2"/>
      <charset val="238"/>
    </font>
    <font>
      <sz val="11"/>
      <color rgb="FF000000"/>
      <name val="Verdana"/>
      <family val="2"/>
      <charset val="238"/>
    </font>
    <font>
      <b/>
      <sz val="12"/>
      <name val="Arial Narrow"/>
      <family val="2"/>
      <charset val="238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2"/>
      <name val="Arial Narrow"/>
      <family val="2"/>
    </font>
    <font>
      <b/>
      <sz val="11"/>
      <color rgb="FFFFFFF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4472C4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9">
    <xf numFmtId="0" fontId="0" fillId="0" borderId="0"/>
    <xf numFmtId="0" fontId="5" fillId="2" borderId="0" applyNumberFormat="0" applyBorder="0" applyAlignment="0" applyProtection="0"/>
    <xf numFmtId="0" fontId="4" fillId="3" borderId="1" applyNumberFormat="0" applyFont="0" applyAlignment="0" applyProtection="0"/>
    <xf numFmtId="0" fontId="2" fillId="4" borderId="0" applyNumberFormat="0" applyBorder="0" applyAlignment="0" applyProtection="0"/>
    <xf numFmtId="0" fontId="6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9" fontId="4" fillId="0" borderId="0" applyFont="0" applyFill="0" applyBorder="0" applyAlignment="0" applyProtection="0"/>
    <xf numFmtId="0" fontId="8" fillId="17" borderId="0" applyNumberFormat="0" applyBorder="0" applyAlignment="0" applyProtection="0"/>
  </cellStyleXfs>
  <cellXfs count="105">
    <xf numFmtId="0" fontId="0" fillId="0" borderId="0" xfId="0"/>
    <xf numFmtId="4" fontId="0" fillId="0" borderId="0" xfId="0" applyNumberFormat="1"/>
    <xf numFmtId="0" fontId="0" fillId="3" borderId="1" xfId="2" applyFont="1"/>
    <xf numFmtId="165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6" fillId="0" borderId="0" xfId="4" quotePrefix="1"/>
    <xf numFmtId="0" fontId="6" fillId="0" borderId="0" xfId="4"/>
    <xf numFmtId="167" fontId="0" fillId="0" borderId="0" xfId="0" applyNumberFormat="1" applyAlignment="1">
      <alignment horizontal="left"/>
    </xf>
    <xf numFmtId="14" fontId="0" fillId="0" borderId="0" xfId="0" pivotButton="1" applyNumberFormat="1"/>
    <xf numFmtId="168" fontId="0" fillId="0" borderId="0" xfId="0" applyNumberFormat="1"/>
    <xf numFmtId="0" fontId="0" fillId="0" borderId="0" xfId="0" applyAlignment="1">
      <alignment horizontal="left" indent="2"/>
    </xf>
    <xf numFmtId="0" fontId="8" fillId="6" borderId="0" xfId="6"/>
    <xf numFmtId="14" fontId="0" fillId="0" borderId="0" xfId="0" applyNumberFormat="1" applyAlignment="1">
      <alignment horizontal="left"/>
    </xf>
    <xf numFmtId="0" fontId="0" fillId="7" borderId="0" xfId="0" applyFill="1"/>
    <xf numFmtId="0" fontId="7" fillId="0" borderId="0" xfId="0" applyFont="1"/>
    <xf numFmtId="0" fontId="0" fillId="8" borderId="2" xfId="0" applyFill="1" applyBorder="1"/>
    <xf numFmtId="4" fontId="0" fillId="8" borderId="2" xfId="0" applyNumberFormat="1" applyFill="1" applyBorder="1"/>
    <xf numFmtId="4" fontId="0" fillId="8" borderId="0" xfId="0" applyNumberFormat="1" applyFill="1"/>
    <xf numFmtId="0" fontId="0" fillId="9" borderId="2" xfId="0" applyFill="1" applyBorder="1"/>
    <xf numFmtId="4" fontId="0" fillId="9" borderId="2" xfId="0" applyNumberFormat="1" applyFill="1" applyBorder="1"/>
    <xf numFmtId="4" fontId="0" fillId="9" borderId="0" xfId="0" applyNumberFormat="1" applyFill="1"/>
    <xf numFmtId="0" fontId="9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2" fontId="9" fillId="0" borderId="0" xfId="0" applyNumberFormat="1" applyFont="1"/>
    <xf numFmtId="169" fontId="0" fillId="0" borderId="0" xfId="0" applyNumberFormat="1"/>
    <xf numFmtId="170" fontId="0" fillId="0" borderId="0" xfId="0" applyNumberFormat="1"/>
    <xf numFmtId="171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172" fontId="0" fillId="0" borderId="0" xfId="0" applyNumberFormat="1"/>
    <xf numFmtId="4" fontId="7" fillId="4" borderId="0" xfId="3" applyNumberFormat="1" applyFont="1"/>
    <xf numFmtId="4" fontId="2" fillId="4" borderId="0" xfId="3" applyNumberFormat="1"/>
    <xf numFmtId="0" fontId="7" fillId="0" borderId="0" xfId="0" applyFont="1" applyAlignment="1">
      <alignment horizontal="right"/>
    </xf>
    <xf numFmtId="4" fontId="7" fillId="0" borderId="0" xfId="0" applyNumberFormat="1" applyFont="1"/>
    <xf numFmtId="4" fontId="3" fillId="0" borderId="0" xfId="0" applyNumberFormat="1" applyFont="1" applyAlignment="1">
      <alignment horizontal="left"/>
    </xf>
    <xf numFmtId="4" fontId="3" fillId="0" borderId="0" xfId="0" applyNumberFormat="1" applyFont="1"/>
    <xf numFmtId="4" fontId="11" fillId="0" borderId="0" xfId="0" applyNumberFormat="1" applyFont="1"/>
    <xf numFmtId="0" fontId="3" fillId="0" borderId="0" xfId="0" applyFont="1"/>
    <xf numFmtId="0" fontId="11" fillId="0" borderId="0" xfId="0" applyFont="1"/>
    <xf numFmtId="173" fontId="0" fillId="0" borderId="0" xfId="0" applyNumberFormat="1"/>
    <xf numFmtId="164" fontId="0" fillId="0" borderId="0" xfId="0" applyNumberFormat="1"/>
    <xf numFmtId="22" fontId="0" fillId="0" borderId="0" xfId="0" applyNumberFormat="1"/>
    <xf numFmtId="173" fontId="0" fillId="0" borderId="0" xfId="7" applyNumberFormat="1" applyFont="1"/>
    <xf numFmtId="0" fontId="12" fillId="11" borderId="3" xfId="0" applyFont="1" applyFill="1" applyBorder="1"/>
    <xf numFmtId="4" fontId="12" fillId="11" borderId="4" xfId="0" applyNumberFormat="1" applyFont="1" applyFill="1" applyBorder="1"/>
    <xf numFmtId="164" fontId="0" fillId="12" borderId="3" xfId="0" applyNumberFormat="1" applyFill="1" applyBorder="1"/>
    <xf numFmtId="164" fontId="0" fillId="12" borderId="4" xfId="0" applyNumberFormat="1" applyFill="1" applyBorder="1"/>
    <xf numFmtId="164" fontId="0" fillId="0" borderId="3" xfId="0" applyNumberFormat="1" applyBorder="1"/>
    <xf numFmtId="164" fontId="0" fillId="0" borderId="4" xfId="0" applyNumberFormat="1" applyBorder="1"/>
    <xf numFmtId="164" fontId="13" fillId="0" borderId="5" xfId="0" applyNumberFormat="1" applyFont="1" applyBorder="1"/>
    <xf numFmtId="164" fontId="13" fillId="0" borderId="6" xfId="0" applyNumberFormat="1" applyFont="1" applyBorder="1"/>
    <xf numFmtId="174" fontId="0" fillId="0" borderId="0" xfId="0" applyNumberFormat="1"/>
    <xf numFmtId="9" fontId="0" fillId="0" borderId="0" xfId="7" applyFont="1"/>
    <xf numFmtId="173" fontId="16" fillId="0" borderId="0" xfId="7" applyNumberFormat="1" applyFont="1"/>
    <xf numFmtId="173" fontId="16" fillId="0" borderId="0" xfId="0" applyNumberFormat="1" applyFont="1"/>
    <xf numFmtId="173" fontId="17" fillId="0" borderId="0" xfId="0" applyNumberFormat="1" applyFont="1"/>
    <xf numFmtId="173" fontId="0" fillId="3" borderId="2" xfId="2" applyNumberFormat="1" applyFont="1" applyBorder="1"/>
    <xf numFmtId="0" fontId="8" fillId="17" borderId="0" xfId="8"/>
    <xf numFmtId="0" fontId="7" fillId="0" borderId="2" xfId="0" applyFont="1" applyBorder="1"/>
    <xf numFmtId="0" fontId="0" fillId="0" borderId="2" xfId="0" applyBorder="1"/>
    <xf numFmtId="4" fontId="0" fillId="0" borderId="2" xfId="0" applyNumberFormat="1" applyBorder="1"/>
    <xf numFmtId="0" fontId="13" fillId="3" borderId="1" xfId="2" applyFont="1"/>
    <xf numFmtId="4" fontId="13" fillId="3" borderId="1" xfId="2" applyNumberFormat="1" applyFont="1"/>
    <xf numFmtId="0" fontId="19" fillId="2" borderId="2" xfId="1" applyFont="1" applyBorder="1"/>
    <xf numFmtId="164" fontId="19" fillId="2" borderId="2" xfId="1" applyNumberFormat="1" applyFont="1" applyBorder="1"/>
    <xf numFmtId="10" fontId="0" fillId="0" borderId="0" xfId="7" applyNumberFormat="1" applyFont="1"/>
    <xf numFmtId="10" fontId="0" fillId="0" borderId="0" xfId="0" applyNumberFormat="1"/>
    <xf numFmtId="0" fontId="13" fillId="0" borderId="0" xfId="0" applyFont="1"/>
    <xf numFmtId="4" fontId="13" fillId="0" borderId="0" xfId="0" applyNumberFormat="1" applyFont="1"/>
    <xf numFmtId="0" fontId="8" fillId="10" borderId="0" xfId="5" applyFill="1" applyAlignment="1">
      <alignment horizontal="center"/>
    </xf>
    <xf numFmtId="0" fontId="12" fillId="11" borderId="8" xfId="0" applyFont="1" applyFill="1" applyBorder="1"/>
    <xf numFmtId="10" fontId="0" fillId="0" borderId="8" xfId="0" applyNumberFormat="1" applyBorder="1"/>
    <xf numFmtId="10" fontId="0" fillId="12" borderId="8" xfId="0" applyNumberFormat="1" applyFill="1" applyBorder="1"/>
    <xf numFmtId="0" fontId="13" fillId="11" borderId="8" xfId="0" applyFont="1" applyFill="1" applyBorder="1"/>
    <xf numFmtId="0" fontId="0" fillId="0" borderId="0" xfId="0" applyAlignment="1">
      <alignment horizontal="center" vertical="center"/>
    </xf>
    <xf numFmtId="0" fontId="5" fillId="2" borderId="2" xfId="1" applyBorder="1"/>
    <xf numFmtId="4" fontId="5" fillId="2" borderId="2" xfId="1" applyNumberFormat="1" applyBorder="1"/>
    <xf numFmtId="14" fontId="0" fillId="0" borderId="0" xfId="0" applyNumberFormat="1"/>
    <xf numFmtId="0" fontId="19" fillId="2" borderId="2" xfId="1" applyFont="1" applyBorder="1" applyAlignment="1">
      <alignment horizontal="center"/>
    </xf>
    <xf numFmtId="4" fontId="19" fillId="2" borderId="2" xfId="1" applyNumberFormat="1" applyFont="1" applyBorder="1" applyAlignment="1">
      <alignment horizontal="center"/>
    </xf>
    <xf numFmtId="175" fontId="0" fillId="0" borderId="0" xfId="0" applyNumberFormat="1"/>
    <xf numFmtId="4" fontId="0" fillId="3" borderId="2" xfId="2" applyNumberFormat="1" applyFont="1" applyBorder="1"/>
    <xf numFmtId="4" fontId="19" fillId="2" borderId="2" xfId="1" applyNumberFormat="1" applyFont="1" applyBorder="1"/>
    <xf numFmtId="176" fontId="0" fillId="0" borderId="0" xfId="0" applyNumberFormat="1"/>
    <xf numFmtId="4" fontId="20" fillId="0" borderId="0" xfId="0" applyNumberFormat="1" applyFont="1"/>
    <xf numFmtId="0" fontId="21" fillId="18" borderId="0" xfId="0" applyFont="1" applyFill="1"/>
    <xf numFmtId="0" fontId="0" fillId="0" borderId="0" xfId="0" applyNumberFormat="1"/>
    <xf numFmtId="4" fontId="18" fillId="14" borderId="2" xfId="0" applyNumberFormat="1" applyFon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14" fillId="16" borderId="2" xfId="0" applyFont="1" applyFill="1" applyBorder="1" applyAlignment="1">
      <alignment horizontal="center"/>
    </xf>
    <xf numFmtId="0" fontId="5" fillId="2" borderId="2" xfId="1" applyBorder="1" applyAlignment="1">
      <alignment horizontal="center"/>
    </xf>
    <xf numFmtId="4" fontId="7" fillId="10" borderId="0" xfId="0" applyNumberFormat="1" applyFont="1" applyFill="1" applyAlignment="1">
      <alignment horizontal="center"/>
    </xf>
    <xf numFmtId="0" fontId="8" fillId="10" borderId="0" xfId="5" applyFill="1" applyAlignment="1">
      <alignment horizontal="center"/>
    </xf>
    <xf numFmtId="0" fontId="14" fillId="13" borderId="0" xfId="0" applyFont="1" applyFill="1" applyAlignment="1">
      <alignment horizontal="center" vertical="center"/>
    </xf>
    <xf numFmtId="0" fontId="19" fillId="2" borderId="0" xfId="1" applyFont="1" applyAlignment="1">
      <alignment horizontal="center"/>
    </xf>
    <xf numFmtId="0" fontId="15" fillId="1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19" fillId="2" borderId="1" xfId="1" applyFont="1" applyBorder="1" applyAlignment="1">
      <alignment horizontal="center"/>
    </xf>
    <xf numFmtId="0" fontId="19" fillId="2" borderId="7" xfId="1" applyFont="1" applyBorder="1" applyAlignment="1">
      <alignment horizontal="center"/>
    </xf>
  </cellXfs>
  <cellStyles count="9">
    <cellStyle name="20% - Accent1" xfId="3" builtinId="30"/>
    <cellStyle name="60% - Accent4" xfId="8" builtinId="44"/>
    <cellStyle name="Accent1" xfId="5" builtinId="29"/>
    <cellStyle name="Accent5" xfId="6" builtinId="45"/>
    <cellStyle name="Good" xfId="1" builtinId="26"/>
    <cellStyle name="Hyperlink" xfId="4" builtinId="8"/>
    <cellStyle name="Normal" xfId="0" builtinId="0"/>
    <cellStyle name="Note" xfId="2" builtinId="10"/>
    <cellStyle name="Percent" xfId="7" builtinId="5"/>
  </cellStyles>
  <dxfs count="501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#,##0.00_ ;\-#,##0.00\ 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#,##0.00_ ;\-#,##0.00\ 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9" formatCode="d/m/yyyy"/>
    </dxf>
    <dxf>
      <numFmt numFmtId="4" formatCode="#,##0.00"/>
    </dxf>
    <dxf>
      <numFmt numFmtId="4" formatCode="#,##0.00"/>
    </dxf>
    <dxf>
      <numFmt numFmtId="176" formatCode="#,##0.000"/>
    </dxf>
    <dxf>
      <numFmt numFmtId="4" formatCode="#,##0.00"/>
    </dxf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numFmt numFmtId="4" formatCode="#,##0.00"/>
    </dxf>
    <dxf>
      <numFmt numFmtId="4" formatCode="#,##0.00"/>
    </dxf>
    <dxf>
      <numFmt numFmtId="4" formatCode="#,##0.00"/>
    </dxf>
    <dxf>
      <font>
        <b/>
      </font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73" formatCode="_ * #,##0.00_ \ [$€-1]_ ;_ * \-#,##0.00\ \ [$€-1]_ ;_ * &quot;-&quot;??_ \ [$€-1]_ ;_ @_ "/>
    </dxf>
    <dxf>
      <numFmt numFmtId="164" formatCode="_-* #,##0.00\ &quot;din.&quot;_-;\-* #,##0.00\ &quot;din.&quot;_-;_-* &quot;-&quot;??\ &quot;din.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</font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4" formatCode="0.00%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74" formatCode="_-* #,##0.00\ [$€-1]_-;\-* #,##0.00\ [$€-1]_-;_-* &quot;-&quot;??\ [$€-1]_-;_-@_-"/>
    </dxf>
    <dxf>
      <numFmt numFmtId="174" formatCode="_-* #,##0.00\ [$€-1]_-;\-* #,##0.00\ [$€-1]_-;_-* &quot;-&quot;??\ [$€-1]_-;_-@_-"/>
    </dxf>
    <dxf>
      <numFmt numFmtId="174" formatCode="_-* #,##0.00\ [$€-1]_-;\-* #,##0.00\ [$€-1]_-;_-* &quot;-&quot;??\ [$€-1]_-;_-@_-"/>
    </dxf>
    <dxf>
      <numFmt numFmtId="174" formatCode="_-* #,##0.00\ [$€-1]_-;\-* #,##0.00\ [$€-1]_-;_-* &quot;-&quot;??\ [$€-1]_-;_-@_-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5" formatCode="#,##0.00_ ;\-#,##0.00\ 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64" formatCode="_-* #,##0.00\ &quot;din.&quot;_-;\-* #,##0.00\ &quot;din.&quot;_-;_-* &quot;-&quot;??\ &quot;din.&quot;_-;_-@_-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_ * #,##0.00_ \ [$€-1]_ ;_ * \-#,##0.00\ \ [$€-1]_ ;_ * &quot;-&quot;??_ \ [$€-1]_ ;_ @_ "/>
    </dxf>
    <dxf>
      <numFmt numFmtId="173" formatCode="_ * #,##0.00_ \ [$€-1]_ ;_ * \-#,##0.00\ \ [$€-1]_ ;_ * &quot;-&quot;??_ \ [$€-1]_ ;_ @_ 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center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center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center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center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center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center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left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left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left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center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left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center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left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center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scheme val="none"/>
      </font>
      <alignment horizontal="left" vertical="bottom" textRotation="0" wrapText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</font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4" formatCode="#,##0.00"/>
    </dxf>
    <dxf>
      <numFmt numFmtId="19" formatCode="d/m/yyyy"/>
    </dxf>
    <dxf>
      <numFmt numFmtId="4" formatCode="#,##0.00"/>
    </dxf>
    <dxf>
      <numFmt numFmtId="4" formatCode="#,##0.00"/>
    </dxf>
    <dxf>
      <numFmt numFmtId="4" formatCode="#,##0.00"/>
    </dxf>
    <dxf>
      <numFmt numFmtId="19" formatCode="d/m/yyyy"/>
    </dxf>
    <dxf>
      <numFmt numFmtId="4" formatCode="#,##0.00"/>
    </dxf>
    <dxf>
      <numFmt numFmtId="4" formatCode="#,##0.00"/>
    </dxf>
    <dxf>
      <numFmt numFmtId="4" formatCode="#,##0.0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Medium9">
    <tableStyle name="TableStyleQueryPreview" pivot="0" count="3" xr9:uid="{00000000-0011-0000-FFFF-FFFF00000000}">
      <tableStyleElement type="wholeTable" dxfId="500"/>
      <tableStyleElement type="headerRow" dxfId="499"/>
      <tableStyleElement type="firstRowStripe" dxfId="498"/>
    </tableStyle>
    <tableStyle name="TableStyleQueryResult" pivot="0" count="3" xr9:uid="{00000000-0011-0000-FFFF-FFFF01000000}">
      <tableStyleElement type="wholeTable" dxfId="497"/>
      <tableStyleElement type="headerRow" dxfId="496"/>
      <tableStyleElement type="firstRowStripe" dxfId="495"/>
    </tableStyle>
  </tableStyles>
  <colors>
    <mruColors>
      <color rgb="FF9D05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6.xml"/><Relationship Id="rId41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[Obračun 2026.xlsm]Prodaja!Izvedena tabela4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r-Latn-R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130763676374514"/>
          <c:y val="0.399993448391043"/>
          <c:w val="0.706362938257172"/>
          <c:h val="0.34099352464747512"/>
        </c:manualLayout>
      </c:layout>
      <c:lineChart>
        <c:grouping val="standard"/>
        <c:varyColors val="0"/>
        <c:ser>
          <c:idx val="0"/>
          <c:order val="0"/>
          <c:tx>
            <c:strRef>
              <c:f>Prodaja!$N$11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Prodaja!$M$12:$M$13</c:f>
              <c:strCache>
                <c:ptCount val="1"/>
                <c:pt idx="0">
                  <c:v>15.03.2021</c:v>
                </c:pt>
              </c:strCache>
            </c:strRef>
          </c:cat>
          <c:val>
            <c:numRef>
              <c:f>Prodaja!$N$12:$N$13</c:f>
              <c:numCache>
                <c:formatCode>#,##0.00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8A-4A65-A699-BACF96DC1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330264"/>
        <c:axId val="367950312"/>
      </c:lineChart>
      <c:catAx>
        <c:axId val="367330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367950312"/>
        <c:crosses val="autoZero"/>
        <c:auto val="1"/>
        <c:lblAlgn val="ctr"/>
        <c:lblOffset val="100"/>
        <c:noMultiLvlLbl val="0"/>
      </c:catAx>
      <c:valAx>
        <c:axId val="36795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36733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 paperSize="9" orientation="landscape" verticalDpi="0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[Obračun 2026.xlsm]Prodaja!Izvedena tabela1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r-Latn-R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r-Latn-R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r-Latn-R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r-Latn-R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Prodaja!$Q$11</c:f>
              <c:strCache>
                <c:ptCount val="1"/>
                <c:pt idx="0">
                  <c:v>Zbir od Količina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Prodaja!$P$12:$P$16</c:f>
              <c:strCache>
                <c:ptCount val="4"/>
                <c:pt idx="0">
                  <c:v>01.01.2019</c:v>
                </c:pt>
                <c:pt idx="1">
                  <c:v>15.03.2021</c:v>
                </c:pt>
                <c:pt idx="2">
                  <c:v>09.05.2022</c:v>
                </c:pt>
                <c:pt idx="3">
                  <c:v>31.05.2026</c:v>
                </c:pt>
              </c:strCache>
            </c:strRef>
          </c:cat>
          <c:val>
            <c:numRef>
              <c:f>Prodaja!$Q$12:$Q$16</c:f>
              <c:numCache>
                <c:formatCode>#,##0.00</c:formatCode>
                <c:ptCount val="4"/>
                <c:pt idx="0">
                  <c:v>32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0C-479F-8535-1B02A1ABB2F3}"/>
            </c:ext>
          </c:extLst>
        </c:ser>
        <c:ser>
          <c:idx val="1"/>
          <c:order val="1"/>
          <c:tx>
            <c:strRef>
              <c:f>Prodaja!$R$11</c:f>
              <c:strCache>
                <c:ptCount val="1"/>
                <c:pt idx="0">
                  <c:v>Zbir od Cena Din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Prodaja!$P$12:$P$16</c:f>
              <c:strCache>
                <c:ptCount val="4"/>
                <c:pt idx="0">
                  <c:v>01.01.2019</c:v>
                </c:pt>
                <c:pt idx="1">
                  <c:v>15.03.2021</c:v>
                </c:pt>
                <c:pt idx="2">
                  <c:v>09.05.2022</c:v>
                </c:pt>
                <c:pt idx="3">
                  <c:v>31.05.2026</c:v>
                </c:pt>
              </c:strCache>
            </c:strRef>
          </c:cat>
          <c:val>
            <c:numRef>
              <c:f>Prodaja!$R$12:$R$16</c:f>
              <c:numCache>
                <c:formatCode>General</c:formatCode>
                <c:ptCount val="4"/>
                <c:pt idx="0">
                  <c:v>32</c:v>
                </c:pt>
                <c:pt idx="1">
                  <c:v>1</c:v>
                </c:pt>
                <c:pt idx="2">
                  <c:v>1</c:v>
                </c:pt>
                <c:pt idx="3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0C-479F-8535-1B02A1ABB2F3}"/>
            </c:ext>
          </c:extLst>
        </c:ser>
        <c:ser>
          <c:idx val="2"/>
          <c:order val="2"/>
          <c:tx>
            <c:strRef>
              <c:f>Prodaja!$S$11</c:f>
              <c:strCache>
                <c:ptCount val="1"/>
                <c:pt idx="0">
                  <c:v>Zbir od Cena EUR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Prodaja!$P$12:$P$16</c:f>
              <c:strCache>
                <c:ptCount val="4"/>
                <c:pt idx="0">
                  <c:v>01.01.2019</c:v>
                </c:pt>
                <c:pt idx="1">
                  <c:v>15.03.2021</c:v>
                </c:pt>
                <c:pt idx="2">
                  <c:v>09.05.2022</c:v>
                </c:pt>
                <c:pt idx="3">
                  <c:v>31.05.2026</c:v>
                </c:pt>
              </c:strCache>
            </c:strRef>
          </c:cat>
          <c:val>
            <c:numRef>
              <c:f>Prodaja!$S$12:$S$16</c:f>
              <c:numCache>
                <c:formatCode>General</c:formatCode>
                <c:ptCount val="4"/>
                <c:pt idx="0">
                  <c:v>31.4</c:v>
                </c:pt>
                <c:pt idx="1">
                  <c:v>1</c:v>
                </c:pt>
                <c:pt idx="2">
                  <c:v>1</c:v>
                </c:pt>
                <c:pt idx="3">
                  <c:v>0.43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0C-479F-8535-1B02A1ABB2F3}"/>
            </c:ext>
          </c:extLst>
        </c:ser>
        <c:ser>
          <c:idx val="3"/>
          <c:order val="3"/>
          <c:tx>
            <c:strRef>
              <c:f>Prodaja!$T$11</c:f>
              <c:strCache>
                <c:ptCount val="1"/>
                <c:pt idx="0">
                  <c:v>Sum of Ugovorena Količina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Prodaja!$P$12:$P$16</c:f>
              <c:strCache>
                <c:ptCount val="4"/>
                <c:pt idx="0">
                  <c:v>01.01.2019</c:v>
                </c:pt>
                <c:pt idx="1">
                  <c:v>15.03.2021</c:v>
                </c:pt>
                <c:pt idx="2">
                  <c:v>09.05.2022</c:v>
                </c:pt>
                <c:pt idx="3">
                  <c:v>31.05.2026</c:v>
                </c:pt>
              </c:strCache>
            </c:strRef>
          </c:cat>
          <c:val>
            <c:numRef>
              <c:f>Prodaja!$T$12:$T$16</c:f>
              <c:numCache>
                <c:formatCode>General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50C-479F-8535-1B02A1ABB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745072"/>
        <c:axId val="181493264"/>
      </c:lineChart>
      <c:catAx>
        <c:axId val="45574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181493264"/>
        <c:crosses val="autoZero"/>
        <c:auto val="1"/>
        <c:lblAlgn val="ctr"/>
        <c:lblOffset val="100"/>
        <c:noMultiLvlLbl val="0"/>
      </c:catAx>
      <c:valAx>
        <c:axId val="18149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5574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Trošak po vrsti</a:t>
            </a:r>
            <a:r>
              <a:rPr lang="sr-Latn-RS" baseline="0"/>
              <a:t> robe</a:t>
            </a:r>
            <a:endParaRPr lang="sr-Latn-RS"/>
          </a:p>
        </c:rich>
      </c:tx>
      <c:layout>
        <c:manualLayout>
          <c:xMode val="edge"/>
          <c:yMode val="edge"/>
          <c:x val="0.38738508933728671"/>
          <c:y val="2.9962535034932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>
        <c:manualLayout>
          <c:layoutTarget val="inner"/>
          <c:xMode val="edge"/>
          <c:yMode val="edge"/>
          <c:x val="0.30415104763099415"/>
          <c:y val="0.13974206530207373"/>
          <c:w val="0.53226321050003422"/>
          <c:h val="0.8602579346979262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929-41D1-BEE0-5112AEA9E12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929-41D1-BEE0-5112AEA9E128}"/>
              </c:ext>
            </c:extLst>
          </c:dPt>
          <c:dPt>
            <c:idx val="2"/>
            <c:bubble3D val="0"/>
            <c:spPr>
              <a:solidFill>
                <a:schemeClr val="tx1">
                  <a:lumMod val="95000"/>
                  <a:lumOff val="5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929-41D1-BEE0-5112AEA9E128}"/>
              </c:ext>
            </c:extLst>
          </c:dPt>
          <c:dPt>
            <c:idx val="3"/>
            <c:bubble3D val="0"/>
            <c:spPr>
              <a:solidFill>
                <a:schemeClr val="bg2">
                  <a:lumMod val="1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929-41D1-BEE0-5112AEA9E12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929-41D1-BEE0-5112AEA9E128}"/>
              </c:ext>
            </c:extLst>
          </c:dPt>
          <c:dPt>
            <c:idx val="5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929-41D1-BEE0-5112AEA9E128}"/>
              </c:ext>
            </c:extLst>
          </c:dPt>
          <c:dPt>
            <c:idx val="6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929-41D1-BEE0-5112AEA9E128}"/>
              </c:ext>
            </c:extLst>
          </c:dPt>
          <c:dPt>
            <c:idx val="7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929-41D1-BEE0-5112AEA9E12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929-41D1-BEE0-5112AEA9E12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929-41D1-BEE0-5112AEA9E128}"/>
              </c:ext>
            </c:extLst>
          </c:dPt>
          <c:dPt>
            <c:idx val="1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929-41D1-BEE0-5112AEA9E128}"/>
              </c:ext>
            </c:extLst>
          </c:dPt>
          <c:dPt>
            <c:idx val="11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5929-41D1-BEE0-5112AEA9E12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0F7B-4C8B-98B8-5E1239E8170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Troškovi!$F$2:$F$14</c:f>
              <c:strCache>
                <c:ptCount val="13"/>
                <c:pt idx="0">
                  <c:v>Malina sveža</c:v>
                </c:pt>
                <c:pt idx="1">
                  <c:v>Malina Zamrznuta</c:v>
                </c:pt>
                <c:pt idx="2">
                  <c:v>Kupina Sveža</c:v>
                </c:pt>
                <c:pt idx="3">
                  <c:v>Kupina Zamrznuta</c:v>
                </c:pt>
                <c:pt idx="4">
                  <c:v>Šljiva Sveža</c:v>
                </c:pt>
                <c:pt idx="5">
                  <c:v>Šljiva Zamrznuta</c:v>
                </c:pt>
                <c:pt idx="6">
                  <c:v>Višnja Sveža</c:v>
                </c:pt>
                <c:pt idx="7">
                  <c:v>Višnja Zamrznuta</c:v>
                </c:pt>
                <c:pt idx="8">
                  <c:v>Borovnica Sveža</c:v>
                </c:pt>
                <c:pt idx="9">
                  <c:v>Borovnica Zamrznuta</c:v>
                </c:pt>
                <c:pt idx="10">
                  <c:v>Kajsija Sveža</c:v>
                </c:pt>
                <c:pt idx="11">
                  <c:v>Kajsija Zamrznuta </c:v>
                </c:pt>
                <c:pt idx="12">
                  <c:v>Usluga</c:v>
                </c:pt>
              </c:strCache>
            </c:strRef>
          </c:cat>
          <c:val>
            <c:numRef>
              <c:f>Troškovi!$I$2:$I$14</c:f>
              <c:numCache>
                <c:formatCode>#,##0.00</c:formatCode>
                <c:ptCount val="13"/>
                <c:pt idx="0">
                  <c:v>8396962.2000000011</c:v>
                </c:pt>
                <c:pt idx="1">
                  <c:v>394.65000000000003</c:v>
                </c:pt>
                <c:pt idx="2">
                  <c:v>412.65000000000003</c:v>
                </c:pt>
                <c:pt idx="3">
                  <c:v>426.6</c:v>
                </c:pt>
                <c:pt idx="4">
                  <c:v>460.56</c:v>
                </c:pt>
                <c:pt idx="5">
                  <c:v>162.21</c:v>
                </c:pt>
                <c:pt idx="6">
                  <c:v>38478</c:v>
                </c:pt>
                <c:pt idx="7">
                  <c:v>109.80000000000001</c:v>
                </c:pt>
                <c:pt idx="8">
                  <c:v>41.6</c:v>
                </c:pt>
                <c:pt idx="9">
                  <c:v>100.80000000000001</c:v>
                </c:pt>
                <c:pt idx="10">
                  <c:v>0</c:v>
                </c:pt>
                <c:pt idx="11">
                  <c:v>91.710000000000008</c:v>
                </c:pt>
                <c:pt idx="12">
                  <c:v>29.449999999999996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929-41D1-BEE0-5112AEA9E12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1481442508341091E-4"/>
          <c:y val="7.4898473404908222E-3"/>
          <c:w val="0.25152575835567942"/>
          <c:h val="0.99251015265950926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[Obračun 2026.xlsm]Troškovi!Izvedena tabela3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r-Latn-R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950225087462094"/>
          <c:y val="0.34096784776902889"/>
          <c:w val="0.81521248191694906"/>
          <c:h val="0.34171077573636627"/>
        </c:manualLayout>
      </c:layout>
      <c:areaChart>
        <c:grouping val="standard"/>
        <c:varyColors val="0"/>
        <c:ser>
          <c:idx val="0"/>
          <c:order val="0"/>
          <c:tx>
            <c:strRef>
              <c:f>Troškovi!$C$8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Troškovi!$B$9:$B$23</c:f>
              <c:strCache>
                <c:ptCount val="14"/>
                <c:pt idx="0">
                  <c:v>2.6.2026</c:v>
                </c:pt>
                <c:pt idx="1">
                  <c:v>4.6.2026</c:v>
                </c:pt>
                <c:pt idx="2">
                  <c:v>5.6.2026</c:v>
                </c:pt>
                <c:pt idx="3">
                  <c:v>6.6.2026</c:v>
                </c:pt>
                <c:pt idx="4">
                  <c:v>8.6.2026</c:v>
                </c:pt>
                <c:pt idx="5">
                  <c:v>9.6.2026</c:v>
                </c:pt>
                <c:pt idx="6">
                  <c:v>10.6.2026</c:v>
                </c:pt>
                <c:pt idx="7">
                  <c:v>12.6.2026</c:v>
                </c:pt>
                <c:pt idx="8">
                  <c:v>13.6.2026</c:v>
                </c:pt>
                <c:pt idx="9">
                  <c:v>15.6.2026</c:v>
                </c:pt>
                <c:pt idx="10">
                  <c:v>16.6.2026</c:v>
                </c:pt>
                <c:pt idx="11">
                  <c:v>17.6.2026</c:v>
                </c:pt>
                <c:pt idx="12">
                  <c:v>18.6.2026</c:v>
                </c:pt>
                <c:pt idx="13">
                  <c:v>19.6.2026</c:v>
                </c:pt>
              </c:strCache>
            </c:strRef>
          </c:cat>
          <c:val>
            <c:numRef>
              <c:f>Troškovi!$C$9:$C$23</c:f>
              <c:numCache>
                <c:formatCode>#,##0.00</c:formatCode>
                <c:ptCount val="14"/>
                <c:pt idx="0">
                  <c:v>750000</c:v>
                </c:pt>
                <c:pt idx="1">
                  <c:v>246060</c:v>
                </c:pt>
                <c:pt idx="2">
                  <c:v>771400</c:v>
                </c:pt>
                <c:pt idx="3">
                  <c:v>1050350</c:v>
                </c:pt>
                <c:pt idx="4">
                  <c:v>784893</c:v>
                </c:pt>
                <c:pt idx="5">
                  <c:v>768560</c:v>
                </c:pt>
                <c:pt idx="6">
                  <c:v>591170</c:v>
                </c:pt>
                <c:pt idx="7">
                  <c:v>968993.37</c:v>
                </c:pt>
                <c:pt idx="8">
                  <c:v>1162330</c:v>
                </c:pt>
                <c:pt idx="9">
                  <c:v>680770</c:v>
                </c:pt>
                <c:pt idx="10">
                  <c:v>135400</c:v>
                </c:pt>
                <c:pt idx="11">
                  <c:v>1646500.3399999999</c:v>
                </c:pt>
                <c:pt idx="12">
                  <c:v>179820</c:v>
                </c:pt>
                <c:pt idx="13">
                  <c:v>1348437.97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64-43DE-9D81-EAAB8D1AD1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6535632"/>
        <c:axId val="456536016"/>
      </c:areaChart>
      <c:catAx>
        <c:axId val="45653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56536016"/>
        <c:crosses val="autoZero"/>
        <c:auto val="1"/>
        <c:lblAlgn val="ctr"/>
        <c:lblOffset val="100"/>
        <c:noMultiLvlLbl val="0"/>
      </c:catAx>
      <c:valAx>
        <c:axId val="45653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56535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sr-Latn-RS"/>
              <a:t>Udeo u vrednosti zaliha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285C-46C6-ACA1-E106020B95E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2-285C-46C6-ACA1-E106020B95E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285C-46C6-ACA1-E106020B95E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FF8A-4573-80B0-C4EEABD2D7C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4-285C-46C6-ACA1-E106020B95E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285C-46C6-ACA1-E106020B95E7}"/>
              </c:ext>
            </c:extLst>
          </c:dPt>
          <c:dLbls>
            <c:dLbl>
              <c:idx val="4"/>
              <c:layout>
                <c:manualLayout>
                  <c:x val="-5.3509379514127681E-3"/>
                  <c:y val="8.2636255627388494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C-46C6-ACA1-E106020B95E7}"/>
                </c:ext>
              </c:extLst>
            </c:dLbl>
            <c:dLbl>
              <c:idx val="5"/>
              <c:layout>
                <c:manualLayout>
                  <c:x val="1.0451799399158199E-2"/>
                  <c:y val="8.2707380746368409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5C-46C6-ACA1-E106020B95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'Vrednost Zaliha'!$I$5:$I$10</c:f>
              <c:strCache>
                <c:ptCount val="6"/>
                <c:pt idx="0">
                  <c:v>Malina</c:v>
                </c:pt>
                <c:pt idx="1">
                  <c:v>Kupina</c:v>
                </c:pt>
                <c:pt idx="2">
                  <c:v>Kupina Sl</c:v>
                </c:pt>
                <c:pt idx="3">
                  <c:v>Šljiva</c:v>
                </c:pt>
                <c:pt idx="4">
                  <c:v>Višnja</c:v>
                </c:pt>
                <c:pt idx="5">
                  <c:v>Kajsija</c:v>
                </c:pt>
              </c:strCache>
            </c:strRef>
          </c:cat>
          <c:val>
            <c:numRef>
              <c:f>'Vrednost Zaliha'!$O$5:$O$10</c:f>
              <c:numCache>
                <c:formatCode>_-* #,##0.00\ "din."_-;\-* #,##0.00\ "din."_-;_-* "-"??\ "din."_-;_-@_-</c:formatCode>
                <c:ptCount val="6"/>
                <c:pt idx="0">
                  <c:v>93999043.813739493</c:v>
                </c:pt>
                <c:pt idx="1">
                  <c:v>2269.3824959999997</c:v>
                </c:pt>
                <c:pt idx="2">
                  <c:v>1728.0656821760003</c:v>
                </c:pt>
                <c:pt idx="3">
                  <c:v>688.68381504000001</c:v>
                </c:pt>
                <c:pt idx="4">
                  <c:v>244471.55497171197</c:v>
                </c:pt>
                <c:pt idx="5">
                  <c:v>-256.68144639999997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5C-46C6-ACA1-E106020B95E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Struktura Zaliha Maline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Izveštaj!$A$5:$A$7</c:f>
              <c:strCache>
                <c:ptCount val="3"/>
                <c:pt idx="0">
                  <c:v>Dz Malina Rollend</c:v>
                </c:pt>
                <c:pt idx="1">
                  <c:v>DZ Malina Griz</c:v>
                </c:pt>
                <c:pt idx="2">
                  <c:v>DZ Mlina Blok</c:v>
                </c:pt>
              </c:strCache>
            </c:strRef>
          </c:cat>
          <c:val>
            <c:numRef>
              <c:f>Izveštaj!$D$5:$D$7</c:f>
              <c:numCache>
                <c:formatCode>#,##0.00</c:formatCode>
                <c:ptCount val="3"/>
                <c:pt idx="0">
                  <c:v>140802.59319999997</c:v>
                </c:pt>
                <c:pt idx="1">
                  <c:v>17801.8796</c:v>
                </c:pt>
                <c:pt idx="2">
                  <c:v>3235.8871999999997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C6-43A4-926B-E1BAB2D563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57061424"/>
        <c:axId val="457055544"/>
      </c:barChart>
      <c:catAx>
        <c:axId val="45706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57055544"/>
        <c:crosses val="autoZero"/>
        <c:auto val="1"/>
        <c:lblAlgn val="ctr"/>
        <c:lblOffset val="100"/>
        <c:noMultiLvlLbl val="0"/>
      </c:catAx>
      <c:valAx>
        <c:axId val="45705554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crossAx val="45706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sr-Latn-RS"/>
              <a:t>Struktura Prodaje Maline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2"/>
                </a:gs>
                <a:gs pos="100000">
                  <a:schemeClr val="accent2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Izveštaj!$A$5:$A$7</c:f>
              <c:strCache>
                <c:ptCount val="3"/>
                <c:pt idx="0">
                  <c:v>Dz Malina Rollend</c:v>
                </c:pt>
                <c:pt idx="1">
                  <c:v>DZ Malina Griz</c:v>
                </c:pt>
                <c:pt idx="2">
                  <c:v>DZ Mlina Blok</c:v>
                </c:pt>
              </c:strCache>
            </c:strRef>
          </c:cat>
          <c:val>
            <c:numRef>
              <c:f>Izveštaj!$C$5:$C$7</c:f>
              <c:numCache>
                <c:formatCode>#,##0.00</c:formatCode>
                <c:ptCount val="3"/>
                <c:pt idx="0">
                  <c:v>2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8-473B-AC76-6AB179EE211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457058288"/>
        <c:axId val="457058680"/>
      </c:barChart>
      <c:catAx>
        <c:axId val="45705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57058680"/>
        <c:crosses val="autoZero"/>
        <c:auto val="1"/>
        <c:lblAlgn val="ctr"/>
        <c:lblOffset val="100"/>
        <c:noMultiLvlLbl val="0"/>
      </c:catAx>
      <c:valAx>
        <c:axId val="457058680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45705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Struktura Zaliha Kupine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dk1">
                <a:tint val="885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Izveštaj!$A$14:$A$16</c:f>
              <c:strCache>
                <c:ptCount val="3"/>
                <c:pt idx="0">
                  <c:v>DZ Kupina Rollend</c:v>
                </c:pt>
                <c:pt idx="1">
                  <c:v>DZ Kupina Pire</c:v>
                </c:pt>
                <c:pt idx="2">
                  <c:v>DZ Kupina Blok</c:v>
                </c:pt>
              </c:strCache>
            </c:strRef>
          </c:cat>
          <c:val>
            <c:numRef>
              <c:f>Izveštaj!$D$14:$D$16</c:f>
              <c:numCache>
                <c:formatCode>#,##0.00</c:formatCode>
                <c:ptCount val="3"/>
                <c:pt idx="0">
                  <c:v>8.76</c:v>
                </c:pt>
                <c:pt idx="1">
                  <c:v>-1</c:v>
                </c:pt>
                <c:pt idx="2">
                  <c:v>1.2400000000000002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A-4B4A-A4F6-C64D873E345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57061816"/>
        <c:axId val="457059072"/>
      </c:barChart>
      <c:catAx>
        <c:axId val="457061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57059072"/>
        <c:crosses val="autoZero"/>
        <c:auto val="1"/>
        <c:lblAlgn val="ctr"/>
        <c:lblOffset val="100"/>
        <c:noMultiLvlLbl val="0"/>
      </c:catAx>
      <c:valAx>
        <c:axId val="45705907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crossAx val="45706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Struktura Zaliha Kupine Sl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dk1">
                <a:tint val="885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Izveštaj!$A$22:$A$23</c:f>
              <c:strCache>
                <c:ptCount val="2"/>
                <c:pt idx="0">
                  <c:v>Dz Kupina Rollend SL</c:v>
                </c:pt>
                <c:pt idx="1">
                  <c:v>Dz Kupina Blok SL</c:v>
                </c:pt>
              </c:strCache>
            </c:strRef>
          </c:cat>
          <c:val>
            <c:numRef>
              <c:f>Izveštaj!$D$22:$D$23</c:f>
              <c:numCache>
                <c:formatCode>#,##0.00</c:formatCode>
                <c:ptCount val="2"/>
                <c:pt idx="0">
                  <c:v>6.4088000000000003</c:v>
                </c:pt>
                <c:pt idx="1">
                  <c:v>0.41120000000000001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37-4680-A642-FA94A7039B2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57059464"/>
        <c:axId val="457062600"/>
      </c:barChart>
      <c:catAx>
        <c:axId val="45705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57062600"/>
        <c:crosses val="autoZero"/>
        <c:auto val="1"/>
        <c:lblAlgn val="ctr"/>
        <c:lblOffset val="100"/>
        <c:noMultiLvlLbl val="0"/>
      </c:catAx>
      <c:valAx>
        <c:axId val="45706260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crossAx val="45705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Struktura Zaliha Šljive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Izveštaj!$A$29:$A$31</c:f>
              <c:strCache>
                <c:ptCount val="3"/>
                <c:pt idx="0">
                  <c:v>DZ Šljiva R/S </c:v>
                </c:pt>
                <c:pt idx="1">
                  <c:v>DZ Šljiva Original</c:v>
                </c:pt>
                <c:pt idx="2">
                  <c:v>DZ Šljiva III Klasa</c:v>
                </c:pt>
              </c:strCache>
            </c:strRef>
          </c:cat>
          <c:val>
            <c:numRef>
              <c:f>Izveštaj!$D$29:$D$31</c:f>
              <c:numCache>
                <c:formatCode>#,##0.00</c:formatCode>
                <c:ptCount val="3"/>
                <c:pt idx="0">
                  <c:v>4.0920000000000005</c:v>
                </c:pt>
                <c:pt idx="1">
                  <c:v>-1</c:v>
                </c:pt>
                <c:pt idx="2">
                  <c:v>0.50800000000000001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A-4A07-A097-67EE2EF078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57060640"/>
        <c:axId val="457061032"/>
      </c:barChart>
      <c:catAx>
        <c:axId val="45706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57061032"/>
        <c:crosses val="autoZero"/>
        <c:auto val="1"/>
        <c:lblAlgn val="ctr"/>
        <c:lblOffset val="100"/>
        <c:noMultiLvlLbl val="0"/>
      </c:catAx>
      <c:valAx>
        <c:axId val="4570610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crossAx val="45706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Struktura Zaliha Višnje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Izveštaj!$A$37:$A$38</c:f>
              <c:strCache>
                <c:ptCount val="2"/>
                <c:pt idx="0">
                  <c:v>Dz Višnja</c:v>
                </c:pt>
                <c:pt idx="1">
                  <c:v>Dz Višnja Blok</c:v>
                </c:pt>
              </c:strCache>
            </c:strRef>
          </c:cat>
          <c:val>
            <c:numRef>
              <c:f>Izveštaj!$D$37:$D$38</c:f>
              <c:numCache>
                <c:formatCode>#,##0.00</c:formatCode>
                <c:ptCount val="2"/>
                <c:pt idx="0">
                  <c:v>1354.9223999999999</c:v>
                </c:pt>
                <c:pt idx="1">
                  <c:v>40.997599999999998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8-4671-A2FF-D0D4EB2814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57056328"/>
        <c:axId val="457057112"/>
      </c:barChart>
      <c:catAx>
        <c:axId val="457056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57057112"/>
        <c:crosses val="autoZero"/>
        <c:auto val="1"/>
        <c:lblAlgn val="ctr"/>
        <c:lblOffset val="100"/>
        <c:noMultiLvlLbl val="0"/>
      </c:catAx>
      <c:valAx>
        <c:axId val="45705711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crossAx val="45705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Struktura Zaliha Kajsije</a:t>
            </a:r>
          </a:p>
        </c:rich>
      </c:tx>
      <c:layout>
        <c:manualLayout>
          <c:xMode val="edge"/>
          <c:yMode val="edge"/>
          <c:x val="0.3448439654049282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Izveštaj!$A$46:$A$48</c:f>
              <c:strCache>
                <c:ptCount val="3"/>
                <c:pt idx="0">
                  <c:v>DZ Kajsija R/S </c:v>
                </c:pt>
                <c:pt idx="1">
                  <c:v>DZ Kajsija Original</c:v>
                </c:pt>
                <c:pt idx="2">
                  <c:v>DZ Kajsija III Klasa</c:v>
                </c:pt>
              </c:strCache>
            </c:strRef>
          </c:cat>
          <c:val>
            <c:numRef>
              <c:f>Izveštaj!$D$46:$D$48</c:f>
              <c:numCache>
                <c:formatCode>#,##0.00</c:formatCode>
                <c:ptCount val="3"/>
                <c:pt idx="0">
                  <c:v>-0.23999999999999977</c:v>
                </c:pt>
                <c:pt idx="1">
                  <c:v>0</c:v>
                </c:pt>
                <c:pt idx="2">
                  <c:v>-1.76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20-4379-95A2-D2F4EF0A260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58515592"/>
        <c:axId val="458515984"/>
      </c:barChart>
      <c:catAx>
        <c:axId val="458515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58515984"/>
        <c:crosses val="autoZero"/>
        <c:auto val="1"/>
        <c:lblAlgn val="ctr"/>
        <c:lblOffset val="100"/>
        <c:noMultiLvlLbl val="0"/>
      </c:catAx>
      <c:valAx>
        <c:axId val="4585159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crossAx val="45851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sr-Latn-RS"/>
              <a:t>Struktura Prodaje Kupine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>
        <c:manualLayout>
          <c:layoutTarget val="inner"/>
          <c:xMode val="edge"/>
          <c:yMode val="edge"/>
          <c:x val="3.1327217835838653E-2"/>
          <c:y val="0.22315116017003581"/>
          <c:w val="0.93734556432832272"/>
          <c:h val="0.5518510219475431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dk1">
                    <a:tint val="88500"/>
                  </a:schemeClr>
                </a:gs>
                <a:gs pos="100000">
                  <a:schemeClr val="dk1">
                    <a:tint val="88500"/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Izveštaj!$A$14:$A$16</c:f>
              <c:strCache>
                <c:ptCount val="3"/>
                <c:pt idx="0">
                  <c:v>DZ Kupina Rollend</c:v>
                </c:pt>
                <c:pt idx="1">
                  <c:v>DZ Kupina Pire</c:v>
                </c:pt>
                <c:pt idx="2">
                  <c:v>DZ Kupina Blok</c:v>
                </c:pt>
              </c:strCache>
            </c:strRef>
          </c:cat>
          <c:val>
            <c:numRef>
              <c:f>Izveštaj!$C$14:$C$16</c:f>
              <c:numCache>
                <c:formatCode>#,##0.00</c:formatCode>
                <c:ptCount val="3"/>
                <c:pt idx="0">
                  <c:v>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F-479A-AA99-B621982F1CE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458514808"/>
        <c:axId val="458513240"/>
      </c:barChart>
      <c:catAx>
        <c:axId val="458514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58513240"/>
        <c:crosses val="autoZero"/>
        <c:auto val="1"/>
        <c:lblAlgn val="ctr"/>
        <c:lblOffset val="100"/>
        <c:noMultiLvlLbl val="0"/>
      </c:catAx>
      <c:valAx>
        <c:axId val="458513240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45851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sr-Latn-RS"/>
              <a:t>Struktura Prodaje Kupine SL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>
        <c:manualLayout>
          <c:layoutTarget val="inner"/>
          <c:xMode val="edge"/>
          <c:yMode val="edge"/>
          <c:x val="3.1092824879957657E-2"/>
          <c:y val="0.2516273696988755"/>
          <c:w val="0.93781435024008464"/>
          <c:h val="0.53971093693008421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dk1">
                    <a:tint val="88500"/>
                  </a:schemeClr>
                </a:gs>
                <a:gs pos="100000">
                  <a:schemeClr val="dk1">
                    <a:tint val="88500"/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Izveštaj!$A$22:$A$23</c:f>
              <c:strCache>
                <c:ptCount val="2"/>
                <c:pt idx="0">
                  <c:v>Dz Kupina Rollend SL</c:v>
                </c:pt>
                <c:pt idx="1">
                  <c:v>Dz Kupina Blok SL</c:v>
                </c:pt>
              </c:strCache>
            </c:strRef>
          </c:cat>
          <c:val>
            <c:numRef>
              <c:f>Izveštaj!$C$22:$C$23</c:f>
              <c:numCache>
                <c:formatCode>#,##0.00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FA-4CBE-B6C4-2757FC28D4F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458509320"/>
        <c:axId val="458511672"/>
      </c:barChart>
      <c:catAx>
        <c:axId val="45850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58511672"/>
        <c:crosses val="autoZero"/>
        <c:auto val="1"/>
        <c:lblAlgn val="ctr"/>
        <c:lblOffset val="100"/>
        <c:noMultiLvlLbl val="0"/>
      </c:catAx>
      <c:valAx>
        <c:axId val="458511672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4585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sr-Latn-RS"/>
              <a:t>Struktura Prodaje Šljive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>
        <c:manualLayout>
          <c:layoutTarget val="inner"/>
          <c:xMode val="edge"/>
          <c:yMode val="edge"/>
          <c:x val="2.5439583992692631E-2"/>
          <c:y val="0.25265891345375913"/>
          <c:w val="0.93781435024008464"/>
          <c:h val="0.5300569137649890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Izveštaj!$A$29:$A$31</c:f>
              <c:strCache>
                <c:ptCount val="3"/>
                <c:pt idx="0">
                  <c:v>DZ Šljiva R/S </c:v>
                </c:pt>
                <c:pt idx="1">
                  <c:v>DZ Šljiva Original</c:v>
                </c:pt>
                <c:pt idx="2">
                  <c:v>DZ Šljiva III Klasa</c:v>
                </c:pt>
              </c:strCache>
            </c:strRef>
          </c:cat>
          <c:val>
            <c:numRef>
              <c:f>Izveštaj!$C$29:$C$31</c:f>
              <c:numCache>
                <c:formatCode>#,##0.00</c:formatCode>
                <c:ptCount val="3"/>
                <c:pt idx="0">
                  <c:v>6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C2-4D36-9CF2-024361D9DF9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458509712"/>
        <c:axId val="458512848"/>
      </c:barChart>
      <c:catAx>
        <c:axId val="45850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58512848"/>
        <c:crosses val="autoZero"/>
        <c:auto val="1"/>
        <c:lblAlgn val="ctr"/>
        <c:lblOffset val="100"/>
        <c:noMultiLvlLbl val="0"/>
      </c:catAx>
      <c:valAx>
        <c:axId val="458512848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45850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sr-Latn-RS"/>
              <a:t>Struktura Prodaje Višnje</a:t>
            </a:r>
          </a:p>
        </c:rich>
      </c:tx>
      <c:layout>
        <c:manualLayout>
          <c:xMode val="edge"/>
          <c:yMode val="edge"/>
          <c:x val="0.24209202852972558"/>
          <c:y val="2.6984130356721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>
        <c:manualLayout>
          <c:layoutTarget val="inner"/>
          <c:xMode val="edge"/>
          <c:yMode val="edge"/>
          <c:x val="3.1092824879957657E-2"/>
          <c:y val="0.26961678993668997"/>
          <c:w val="0.93781435024008464"/>
          <c:h val="0.52172151669226974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dk1">
                    <a:tint val="88500"/>
                  </a:schemeClr>
                </a:gs>
                <a:gs pos="100000">
                  <a:schemeClr val="dk1">
                    <a:tint val="88500"/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Izveštaj!$A$37:$A$38</c:f>
              <c:strCache>
                <c:ptCount val="2"/>
                <c:pt idx="0">
                  <c:v>Dz Višnja</c:v>
                </c:pt>
                <c:pt idx="1">
                  <c:v>Dz Višnja Blok</c:v>
                </c:pt>
              </c:strCache>
            </c:strRef>
          </c:cat>
          <c:val>
            <c:numRef>
              <c:f>Izveštaj!$C$37:$C$38</c:f>
              <c:numCache>
                <c:formatCode>#,##0.00</c:formatCode>
                <c:ptCount val="2"/>
                <c:pt idx="0">
                  <c:v>3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6-45C9-8A48-C51C6983F6E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458513632"/>
        <c:axId val="458510888"/>
      </c:barChart>
      <c:catAx>
        <c:axId val="45851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58510888"/>
        <c:crosses val="autoZero"/>
        <c:auto val="1"/>
        <c:lblAlgn val="ctr"/>
        <c:lblOffset val="100"/>
        <c:noMultiLvlLbl val="0"/>
      </c:catAx>
      <c:valAx>
        <c:axId val="458510888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45851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sr-Latn-RS"/>
              <a:t>Struktura Prodaje Kajsije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>
        <c:manualLayout>
          <c:layoutTarget val="inner"/>
          <c:xMode val="edge"/>
          <c:yMode val="edge"/>
          <c:x val="3.1327217835838653E-2"/>
          <c:y val="0.22315116017003581"/>
          <c:w val="0.93734556432832272"/>
          <c:h val="0.5518510219475431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/>
                </a:gs>
                <a:gs pos="100000">
                  <a:schemeClr val="accent6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Izveštaj!$A$46:$A$48</c:f>
              <c:strCache>
                <c:ptCount val="3"/>
                <c:pt idx="0">
                  <c:v>DZ Kajsija R/S </c:v>
                </c:pt>
                <c:pt idx="1">
                  <c:v>DZ Kajsija Original</c:v>
                </c:pt>
                <c:pt idx="2">
                  <c:v>DZ Kajsija III Klasa</c:v>
                </c:pt>
              </c:strCache>
            </c:strRef>
          </c:cat>
          <c:val>
            <c:numRef>
              <c:f>Izveštaj!$C$46:$C$48</c:f>
              <c:numCache>
                <c:formatCode>#,##0.00</c:formatCode>
                <c:ptCount val="3"/>
                <c:pt idx="0">
                  <c:v>3</c:v>
                </c:pt>
                <c:pt idx="1">
                  <c:v>0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D2-437A-8A1E-93C07E4528D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458510496"/>
        <c:axId val="458514024"/>
      </c:barChart>
      <c:catAx>
        <c:axId val="45851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58514024"/>
        <c:crosses val="autoZero"/>
        <c:auto val="1"/>
        <c:lblAlgn val="ctr"/>
        <c:lblOffset val="100"/>
        <c:noMultiLvlLbl val="0"/>
      </c:catAx>
      <c:valAx>
        <c:axId val="458514024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45851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Udeo u Troškovima</a:t>
            </a:r>
          </a:p>
        </c:rich>
      </c:tx>
      <c:layout>
        <c:manualLayout>
          <c:xMode val="edge"/>
          <c:yMode val="edge"/>
          <c:x val="0.3650277777777777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>
        <c:manualLayout>
          <c:layoutTarget val="inner"/>
          <c:xMode val="edge"/>
          <c:yMode val="edge"/>
          <c:x val="0.3933685093487026"/>
          <c:y val="0.19341090569379085"/>
          <c:w val="0.51326312335958002"/>
          <c:h val="0.8010414843977836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9DF-4FAA-ACE5-EAB789CE94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9DF-4FAA-ACE5-EAB789CE94CF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9DF-4FAA-ACE5-EAB789CE94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9DF-4FAA-ACE5-EAB789CE94CF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9DF-4FAA-ACE5-EAB789CE94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9DF-4FAA-ACE5-EAB789CE94C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9DF-4FAA-ACE5-EAB789CE94C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9DF-4FAA-ACE5-EAB789CE94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Kalkulacija!$M$3:$M$10</c:f>
              <c:strCache>
                <c:ptCount val="8"/>
                <c:pt idx="0">
                  <c:v>Radna Snaga</c:v>
                </c:pt>
                <c:pt idx="1">
                  <c:v>Repromaterijal</c:v>
                </c:pt>
                <c:pt idx="2">
                  <c:v>Komunalije</c:v>
                </c:pt>
                <c:pt idx="3">
                  <c:v>Potrošni Materijal</c:v>
                </c:pt>
                <c:pt idx="4">
                  <c:v>Održavanje</c:v>
                </c:pt>
                <c:pt idx="5">
                  <c:v>Nematerijalni</c:v>
                </c:pt>
                <c:pt idx="6">
                  <c:v>Reklamacije</c:v>
                </c:pt>
                <c:pt idx="7">
                  <c:v>Investicije</c:v>
                </c:pt>
              </c:strCache>
            </c:strRef>
          </c:cat>
          <c:val>
            <c:numRef>
              <c:f>Kalkulacija!$N$3:$N$10</c:f>
              <c:numCache>
                <c:formatCode>#,##0.00</c:formatCode>
                <c:ptCount val="8"/>
                <c:pt idx="0">
                  <c:v>3120052</c:v>
                </c:pt>
                <c:pt idx="1">
                  <c:v>1780001</c:v>
                </c:pt>
                <c:pt idx="2">
                  <c:v>736294.37</c:v>
                </c:pt>
                <c:pt idx="3">
                  <c:v>1536661.82</c:v>
                </c:pt>
                <c:pt idx="4">
                  <c:v>1692343.49</c:v>
                </c:pt>
                <c:pt idx="5">
                  <c:v>989919</c:v>
                </c:pt>
                <c:pt idx="6">
                  <c:v>1</c:v>
                </c:pt>
                <c:pt idx="7">
                  <c:v>1229421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9DF-4FAA-ACE5-EAB789CE94C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E9DF-4FAA-ACE5-EAB789CE94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E9DF-4FAA-ACE5-EAB789CE94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E9DF-4FAA-ACE5-EAB789CE94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8-E9DF-4FAA-ACE5-EAB789CE94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E9DF-4FAA-ACE5-EAB789CE94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E9DF-4FAA-ACE5-EAB789CE94C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E-E9DF-4FAA-ACE5-EAB789CE94C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0-E9DF-4FAA-ACE5-EAB789CE94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Kalkulacija!$M$3:$M$10</c:f>
              <c:strCache>
                <c:ptCount val="8"/>
                <c:pt idx="0">
                  <c:v>Radna Snaga</c:v>
                </c:pt>
                <c:pt idx="1">
                  <c:v>Repromaterijal</c:v>
                </c:pt>
                <c:pt idx="2">
                  <c:v>Komunalije</c:v>
                </c:pt>
                <c:pt idx="3">
                  <c:v>Potrošni Materijal</c:v>
                </c:pt>
                <c:pt idx="4">
                  <c:v>Održavanje</c:v>
                </c:pt>
                <c:pt idx="5">
                  <c:v>Nematerijalni</c:v>
                </c:pt>
                <c:pt idx="6">
                  <c:v>Reklamacije</c:v>
                </c:pt>
                <c:pt idx="7">
                  <c:v>Investicije</c:v>
                </c:pt>
              </c:strCache>
            </c:strRef>
          </c:cat>
          <c:val>
            <c:numRef>
              <c:f>Kalkulacija!$O$3:$O$10</c:f>
              <c:numCache>
                <c:formatCode>#,##0.00</c:formatCode>
                <c:ptCount val="8"/>
                <c:pt idx="0">
                  <c:v>18.723083016286409</c:v>
                </c:pt>
                <c:pt idx="1">
                  <c:v>10.681586874857478</c:v>
                </c:pt>
                <c:pt idx="2">
                  <c:v>4.418420146181635</c:v>
                </c:pt>
                <c:pt idx="3">
                  <c:v>9.2213356776802975</c:v>
                </c:pt>
                <c:pt idx="4">
                  <c:v>10.155563963466593</c:v>
                </c:pt>
                <c:pt idx="5">
                  <c:v>5.940393178190372</c:v>
                </c:pt>
                <c:pt idx="6">
                  <c:v>6.0008881314434538E-6</c:v>
                </c:pt>
                <c:pt idx="7">
                  <c:v>7.3776178874473421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E9DF-4FAA-ACE5-EAB789CE94CF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E9DF-4FAA-ACE5-EAB789CE94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E9DF-4FAA-ACE5-EAB789CE94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E9DF-4FAA-ACE5-EAB789CE94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E9DF-4FAA-ACE5-EAB789CE94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E9DF-4FAA-ACE5-EAB789CE94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E9DF-4FAA-ACE5-EAB789CE94C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E9DF-4FAA-ACE5-EAB789CE94C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E9DF-4FAA-ACE5-EAB789CE94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Kalkulacija!$M$3:$M$10</c:f>
              <c:strCache>
                <c:ptCount val="8"/>
                <c:pt idx="0">
                  <c:v>Radna Snaga</c:v>
                </c:pt>
                <c:pt idx="1">
                  <c:v>Repromaterijal</c:v>
                </c:pt>
                <c:pt idx="2">
                  <c:v>Komunalije</c:v>
                </c:pt>
                <c:pt idx="3">
                  <c:v>Potrošni Materijal</c:v>
                </c:pt>
                <c:pt idx="4">
                  <c:v>Održavanje</c:v>
                </c:pt>
                <c:pt idx="5">
                  <c:v>Nematerijalni</c:v>
                </c:pt>
                <c:pt idx="6">
                  <c:v>Reklamacije</c:v>
                </c:pt>
                <c:pt idx="7">
                  <c:v>Investicije</c:v>
                </c:pt>
              </c:strCache>
            </c:strRef>
          </c:cat>
          <c:val>
            <c:numRef>
              <c:f>Kalkulacija!$P$3:$P$10</c:f>
              <c:numCache>
                <c:formatCode>#,##0.00</c:formatCode>
                <c:ptCount val="8"/>
                <c:pt idx="0">
                  <c:v>120002</c:v>
                </c:pt>
                <c:pt idx="1">
                  <c:v>68461.576923076922</c:v>
                </c:pt>
                <c:pt idx="2">
                  <c:v>28319.014230769229</c:v>
                </c:pt>
                <c:pt idx="3">
                  <c:v>59102.377692307695</c:v>
                </c:pt>
                <c:pt idx="4">
                  <c:v>65090.134230769232</c:v>
                </c:pt>
                <c:pt idx="5">
                  <c:v>38073.807692307695</c:v>
                </c:pt>
                <c:pt idx="6">
                  <c:v>3.8461538461538464E-2</c:v>
                </c:pt>
                <c:pt idx="7">
                  <c:v>47285.423076923078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E9DF-4FAA-ACE5-EAB789CE94CF}"/>
            </c:ext>
          </c:extLst>
        </c:ser>
        <c:ser>
          <c:idx val="3"/>
          <c:order val="3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4-E9DF-4FAA-ACE5-EAB789CE94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6-E9DF-4FAA-ACE5-EAB789CE94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8-E9DF-4FAA-ACE5-EAB789CE94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A-E9DF-4FAA-ACE5-EAB789CE94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C-E9DF-4FAA-ACE5-EAB789CE94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E-E9DF-4FAA-ACE5-EAB789CE94C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0-E9DF-4FAA-ACE5-EAB789CE94C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2-E9DF-4FAA-ACE5-EAB789CE94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Kalkulacija!$M$3:$M$10</c:f>
              <c:strCache>
                <c:ptCount val="8"/>
                <c:pt idx="0">
                  <c:v>Radna Snaga</c:v>
                </c:pt>
                <c:pt idx="1">
                  <c:v>Repromaterijal</c:v>
                </c:pt>
                <c:pt idx="2">
                  <c:v>Komunalije</c:v>
                </c:pt>
                <c:pt idx="3">
                  <c:v>Potrošni Materijal</c:v>
                </c:pt>
                <c:pt idx="4">
                  <c:v>Održavanje</c:v>
                </c:pt>
                <c:pt idx="5">
                  <c:v>Nematerijalni</c:v>
                </c:pt>
                <c:pt idx="6">
                  <c:v>Reklamacije</c:v>
                </c:pt>
                <c:pt idx="7">
                  <c:v>Investicije</c:v>
                </c:pt>
              </c:strCache>
            </c:strRef>
          </c:cat>
          <c:val>
            <c:numRef>
              <c:f>Kalkulacija!$Q$3:$Q$10</c:f>
              <c:numCache>
                <c:formatCode>0.00%</c:formatCode>
                <c:ptCount val="8"/>
                <c:pt idx="0">
                  <c:v>0.28147390357114499</c:v>
                </c:pt>
                <c:pt idx="1">
                  <c:v>0.16058188447838101</c:v>
                </c:pt>
                <c:pt idx="2">
                  <c:v>6.642442193314628E-2</c:v>
                </c:pt>
                <c:pt idx="3">
                  <c:v>0.1386291641755138</c:v>
                </c:pt>
                <c:pt idx="4">
                  <c:v>0.15267390681742321</c:v>
                </c:pt>
                <c:pt idx="5">
                  <c:v>8.9305038874109871E-2</c:v>
                </c:pt>
                <c:pt idx="6">
                  <c:v>9.0214491159488678E-8</c:v>
                </c:pt>
                <c:pt idx="7">
                  <c:v>0.11091158993578973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E9DF-4FAA-ACE5-EAB789CE94CF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949103011608086E-3"/>
          <c:y val="5.9026811946768017E-2"/>
          <c:w val="0.32241032370953632"/>
          <c:h val="0.94097331583552057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Struktura</a:t>
            </a:r>
            <a:r>
              <a:rPr lang="sr-Latn-RS" baseline="0"/>
              <a:t> Nabavke</a:t>
            </a:r>
          </a:p>
        </c:rich>
      </c:tx>
      <c:layout>
        <c:manualLayout>
          <c:xMode val="edge"/>
          <c:yMode val="edge"/>
          <c:x val="0.25155275590551179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Kalkulacija!$B$3</c:f>
              <c:strCache>
                <c:ptCount val="1"/>
                <c:pt idx="0">
                  <c:v>Kupljeno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B71-44BA-BAA9-D5F8BB6CA029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B71-44BA-BAA9-D5F8BB6CA029}"/>
              </c:ext>
            </c:extLst>
          </c:dPt>
          <c:dPt>
            <c:idx val="2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B71-44BA-BAA9-D5F8BB6CA02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B71-44BA-BAA9-D5F8BB6CA029}"/>
              </c:ext>
            </c:extLst>
          </c:dPt>
          <c:dPt>
            <c:idx val="4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B71-44BA-BAA9-D5F8BB6CA029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B71-44BA-BAA9-D5F8BB6CA0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Kalkulacija!$A$4:$A$9</c:f>
              <c:strCache>
                <c:ptCount val="6"/>
                <c:pt idx="0">
                  <c:v>Malina</c:v>
                </c:pt>
                <c:pt idx="1">
                  <c:v>Kupina</c:v>
                </c:pt>
                <c:pt idx="2">
                  <c:v>Kupina Sl</c:v>
                </c:pt>
                <c:pt idx="3">
                  <c:v>Šljiva</c:v>
                </c:pt>
                <c:pt idx="4">
                  <c:v>Višnja</c:v>
                </c:pt>
                <c:pt idx="5">
                  <c:v>Usluga</c:v>
                </c:pt>
              </c:strCache>
            </c:strRef>
          </c:cat>
          <c:val>
            <c:numRef>
              <c:f>Kalkulacija!$B$4:$B$9</c:f>
              <c:numCache>
                <c:formatCode>#,##0.00</c:formatCode>
                <c:ptCount val="6"/>
                <c:pt idx="0">
                  <c:v>165147</c:v>
                </c:pt>
                <c:pt idx="1">
                  <c:v>14</c:v>
                </c:pt>
                <c:pt idx="2">
                  <c:v>9</c:v>
                </c:pt>
                <c:pt idx="3">
                  <c:v>12</c:v>
                </c:pt>
                <c:pt idx="4">
                  <c:v>1458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B71-44BA-BAA9-D5F8BB6CA029}"/>
            </c:ext>
          </c:extLst>
        </c:ser>
        <c:ser>
          <c:idx val="1"/>
          <c:order val="1"/>
          <c:tx>
            <c:strRef>
              <c:f>Kalkulacija!$C$3</c:f>
              <c:strCache>
                <c:ptCount val="1"/>
                <c:pt idx="0">
                  <c:v>Prodato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5B71-44BA-BAA9-D5F8BB6CA0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5B71-44BA-BAA9-D5F8BB6CA02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5B71-44BA-BAA9-D5F8BB6CA02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5B71-44BA-BAA9-D5F8BB6CA02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5B71-44BA-BAA9-D5F8BB6CA02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8-5B71-44BA-BAA9-D5F8BB6CA0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Kalkulacija!$A$4:$A$9</c:f>
              <c:strCache>
                <c:ptCount val="6"/>
                <c:pt idx="0">
                  <c:v>Malina</c:v>
                </c:pt>
                <c:pt idx="1">
                  <c:v>Kupina</c:v>
                </c:pt>
                <c:pt idx="2">
                  <c:v>Kupina Sl</c:v>
                </c:pt>
                <c:pt idx="3">
                  <c:v>Šljiva</c:v>
                </c:pt>
                <c:pt idx="4">
                  <c:v>Višnja</c:v>
                </c:pt>
                <c:pt idx="5">
                  <c:v>Usluga</c:v>
                </c:pt>
              </c:strCache>
            </c:strRef>
          </c:cat>
          <c:val>
            <c:numRef>
              <c:f>Kalkulacija!$C$4:$C$9</c:f>
              <c:numCache>
                <c:formatCode>#,##0.00</c:formatCode>
                <c:ptCount val="6"/>
                <c:pt idx="0">
                  <c:v>6</c:v>
                </c:pt>
                <c:pt idx="1">
                  <c:v>5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B71-44BA-BAA9-D5F8BB6CA029}"/>
            </c:ext>
          </c:extLst>
        </c:ser>
        <c:ser>
          <c:idx val="2"/>
          <c:order val="2"/>
          <c:tx>
            <c:strRef>
              <c:f>Kalkulacija!$D$3</c:f>
              <c:strCache>
                <c:ptCount val="1"/>
                <c:pt idx="0">
                  <c:v>Na zalihama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5B71-44BA-BAA9-D5F8BB6CA0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5B71-44BA-BAA9-D5F8BB6CA02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5B71-44BA-BAA9-D5F8BB6CA02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5B71-44BA-BAA9-D5F8BB6CA02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5B71-44BA-BAA9-D5F8BB6CA02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5B71-44BA-BAA9-D5F8BB6CA0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Kalkulacija!$A$4:$A$9</c:f>
              <c:strCache>
                <c:ptCount val="6"/>
                <c:pt idx="0">
                  <c:v>Malina</c:v>
                </c:pt>
                <c:pt idx="1">
                  <c:v>Kupina</c:v>
                </c:pt>
                <c:pt idx="2">
                  <c:v>Kupina Sl</c:v>
                </c:pt>
                <c:pt idx="3">
                  <c:v>Šljiva</c:v>
                </c:pt>
                <c:pt idx="4">
                  <c:v>Višnja</c:v>
                </c:pt>
                <c:pt idx="5">
                  <c:v>Usluga</c:v>
                </c:pt>
              </c:strCache>
            </c:strRef>
          </c:cat>
          <c:val>
            <c:numRef>
              <c:f>Kalkulacija!$D$4:$D$9</c:f>
              <c:numCache>
                <c:formatCode>#,##0.00</c:formatCode>
                <c:ptCount val="6"/>
                <c:pt idx="0">
                  <c:v>161840.35999999999</c:v>
                </c:pt>
                <c:pt idx="1">
                  <c:v>9</c:v>
                </c:pt>
                <c:pt idx="2">
                  <c:v>6.82</c:v>
                </c:pt>
                <c:pt idx="3">
                  <c:v>4.6000000000000005</c:v>
                </c:pt>
                <c:pt idx="4">
                  <c:v>1395.9199999999998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5B71-44BA-BAA9-D5F8BB6CA029}"/>
            </c:ext>
          </c:extLst>
        </c:ser>
        <c:ser>
          <c:idx val="3"/>
          <c:order val="3"/>
          <c:tx>
            <c:strRef>
              <c:f>Kalkulacija!$E$3</c:f>
              <c:strCache>
                <c:ptCount val="1"/>
                <c:pt idx="0">
                  <c:v>Kalo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8-5B71-44BA-BAA9-D5F8BB6CA0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A-5B71-44BA-BAA9-D5F8BB6CA02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C-5B71-44BA-BAA9-D5F8BB6CA02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E-5B71-44BA-BAA9-D5F8BB6CA02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0-5B71-44BA-BAA9-D5F8BB6CA02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2-5B71-44BA-BAA9-D5F8BB6CA0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Kalkulacija!$A$4:$A$9</c:f>
              <c:strCache>
                <c:ptCount val="6"/>
                <c:pt idx="0">
                  <c:v>Malina</c:v>
                </c:pt>
                <c:pt idx="1">
                  <c:v>Kupina</c:v>
                </c:pt>
                <c:pt idx="2">
                  <c:v>Kupina Sl</c:v>
                </c:pt>
                <c:pt idx="3">
                  <c:v>Šljiva</c:v>
                </c:pt>
                <c:pt idx="4">
                  <c:v>Višnja</c:v>
                </c:pt>
                <c:pt idx="5">
                  <c:v>Usluga</c:v>
                </c:pt>
              </c:strCache>
            </c:strRef>
          </c:cat>
          <c:val>
            <c:numRef>
              <c:f>Kalkulacija!$E$4:$E$9</c:f>
              <c:numCache>
                <c:formatCode>#,##0.00</c:formatCode>
                <c:ptCount val="6"/>
                <c:pt idx="0">
                  <c:v>3302.64</c:v>
                </c:pt>
                <c:pt idx="1">
                  <c:v>0</c:v>
                </c:pt>
                <c:pt idx="2">
                  <c:v>0.18</c:v>
                </c:pt>
                <c:pt idx="3">
                  <c:v>0.4</c:v>
                </c:pt>
                <c:pt idx="4">
                  <c:v>58.08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5B71-44BA-BAA9-D5F8BB6CA029}"/>
            </c:ext>
          </c:extLst>
        </c:ser>
        <c:ser>
          <c:idx val="4"/>
          <c:order val="4"/>
          <c:tx>
            <c:strRef>
              <c:f>Kalkulacija!$F$3</c:f>
              <c:strCache>
                <c:ptCount val="1"/>
                <c:pt idx="0">
                  <c:v>Prosecna cena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94D2-43C0-8CD0-AFD593F54E1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94D2-43C0-8CD0-AFD593F54E1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94D2-43C0-8CD0-AFD593F54E1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94D2-43C0-8CD0-AFD593F54E1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94D2-43C0-8CD0-AFD593F54E1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94D2-43C0-8CD0-AFD593F54E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Kalkulacija!$A$4:$A$9</c:f>
              <c:strCache>
                <c:ptCount val="6"/>
                <c:pt idx="0">
                  <c:v>Malina</c:v>
                </c:pt>
                <c:pt idx="1">
                  <c:v>Kupina</c:v>
                </c:pt>
                <c:pt idx="2">
                  <c:v>Kupina Sl</c:v>
                </c:pt>
                <c:pt idx="3">
                  <c:v>Šljiva</c:v>
                </c:pt>
                <c:pt idx="4">
                  <c:v>Višnja</c:v>
                </c:pt>
                <c:pt idx="5">
                  <c:v>Usluga</c:v>
                </c:pt>
              </c:strCache>
            </c:strRef>
          </c:cat>
          <c:val>
            <c:numRef>
              <c:f>Kalkulacija!$F$4:$F$9</c:f>
              <c:numCache>
                <c:formatCode>#,##0.00</c:formatCode>
                <c:ptCount val="6"/>
                <c:pt idx="0">
                  <c:v>435.32840750884765</c:v>
                </c:pt>
                <c:pt idx="1">
                  <c:v>1</c:v>
                </c:pt>
                <c:pt idx="2">
                  <c:v>0.83333333333333337</c:v>
                </c:pt>
                <c:pt idx="3">
                  <c:v>0.75</c:v>
                </c:pt>
                <c:pt idx="4">
                  <c:v>6.8870523415977963E-4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94D2-43C0-8CD0-AFD593F54E1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r-Latn-RS"/>
              <a:t>Struktura</a:t>
            </a:r>
            <a:r>
              <a:rPr lang="sr-Latn-RS" baseline="0"/>
              <a:t> Lagera</a:t>
            </a:r>
          </a:p>
        </c:rich>
      </c:tx>
      <c:layout>
        <c:manualLayout>
          <c:xMode val="edge"/>
          <c:yMode val="edge"/>
          <c:x val="0.25010356042451221"/>
          <c:y val="2.77776527934008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7FA-4267-B98D-0DDB5EF90F70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7FA-4267-B98D-0DDB5EF90F70}"/>
              </c:ext>
            </c:extLst>
          </c:dPt>
          <c:dPt>
            <c:idx val="2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7FA-4267-B98D-0DDB5EF90F7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7FA-4267-B98D-0DDB5EF90F70}"/>
              </c:ext>
            </c:extLst>
          </c:dPt>
          <c:dPt>
            <c:idx val="4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7FA-4267-B98D-0DDB5EF90F70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7FA-4267-B98D-0DDB5EF90F7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Kalkulacija!$A$4:$A$9</c:f>
              <c:strCache>
                <c:ptCount val="6"/>
                <c:pt idx="0">
                  <c:v>Malina</c:v>
                </c:pt>
                <c:pt idx="1">
                  <c:v>Kupina</c:v>
                </c:pt>
                <c:pt idx="2">
                  <c:v>Kupina Sl</c:v>
                </c:pt>
                <c:pt idx="3">
                  <c:v>Šljiva</c:v>
                </c:pt>
                <c:pt idx="4">
                  <c:v>Višnja</c:v>
                </c:pt>
                <c:pt idx="5">
                  <c:v>Usluga</c:v>
                </c:pt>
              </c:strCache>
            </c:strRef>
          </c:cat>
          <c:val>
            <c:numRef>
              <c:f>Kalkulacija!$D$4:$D$9</c:f>
              <c:numCache>
                <c:formatCode>#,##0.00</c:formatCode>
                <c:ptCount val="6"/>
                <c:pt idx="0">
                  <c:v>161840.35999999999</c:v>
                </c:pt>
                <c:pt idx="1">
                  <c:v>9</c:v>
                </c:pt>
                <c:pt idx="2">
                  <c:v>6.82</c:v>
                </c:pt>
                <c:pt idx="3">
                  <c:v>4.6000000000000005</c:v>
                </c:pt>
                <c:pt idx="4">
                  <c:v>1395.9199999999998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7FA-4267-B98D-0DDB5EF90F70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77FA-4267-B98D-0DDB5EF90F7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77FA-4267-B98D-0DDB5EF90F7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77FA-4267-B98D-0DDB5EF90F7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77FA-4267-B98D-0DDB5EF90F7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77FA-4267-B98D-0DDB5EF90F7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8-77FA-4267-B98D-0DDB5EF90F7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Kalkulacija!$A$4:$A$9</c:f>
              <c:strCache>
                <c:ptCount val="6"/>
                <c:pt idx="0">
                  <c:v>Malina</c:v>
                </c:pt>
                <c:pt idx="1">
                  <c:v>Kupina</c:v>
                </c:pt>
                <c:pt idx="2">
                  <c:v>Kupina Sl</c:v>
                </c:pt>
                <c:pt idx="3">
                  <c:v>Šljiva</c:v>
                </c:pt>
                <c:pt idx="4">
                  <c:v>Višnja</c:v>
                </c:pt>
                <c:pt idx="5">
                  <c:v>Usluga</c:v>
                </c:pt>
              </c:strCache>
            </c:strRef>
          </c:cat>
          <c:val>
            <c:numRef>
              <c:f>Kalkulacija!$C$4:$C$9</c:f>
              <c:numCache>
                <c:formatCode>#,##0.00</c:formatCode>
                <c:ptCount val="6"/>
                <c:pt idx="0">
                  <c:v>6</c:v>
                </c:pt>
                <c:pt idx="1">
                  <c:v>5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7FA-4267-B98D-0DDB5EF90F70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77FA-4267-B98D-0DDB5EF90F7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77FA-4267-B98D-0DDB5EF90F7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77FA-4267-B98D-0DDB5EF90F7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77FA-4267-B98D-0DDB5EF90F7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77FA-4267-B98D-0DDB5EF90F7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77FA-4267-B98D-0DDB5EF90F7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Kalkulacija!$A$4:$A$9</c:f>
              <c:strCache>
                <c:ptCount val="6"/>
                <c:pt idx="0">
                  <c:v>Malina</c:v>
                </c:pt>
                <c:pt idx="1">
                  <c:v>Kupina</c:v>
                </c:pt>
                <c:pt idx="2">
                  <c:v>Kupina Sl</c:v>
                </c:pt>
                <c:pt idx="3">
                  <c:v>Šljiva</c:v>
                </c:pt>
                <c:pt idx="4">
                  <c:v>Višnja</c:v>
                </c:pt>
                <c:pt idx="5">
                  <c:v>Usluga</c:v>
                </c:pt>
              </c:strCache>
            </c:strRef>
          </c:cat>
          <c:val>
            <c:numRef>
              <c:f>Kalkulacija!$D$4:$D$9</c:f>
              <c:numCache>
                <c:formatCode>#,##0.00</c:formatCode>
                <c:ptCount val="6"/>
                <c:pt idx="0">
                  <c:v>161840.35999999999</c:v>
                </c:pt>
                <c:pt idx="1">
                  <c:v>9</c:v>
                </c:pt>
                <c:pt idx="2">
                  <c:v>6.82</c:v>
                </c:pt>
                <c:pt idx="3">
                  <c:v>4.6000000000000005</c:v>
                </c:pt>
                <c:pt idx="4">
                  <c:v>1395.9199999999998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77FA-4267-B98D-0DDB5EF90F70}"/>
            </c:ext>
          </c:extLst>
        </c:ser>
        <c:ser>
          <c:idx val="3"/>
          <c:order val="3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8-77FA-4267-B98D-0DDB5EF90F7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A-77FA-4267-B98D-0DDB5EF90F7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C-77FA-4267-B98D-0DDB5EF90F7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E-77FA-4267-B98D-0DDB5EF90F7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0-77FA-4267-B98D-0DDB5EF90F7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2-77FA-4267-B98D-0DDB5EF90F7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Kalkulacija!$A$4:$A$9</c:f>
              <c:strCache>
                <c:ptCount val="6"/>
                <c:pt idx="0">
                  <c:v>Malina</c:v>
                </c:pt>
                <c:pt idx="1">
                  <c:v>Kupina</c:v>
                </c:pt>
                <c:pt idx="2">
                  <c:v>Kupina Sl</c:v>
                </c:pt>
                <c:pt idx="3">
                  <c:v>Šljiva</c:v>
                </c:pt>
                <c:pt idx="4">
                  <c:v>Višnja</c:v>
                </c:pt>
                <c:pt idx="5">
                  <c:v>Usluga</c:v>
                </c:pt>
              </c:strCache>
            </c:strRef>
          </c:cat>
          <c:val>
            <c:numRef>
              <c:f>Kalkulacija!$E$4:$E$9</c:f>
              <c:numCache>
                <c:formatCode>#,##0.00</c:formatCode>
                <c:ptCount val="6"/>
                <c:pt idx="0">
                  <c:v>3302.64</c:v>
                </c:pt>
                <c:pt idx="1">
                  <c:v>0</c:v>
                </c:pt>
                <c:pt idx="2">
                  <c:v>0.18</c:v>
                </c:pt>
                <c:pt idx="3">
                  <c:v>0.4</c:v>
                </c:pt>
                <c:pt idx="4">
                  <c:v>58.08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77FA-4267-B98D-0DDB5EF90F70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7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chart" Target="../charts/chart10.xml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0</xdr:row>
      <xdr:rowOff>14287</xdr:rowOff>
    </xdr:from>
    <xdr:to>
      <xdr:col>11</xdr:col>
      <xdr:colOff>438150</xdr:colOff>
      <xdr:row>10</xdr:row>
      <xdr:rowOff>9525</xdr:rowOff>
    </xdr:to>
    <xdr:graphicFrame macro="">
      <xdr:nvGraphicFramePr>
        <xdr:cNvPr id="3" name="Grafiko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419099</xdr:colOff>
      <xdr:row>35</xdr:row>
      <xdr:rowOff>47625</xdr:rowOff>
    </xdr:from>
    <xdr:to>
      <xdr:col>14</xdr:col>
      <xdr:colOff>133350</xdr:colOff>
      <xdr:row>49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EEC23C-4897-C79B-564E-6FA573E119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71436</xdr:colOff>
      <xdr:row>17</xdr:row>
      <xdr:rowOff>185736</xdr:rowOff>
    </xdr:from>
    <xdr:to>
      <xdr:col>11</xdr:col>
      <xdr:colOff>342899</xdr:colOff>
      <xdr:row>38</xdr:row>
      <xdr:rowOff>0</xdr:rowOff>
    </xdr:to>
    <xdr:graphicFrame macro="">
      <xdr:nvGraphicFramePr>
        <xdr:cNvPr id="2" name="Grafiko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342899</xdr:colOff>
      <xdr:row>20</xdr:row>
      <xdr:rowOff>161925</xdr:rowOff>
    </xdr:from>
    <xdr:to>
      <xdr:col>22</xdr:col>
      <xdr:colOff>438149</xdr:colOff>
      <xdr:row>35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C6F860-0A65-C8FA-2DAD-42B60D677D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1085850</xdr:colOff>
      <xdr:row>12</xdr:row>
      <xdr:rowOff>138112</xdr:rowOff>
    </xdr:from>
    <xdr:to>
      <xdr:col>14</xdr:col>
      <xdr:colOff>528637</xdr:colOff>
      <xdr:row>29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7727B04-C4C7-416C-8491-0EDC07C46B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452437</xdr:colOff>
      <xdr:row>0</xdr:row>
      <xdr:rowOff>185737</xdr:rowOff>
    </xdr:from>
    <xdr:to>
      <xdr:col>12</xdr:col>
      <xdr:colOff>0</xdr:colOff>
      <xdr:row>9</xdr:row>
      <xdr:rowOff>9525</xdr:rowOff>
    </xdr:to>
    <xdr:graphicFrame macro="">
      <xdr:nvGraphicFramePr>
        <xdr:cNvPr id="4" name="Grafikon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95250</xdr:colOff>
      <xdr:row>0</xdr:row>
      <xdr:rowOff>180975</xdr:rowOff>
    </xdr:from>
    <xdr:to>
      <xdr:col>19</xdr:col>
      <xdr:colOff>352425</xdr:colOff>
      <xdr:row>9</xdr:row>
      <xdr:rowOff>0</xdr:rowOff>
    </xdr:to>
    <xdr:graphicFrame macro="">
      <xdr:nvGraphicFramePr>
        <xdr:cNvPr id="3" name="Grafiko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438150</xdr:colOff>
      <xdr:row>10</xdr:row>
      <xdr:rowOff>28575</xdr:rowOff>
    </xdr:from>
    <xdr:to>
      <xdr:col>11</xdr:col>
      <xdr:colOff>595313</xdr:colOff>
      <xdr:row>18</xdr:row>
      <xdr:rowOff>0</xdr:rowOff>
    </xdr:to>
    <xdr:graphicFrame macro="">
      <xdr:nvGraphicFramePr>
        <xdr:cNvPr id="5" name="Grafikon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419100</xdr:colOff>
      <xdr:row>18</xdr:row>
      <xdr:rowOff>104776</xdr:rowOff>
    </xdr:from>
    <xdr:to>
      <xdr:col>11</xdr:col>
      <xdr:colOff>590550</xdr:colOff>
      <xdr:row>25</xdr:row>
      <xdr:rowOff>114300</xdr:rowOff>
    </xdr:to>
    <xdr:graphicFrame macro="">
      <xdr:nvGraphicFramePr>
        <xdr:cNvPr id="6" name="Grafikon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438150</xdr:colOff>
      <xdr:row>26</xdr:row>
      <xdr:rowOff>85726</xdr:rowOff>
    </xdr:from>
    <xdr:to>
      <xdr:col>11</xdr:col>
      <xdr:colOff>595313</xdr:colOff>
      <xdr:row>32</xdr:row>
      <xdr:rowOff>161925</xdr:rowOff>
    </xdr:to>
    <xdr:graphicFrame macro="">
      <xdr:nvGraphicFramePr>
        <xdr:cNvPr id="7" name="Grafikon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438150</xdr:colOff>
      <xdr:row>33</xdr:row>
      <xdr:rowOff>66676</xdr:rowOff>
    </xdr:from>
    <xdr:to>
      <xdr:col>11</xdr:col>
      <xdr:colOff>595313</xdr:colOff>
      <xdr:row>39</xdr:row>
      <xdr:rowOff>171451</xdr:rowOff>
    </xdr:to>
    <xdr:graphicFrame macro="">
      <xdr:nvGraphicFramePr>
        <xdr:cNvPr id="8" name="Grafikon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381000</xdr:colOff>
      <xdr:row>41</xdr:row>
      <xdr:rowOff>66675</xdr:rowOff>
    </xdr:from>
    <xdr:to>
      <xdr:col>11</xdr:col>
      <xdr:colOff>600075</xdr:colOff>
      <xdr:row>49</xdr:row>
      <xdr:rowOff>90488</xdr:rowOff>
    </xdr:to>
    <xdr:graphicFrame macro="">
      <xdr:nvGraphicFramePr>
        <xdr:cNvPr id="9" name="Grafikon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123264</xdr:colOff>
      <xdr:row>10</xdr:row>
      <xdr:rowOff>22412</xdr:rowOff>
    </xdr:from>
    <xdr:to>
      <xdr:col>19</xdr:col>
      <xdr:colOff>346822</xdr:colOff>
      <xdr:row>17</xdr:row>
      <xdr:rowOff>179295</xdr:rowOff>
    </xdr:to>
    <xdr:graphicFrame macro="">
      <xdr:nvGraphicFramePr>
        <xdr:cNvPr id="11" name="Grafikon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112059</xdr:colOff>
      <xdr:row>18</xdr:row>
      <xdr:rowOff>67235</xdr:rowOff>
    </xdr:from>
    <xdr:to>
      <xdr:col>19</xdr:col>
      <xdr:colOff>369234</xdr:colOff>
      <xdr:row>25</xdr:row>
      <xdr:rowOff>112058</xdr:rowOff>
    </xdr:to>
    <xdr:graphicFrame macro="">
      <xdr:nvGraphicFramePr>
        <xdr:cNvPr id="15" name="Grafikon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112059</xdr:colOff>
      <xdr:row>26</xdr:row>
      <xdr:rowOff>44824</xdr:rowOff>
    </xdr:from>
    <xdr:to>
      <xdr:col>19</xdr:col>
      <xdr:colOff>369234</xdr:colOff>
      <xdr:row>33</xdr:row>
      <xdr:rowOff>22412</xdr:rowOff>
    </xdr:to>
    <xdr:graphicFrame macro="">
      <xdr:nvGraphicFramePr>
        <xdr:cNvPr id="16" name="Grafikon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123265</xdr:colOff>
      <xdr:row>33</xdr:row>
      <xdr:rowOff>56029</xdr:rowOff>
    </xdr:from>
    <xdr:to>
      <xdr:col>19</xdr:col>
      <xdr:colOff>380440</xdr:colOff>
      <xdr:row>40</xdr:row>
      <xdr:rowOff>100852</xdr:rowOff>
    </xdr:to>
    <xdr:graphicFrame macro="">
      <xdr:nvGraphicFramePr>
        <xdr:cNvPr id="17" name="Grafikon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112059</xdr:colOff>
      <xdr:row>41</xdr:row>
      <xdr:rowOff>33618</xdr:rowOff>
    </xdr:from>
    <xdr:to>
      <xdr:col>19</xdr:col>
      <xdr:colOff>335617</xdr:colOff>
      <xdr:row>49</xdr:row>
      <xdr:rowOff>156883</xdr:rowOff>
    </xdr:to>
    <xdr:graphicFrame macro="">
      <xdr:nvGraphicFramePr>
        <xdr:cNvPr id="18" name="Grafikon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600074</xdr:colOff>
      <xdr:row>11</xdr:row>
      <xdr:rowOff>138111</xdr:rowOff>
    </xdr:from>
    <xdr:to>
      <xdr:col>17</xdr:col>
      <xdr:colOff>76199</xdr:colOff>
      <xdr:row>28</xdr:row>
      <xdr:rowOff>28575</xdr:rowOff>
    </xdr:to>
    <xdr:graphicFrame macro="">
      <xdr:nvGraphicFramePr>
        <xdr:cNvPr id="3" name="Grafikon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19</xdr:row>
      <xdr:rowOff>157162</xdr:rowOff>
    </xdr:from>
    <xdr:to>
      <xdr:col>3</xdr:col>
      <xdr:colOff>114300</xdr:colOff>
      <xdr:row>34</xdr:row>
      <xdr:rowOff>42862</xdr:rowOff>
    </xdr:to>
    <xdr:graphicFrame macro="">
      <xdr:nvGraphicFramePr>
        <xdr:cNvPr id="4" name="Grafikon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133350</xdr:colOff>
      <xdr:row>19</xdr:row>
      <xdr:rowOff>152400</xdr:rowOff>
    </xdr:from>
    <xdr:to>
      <xdr:col>6</xdr:col>
      <xdr:colOff>552450</xdr:colOff>
      <xdr:row>34</xdr:row>
      <xdr:rowOff>57150</xdr:rowOff>
    </xdr:to>
    <xdr:graphicFrame macro="">
      <xdr:nvGraphicFramePr>
        <xdr:cNvPr id="7" name="Grafikon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ovak Tadić" refreshedDate="46193.436641203705" createdVersion="7" refreshedVersion="8" minRefreshableVersion="3" recordCount="265" xr:uid="{00000000-000A-0000-FFFF-FFFF00000000}">
  <cacheSource type="worksheet">
    <worksheetSource name="Baza"/>
  </cacheSource>
  <cacheFields count="48">
    <cacheField name="š" numFmtId="0">
      <sharedItems containsSemiMixedTypes="0" containsString="0" containsNumber="1" containsInteger="1" minValue="1" maxValue="2059" count="205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 u="1"/>
        <n v="267" u="1"/>
        <n v="268" u="1"/>
        <n v="269" u="1"/>
        <n v="270" u="1"/>
        <n v="271" u="1"/>
        <n v="272" u="1"/>
        <n v="273" u="1"/>
        <n v="274" u="1"/>
        <n v="275" u="1"/>
        <n v="276" u="1"/>
        <n v="277" u="1"/>
        <n v="278" u="1"/>
        <n v="279" u="1"/>
        <n v="280" u="1"/>
        <n v="281" u="1"/>
        <n v="282" u="1"/>
        <n v="283" u="1"/>
        <n v="284" u="1"/>
        <n v="285" u="1"/>
        <n v="286" u="1"/>
        <n v="287" u="1"/>
        <n v="288" u="1"/>
        <n v="289" u="1"/>
        <n v="290" u="1"/>
        <n v="291" u="1"/>
        <n v="292" u="1"/>
        <n v="293" u="1"/>
        <n v="294" u="1"/>
        <n v="295" u="1"/>
        <n v="296" u="1"/>
        <n v="297" u="1"/>
        <n v="298" u="1"/>
        <n v="299" u="1"/>
        <n v="300" u="1"/>
        <n v="301" u="1"/>
        <n v="302" u="1"/>
        <n v="303" u="1"/>
        <n v="304" u="1"/>
        <n v="305" u="1"/>
        <n v="306" u="1"/>
        <n v="307" u="1"/>
        <n v="308" u="1"/>
        <n v="309" u="1"/>
        <n v="310" u="1"/>
        <n v="311" u="1"/>
        <n v="312" u="1"/>
        <n v="313" u="1"/>
        <n v="314" u="1"/>
        <n v="315" u="1"/>
        <n v="316" u="1"/>
        <n v="317" u="1"/>
        <n v="318" u="1"/>
        <n v="319" u="1"/>
        <n v="320" u="1"/>
        <n v="321" u="1"/>
        <n v="322" u="1"/>
        <n v="323" u="1"/>
        <n v="324" u="1"/>
        <n v="325" u="1"/>
        <n v="326" u="1"/>
        <n v="327" u="1"/>
        <n v="328" u="1"/>
        <n v="329" u="1"/>
        <n v="330" u="1"/>
        <n v="331" u="1"/>
        <n v="332" u="1"/>
        <n v="333" u="1"/>
        <n v="334" u="1"/>
        <n v="335" u="1"/>
        <n v="336" u="1"/>
        <n v="337" u="1"/>
        <n v="338" u="1"/>
        <n v="339" u="1"/>
        <n v="340" u="1"/>
        <n v="341" u="1"/>
        <n v="342" u="1"/>
        <n v="343" u="1"/>
        <n v="344" u="1"/>
        <n v="345" u="1"/>
        <n v="346" u="1"/>
        <n v="347" u="1"/>
        <n v="348" u="1"/>
        <n v="349" u="1"/>
        <n v="350" u="1"/>
        <n v="351" u="1"/>
        <n v="352" u="1"/>
        <n v="353" u="1"/>
        <n v="354" u="1"/>
        <n v="355" u="1"/>
        <n v="356" u="1"/>
        <n v="357" u="1"/>
        <n v="358" u="1"/>
        <n v="359" u="1"/>
        <n v="360" u="1"/>
        <n v="361" u="1"/>
        <n v="362" u="1"/>
        <n v="363" u="1"/>
        <n v="364" u="1"/>
        <n v="365" u="1"/>
        <n v="366" u="1"/>
        <n v="367" u="1"/>
        <n v="368" u="1"/>
        <n v="369" u="1"/>
        <n v="370" u="1"/>
        <n v="371" u="1"/>
        <n v="372" u="1"/>
        <n v="373" u="1"/>
        <n v="374" u="1"/>
        <n v="375" u="1"/>
        <n v="376" u="1"/>
        <n v="377" u="1"/>
        <n v="378" u="1"/>
        <n v="379" u="1"/>
        <n v="380" u="1"/>
        <n v="381" u="1"/>
        <n v="382" u="1"/>
        <n v="383" u="1"/>
        <n v="384" u="1"/>
        <n v="385" u="1"/>
        <n v="386" u="1"/>
        <n v="387" u="1"/>
        <n v="388" u="1"/>
        <n v="389" u="1"/>
        <n v="390" u="1"/>
        <n v="391" u="1"/>
        <n v="392" u="1"/>
        <n v="393" u="1"/>
        <n v="394" u="1"/>
        <n v="395" u="1"/>
        <n v="396" u="1"/>
        <n v="397" u="1"/>
        <n v="398" u="1"/>
        <n v="399" u="1"/>
        <n v="400" u="1"/>
        <n v="401" u="1"/>
        <n v="402" u="1"/>
        <n v="403" u="1"/>
        <n v="404" u="1"/>
        <n v="405" u="1"/>
        <n v="406" u="1"/>
        <n v="407" u="1"/>
        <n v="408" u="1"/>
        <n v="409" u="1"/>
        <n v="410" u="1"/>
        <n v="411" u="1"/>
        <n v="412" u="1"/>
        <n v="413" u="1"/>
        <n v="414" u="1"/>
        <n v="415" u="1"/>
        <n v="416" u="1"/>
        <n v="417" u="1"/>
        <n v="418" u="1"/>
        <n v="419" u="1"/>
        <n v="420" u="1"/>
        <n v="421" u="1"/>
        <n v="422" u="1"/>
        <n v="423" u="1"/>
        <n v="424" u="1"/>
        <n v="425" u="1"/>
        <n v="426" u="1"/>
        <n v="427" u="1"/>
        <n v="428" u="1"/>
        <n v="429" u="1"/>
        <n v="430" u="1"/>
        <n v="431" u="1"/>
        <n v="432" u="1"/>
        <n v="433" u="1"/>
        <n v="434" u="1"/>
        <n v="435" u="1"/>
        <n v="436" u="1"/>
        <n v="437" u="1"/>
        <n v="438" u="1"/>
        <n v="439" u="1"/>
        <n v="440" u="1"/>
        <n v="441" u="1"/>
        <n v="442" u="1"/>
        <n v="443" u="1"/>
        <n v="444" u="1"/>
        <n v="445" u="1"/>
        <n v="446" u="1"/>
        <n v="447" u="1"/>
        <n v="448" u="1"/>
        <n v="449" u="1"/>
        <n v="450" u="1"/>
        <n v="451" u="1"/>
        <n v="452" u="1"/>
        <n v="453" u="1"/>
        <n v="454" u="1"/>
        <n v="455" u="1"/>
        <n v="456" u="1"/>
        <n v="457" u="1"/>
        <n v="458" u="1"/>
        <n v="459" u="1"/>
        <n v="460" u="1"/>
        <n v="461" u="1"/>
        <n v="462" u="1"/>
        <n v="463" u="1"/>
        <n v="464" u="1"/>
        <n v="465" u="1"/>
        <n v="466" u="1"/>
        <n v="467" u="1"/>
        <n v="468" u="1"/>
        <n v="469" u="1"/>
        <n v="470" u="1"/>
        <n v="471" u="1"/>
        <n v="472" u="1"/>
        <n v="473" u="1"/>
        <n v="474" u="1"/>
        <n v="475" u="1"/>
        <n v="476" u="1"/>
        <n v="477" u="1"/>
        <n v="478" u="1"/>
        <n v="479" u="1"/>
        <n v="480" u="1"/>
        <n v="481" u="1"/>
        <n v="482" u="1"/>
        <n v="483" u="1"/>
        <n v="484" u="1"/>
        <n v="485" u="1"/>
        <n v="486" u="1"/>
        <n v="487" u="1"/>
        <n v="488" u="1"/>
        <n v="489" u="1"/>
        <n v="490" u="1"/>
        <n v="491" u="1"/>
        <n v="492" u="1"/>
        <n v="493" u="1"/>
        <n v="494" u="1"/>
        <n v="495" u="1"/>
        <n v="496" u="1"/>
        <n v="497" u="1"/>
        <n v="498" u="1"/>
        <n v="499" u="1"/>
        <n v="500" u="1"/>
        <n v="501" u="1"/>
        <n v="502" u="1"/>
        <n v="503" u="1"/>
        <n v="504" u="1"/>
        <n v="505" u="1"/>
        <n v="506" u="1"/>
        <n v="507" u="1"/>
        <n v="508" u="1"/>
        <n v="509" u="1"/>
        <n v="510" u="1"/>
        <n v="511" u="1"/>
        <n v="512" u="1"/>
        <n v="513" u="1"/>
        <n v="514" u="1"/>
        <n v="515" u="1"/>
        <n v="516" u="1"/>
        <n v="517" u="1"/>
        <n v="518" u="1"/>
        <n v="519" u="1"/>
        <n v="520" u="1"/>
        <n v="521" u="1"/>
        <n v="522" u="1"/>
        <n v="523" u="1"/>
        <n v="524" u="1"/>
        <n v="525" u="1"/>
        <n v="526" u="1"/>
        <n v="527" u="1"/>
        <n v="528" u="1"/>
        <n v="529" u="1"/>
        <n v="530" u="1"/>
        <n v="531" u="1"/>
        <n v="532" u="1"/>
        <n v="533" u="1"/>
        <n v="534" u="1"/>
        <n v="535" u="1"/>
        <n v="536" u="1"/>
        <n v="537" u="1"/>
        <n v="538" u="1"/>
        <n v="539" u="1"/>
        <n v="540" u="1"/>
        <n v="541" u="1"/>
        <n v="542" u="1"/>
        <n v="543" u="1"/>
        <n v="544" u="1"/>
        <n v="545" u="1"/>
        <n v="546" u="1"/>
        <n v="547" u="1"/>
        <n v="548" u="1"/>
        <n v="549" u="1"/>
        <n v="550" u="1"/>
        <n v="551" u="1"/>
        <n v="552" u="1"/>
        <n v="553" u="1"/>
        <n v="554" u="1"/>
        <n v="555" u="1"/>
        <n v="556" u="1"/>
        <n v="557" u="1"/>
        <n v="558" u="1"/>
        <n v="559" u="1"/>
        <n v="560" u="1"/>
        <n v="561" u="1"/>
        <n v="562" u="1"/>
        <n v="563" u="1"/>
        <n v="564" u="1"/>
        <n v="565" u="1"/>
        <n v="566" u="1"/>
        <n v="567" u="1"/>
        <n v="568" u="1"/>
        <n v="569" u="1"/>
        <n v="570" u="1"/>
        <n v="571" u="1"/>
        <n v="572" u="1"/>
        <n v="573" u="1"/>
        <n v="574" u="1"/>
        <n v="575" u="1"/>
        <n v="576" u="1"/>
        <n v="577" u="1"/>
        <n v="578" u="1"/>
        <n v="579" u="1"/>
        <n v="580" u="1"/>
        <n v="581" u="1"/>
        <n v="582" u="1"/>
        <n v="583" u="1"/>
        <n v="584" u="1"/>
        <n v="585" u="1"/>
        <n v="586" u="1"/>
        <n v="587" u="1"/>
        <n v="588" u="1"/>
        <n v="589" u="1"/>
        <n v="590" u="1"/>
        <n v="591" u="1"/>
        <n v="592" u="1"/>
        <n v="593" u="1"/>
        <n v="594" u="1"/>
        <n v="595" u="1"/>
        <n v="596" u="1"/>
        <n v="597" u="1"/>
        <n v="598" u="1"/>
        <n v="599" u="1"/>
        <n v="600" u="1"/>
        <n v="601" u="1"/>
        <n v="602" u="1"/>
        <n v="603" u="1"/>
        <n v="604" u="1"/>
        <n v="605" u="1"/>
        <n v="606" u="1"/>
        <n v="607" u="1"/>
        <n v="608" u="1"/>
        <n v="609" u="1"/>
        <n v="610" u="1"/>
        <n v="611" u="1"/>
        <n v="612" u="1"/>
        <n v="613" u="1"/>
        <n v="614" u="1"/>
        <n v="615" u="1"/>
        <n v="616" u="1"/>
        <n v="617" u="1"/>
        <n v="618" u="1"/>
        <n v="619" u="1"/>
        <n v="620" u="1"/>
        <n v="621" u="1"/>
        <n v="622" u="1"/>
        <n v="623" u="1"/>
        <n v="624" u="1"/>
        <n v="625" u="1"/>
        <n v="626" u="1"/>
        <n v="627" u="1"/>
        <n v="628" u="1"/>
        <n v="629" u="1"/>
        <n v="630" u="1"/>
        <n v="631" u="1"/>
        <n v="632" u="1"/>
        <n v="633" u="1"/>
        <n v="634" u="1"/>
        <n v="635" u="1"/>
        <n v="636" u="1"/>
        <n v="637" u="1"/>
        <n v="638" u="1"/>
        <n v="639" u="1"/>
        <n v="640" u="1"/>
        <n v="641" u="1"/>
        <n v="642" u="1"/>
        <n v="643" u="1"/>
        <n v="644" u="1"/>
        <n v="645" u="1"/>
        <n v="646" u="1"/>
        <n v="647" u="1"/>
        <n v="648" u="1"/>
        <n v="649" u="1"/>
        <n v="650" u="1"/>
        <n v="651" u="1"/>
        <n v="652" u="1"/>
        <n v="653" u="1"/>
        <n v="654" u="1"/>
        <n v="655" u="1"/>
        <n v="656" u="1"/>
        <n v="657" u="1"/>
        <n v="658" u="1"/>
        <n v="659" u="1"/>
        <n v="660" u="1"/>
        <n v="661" u="1"/>
        <n v="662" u="1"/>
        <n v="663" u="1"/>
        <n v="664" u="1"/>
        <n v="665" u="1"/>
        <n v="666" u="1"/>
        <n v="667" u="1"/>
        <n v="668" u="1"/>
        <n v="669" u="1"/>
        <n v="670" u="1"/>
        <n v="671" u="1"/>
        <n v="672" u="1"/>
        <n v="673" u="1"/>
        <n v="674" u="1"/>
        <n v="675" u="1"/>
        <n v="676" u="1"/>
        <n v="677" u="1"/>
        <n v="678" u="1"/>
        <n v="679" u="1"/>
        <n v="680" u="1"/>
        <n v="681" u="1"/>
        <n v="682" u="1"/>
        <n v="683" u="1"/>
        <n v="684" u="1"/>
        <n v="685" u="1"/>
        <n v="686" u="1"/>
        <n v="687" u="1"/>
        <n v="688" u="1"/>
        <n v="689" u="1"/>
        <n v="690" u="1"/>
        <n v="691" u="1"/>
        <n v="692" u="1"/>
        <n v="693" u="1"/>
        <n v="694" u="1"/>
        <n v="695" u="1"/>
        <n v="696" u="1"/>
        <n v="697" u="1"/>
        <n v="698" u="1"/>
        <n v="699" u="1"/>
        <n v="700" u="1"/>
        <n v="701" u="1"/>
        <n v="702" u="1"/>
        <n v="703" u="1"/>
        <n v="704" u="1"/>
        <n v="705" u="1"/>
        <n v="706" u="1"/>
        <n v="707" u="1"/>
        <n v="708" u="1"/>
        <n v="709" u="1"/>
        <n v="710" u="1"/>
        <n v="711" u="1"/>
        <n v="712" u="1"/>
        <n v="713" u="1"/>
        <n v="714" u="1"/>
        <n v="715" u="1"/>
        <n v="716" u="1"/>
        <n v="717" u="1"/>
        <n v="718" u="1"/>
        <n v="719" u="1"/>
        <n v="720" u="1"/>
        <n v="721" u="1"/>
        <n v="722" u="1"/>
        <n v="723" u="1"/>
        <n v="724" u="1"/>
        <n v="725" u="1"/>
        <n v="726" u="1"/>
        <n v="727" u="1"/>
        <n v="728" u="1"/>
        <n v="729" u="1"/>
        <n v="730" u="1"/>
        <n v="731" u="1"/>
        <n v="732" u="1"/>
        <n v="733" u="1"/>
        <n v="734" u="1"/>
        <n v="735" u="1"/>
        <n v="736" u="1"/>
        <n v="737" u="1"/>
        <n v="738" u="1"/>
        <n v="739" u="1"/>
        <n v="740" u="1"/>
        <n v="741" u="1"/>
        <n v="742" u="1"/>
        <n v="743" u="1"/>
        <n v="744" u="1"/>
        <n v="745" u="1"/>
        <n v="746" u="1"/>
        <n v="747" u="1"/>
        <n v="748" u="1"/>
        <n v="749" u="1"/>
        <n v="750" u="1"/>
        <n v="751" u="1"/>
        <n v="752" u="1"/>
        <n v="753" u="1"/>
        <n v="754" u="1"/>
        <n v="755" u="1"/>
        <n v="756" u="1"/>
        <n v="757" u="1"/>
        <n v="758" u="1"/>
        <n v="759" u="1"/>
        <n v="760" u="1"/>
        <n v="761" u="1"/>
        <n v="762" u="1"/>
        <n v="763" u="1"/>
        <n v="764" u="1"/>
        <n v="765" u="1"/>
        <n v="766" u="1"/>
        <n v="767" u="1"/>
        <n v="768" u="1"/>
        <n v="769" u="1"/>
        <n v="770" u="1"/>
        <n v="771" u="1"/>
        <n v="772" u="1"/>
        <n v="773" u="1"/>
        <n v="774" u="1"/>
        <n v="775" u="1"/>
        <n v="776" u="1"/>
        <n v="777" u="1"/>
        <n v="778" u="1"/>
        <n v="779" u="1"/>
        <n v="780" u="1"/>
        <n v="781" u="1"/>
        <n v="782" u="1"/>
        <n v="783" u="1"/>
        <n v="784" u="1"/>
        <n v="785" u="1"/>
        <n v="786" u="1"/>
        <n v="787" u="1"/>
        <n v="788" u="1"/>
        <n v="789" u="1"/>
        <n v="790" u="1"/>
        <n v="791" u="1"/>
        <n v="792" u="1"/>
        <n v="793" u="1"/>
        <n v="794" u="1"/>
        <n v="795" u="1"/>
        <n v="796" u="1"/>
        <n v="797" u="1"/>
        <n v="798" u="1"/>
        <n v="799" u="1"/>
        <n v="800" u="1"/>
        <n v="801" u="1"/>
        <n v="802" u="1"/>
        <n v="803" u="1"/>
        <n v="804" u="1"/>
        <n v="805" u="1"/>
        <n v="806" u="1"/>
        <n v="807" u="1"/>
        <n v="808" u="1"/>
        <n v="809" u="1"/>
        <n v="810" u="1"/>
        <n v="811" u="1"/>
        <n v="812" u="1"/>
        <n v="813" u="1"/>
        <n v="814" u="1"/>
        <n v="815" u="1"/>
        <n v="816" u="1"/>
        <n v="817" u="1"/>
        <n v="818" u="1"/>
        <n v="819" u="1"/>
        <n v="820" u="1"/>
        <n v="821" u="1"/>
        <n v="822" u="1"/>
        <n v="823" u="1"/>
        <n v="824" u="1"/>
        <n v="825" u="1"/>
        <n v="826" u="1"/>
        <n v="827" u="1"/>
        <n v="828" u="1"/>
        <n v="829" u="1"/>
        <n v="830" u="1"/>
        <n v="831" u="1"/>
        <n v="832" u="1"/>
        <n v="833" u="1"/>
        <n v="834" u="1"/>
        <n v="835" u="1"/>
        <n v="836" u="1"/>
        <n v="837" u="1"/>
        <n v="838" u="1"/>
        <n v="839" u="1"/>
        <n v="840" u="1"/>
        <n v="841" u="1"/>
        <n v="842" u="1"/>
        <n v="843" u="1"/>
        <n v="844" u="1"/>
        <n v="845" u="1"/>
        <n v="846" u="1"/>
        <n v="847" u="1"/>
        <n v="848" u="1"/>
        <n v="849" u="1"/>
        <n v="850" u="1"/>
        <n v="851" u="1"/>
        <n v="852" u="1"/>
        <n v="853" u="1"/>
        <n v="854" u="1"/>
        <n v="855" u="1"/>
        <n v="856" u="1"/>
        <n v="857" u="1"/>
        <n v="858" u="1"/>
        <n v="859" u="1"/>
        <n v="860" u="1"/>
        <n v="861" u="1"/>
        <n v="862" u="1"/>
        <n v="863" u="1"/>
        <n v="864" u="1"/>
        <n v="865" u="1"/>
        <n v="866" u="1"/>
        <n v="867" u="1"/>
        <n v="868" u="1"/>
        <n v="869" u="1"/>
        <n v="870" u="1"/>
        <n v="871" u="1"/>
        <n v="872" u="1"/>
        <n v="873" u="1"/>
        <n v="874" u="1"/>
        <n v="875" u="1"/>
        <n v="876" u="1"/>
        <n v="877" u="1"/>
        <n v="878" u="1"/>
        <n v="879" u="1"/>
        <n v="880" u="1"/>
        <n v="881" u="1"/>
        <n v="882" u="1"/>
        <n v="883" u="1"/>
        <n v="884" u="1"/>
        <n v="885" u="1"/>
        <n v="886" u="1"/>
        <n v="887" u="1"/>
        <n v="888" u="1"/>
        <n v="889" u="1"/>
        <n v="890" u="1"/>
        <n v="891" u="1"/>
        <n v="892" u="1"/>
        <n v="893" u="1"/>
        <n v="894" u="1"/>
        <n v="895" u="1"/>
        <n v="896" u="1"/>
        <n v="897" u="1"/>
        <n v="898" u="1"/>
        <n v="899" u="1"/>
        <n v="900" u="1"/>
        <n v="901" u="1"/>
        <n v="902" u="1"/>
        <n v="903" u="1"/>
        <n v="904" u="1"/>
        <n v="905" u="1"/>
        <n v="906" u="1"/>
        <n v="907" u="1"/>
        <n v="908" u="1"/>
        <n v="909" u="1"/>
        <n v="910" u="1"/>
        <n v="911" u="1"/>
        <n v="912" u="1"/>
        <n v="913" u="1"/>
        <n v="914" u="1"/>
        <n v="915" u="1"/>
        <n v="916" u="1"/>
        <n v="917" u="1"/>
        <n v="918" u="1"/>
        <n v="919" u="1"/>
        <n v="920" u="1"/>
        <n v="921" u="1"/>
        <n v="922" u="1"/>
        <n v="923" u="1"/>
        <n v="924" u="1"/>
        <n v="925" u="1"/>
        <n v="926" u="1"/>
        <n v="927" u="1"/>
        <n v="928" u="1"/>
        <n v="929" u="1"/>
        <n v="930" u="1"/>
        <n v="931" u="1"/>
        <n v="932" u="1"/>
        <n v="933" u="1"/>
        <n v="934" u="1"/>
        <n v="935" u="1"/>
        <n v="936" u="1"/>
        <n v="937" u="1"/>
        <n v="938" u="1"/>
        <n v="939" u="1"/>
        <n v="940" u="1"/>
        <n v="941" u="1"/>
        <n v="942" u="1"/>
        <n v="943" u="1"/>
        <n v="944" u="1"/>
        <n v="945" u="1"/>
        <n v="946" u="1"/>
        <n v="947" u="1"/>
        <n v="948" u="1"/>
        <n v="949" u="1"/>
        <n v="950" u="1"/>
        <n v="951" u="1"/>
        <n v="952" u="1"/>
        <n v="953" u="1"/>
        <n v="954" u="1"/>
        <n v="955" u="1"/>
        <n v="956" u="1"/>
        <n v="957" u="1"/>
        <n v="958" u="1"/>
        <n v="959" u="1"/>
        <n v="960" u="1"/>
        <n v="961" u="1"/>
        <n v="962" u="1"/>
        <n v="963" u="1"/>
        <n v="964" u="1"/>
        <n v="965" u="1"/>
        <n v="966" u="1"/>
        <n v="967" u="1"/>
        <n v="968" u="1"/>
        <n v="969" u="1"/>
        <n v="970" u="1"/>
        <n v="971" u="1"/>
        <n v="972" u="1"/>
        <n v="973" u="1"/>
        <n v="974" u="1"/>
        <n v="975" u="1"/>
        <n v="976" u="1"/>
        <n v="977" u="1"/>
        <n v="978" u="1"/>
        <n v="979" u="1"/>
        <n v="980" u="1"/>
        <n v="981" u="1"/>
        <n v="982" u="1"/>
        <n v="983" u="1"/>
        <n v="984" u="1"/>
        <n v="985" u="1"/>
        <n v="986" u="1"/>
        <n v="987" u="1"/>
        <n v="988" u="1"/>
        <n v="989" u="1"/>
        <n v="990" u="1"/>
        <n v="991" u="1"/>
        <n v="992" u="1"/>
        <n v="993" u="1"/>
        <n v="994" u="1"/>
        <n v="995" u="1"/>
        <n v="996" u="1"/>
        <n v="997" u="1"/>
        <n v="998" u="1"/>
        <n v="999" u="1"/>
        <n v="1000" u="1"/>
        <n v="1001" u="1"/>
        <n v="1002" u="1"/>
        <n v="1003" u="1"/>
        <n v="1004" u="1"/>
        <n v="1005" u="1"/>
        <n v="1006" u="1"/>
        <n v="1007" u="1"/>
        <n v="1008" u="1"/>
        <n v="1009" u="1"/>
        <n v="1010" u="1"/>
        <n v="1011" u="1"/>
        <n v="1012" u="1"/>
        <n v="1013" u="1"/>
        <n v="1014" u="1"/>
        <n v="1015" u="1"/>
        <n v="1016" u="1"/>
        <n v="1017" u="1"/>
        <n v="1018" u="1"/>
        <n v="1019" u="1"/>
        <n v="1020" u="1"/>
        <n v="1021" u="1"/>
        <n v="1022" u="1"/>
        <n v="1023" u="1"/>
        <n v="1024" u="1"/>
        <n v="1025" u="1"/>
        <n v="1026" u="1"/>
        <n v="1027" u="1"/>
        <n v="1028" u="1"/>
        <n v="1029" u="1"/>
        <n v="1030" u="1"/>
        <n v="1031" u="1"/>
        <n v="1032" u="1"/>
        <n v="1033" u="1"/>
        <n v="1034" u="1"/>
        <n v="1035" u="1"/>
        <n v="1036" u="1"/>
        <n v="1037" u="1"/>
        <n v="1038" u="1"/>
        <n v="1039" u="1"/>
        <n v="1040" u="1"/>
        <n v="1041" u="1"/>
        <n v="1042" u="1"/>
        <n v="1043" u="1"/>
        <n v="1044" u="1"/>
        <n v="1045" u="1"/>
        <n v="1046" u="1"/>
        <n v="1047" u="1"/>
        <n v="1048" u="1"/>
        <n v="1049" u="1"/>
        <n v="1050" u="1"/>
        <n v="1051" u="1"/>
        <n v="1052" u="1"/>
        <n v="1053" u="1"/>
        <n v="1054" u="1"/>
        <n v="1055" u="1"/>
        <n v="1056" u="1"/>
        <n v="1057" u="1"/>
        <n v="1058" u="1"/>
        <n v="1059" u="1"/>
        <n v="1060" u="1"/>
        <n v="1061" u="1"/>
        <n v="1062" u="1"/>
        <n v="1063" u="1"/>
        <n v="1064" u="1"/>
        <n v="1065" u="1"/>
        <n v="1066" u="1"/>
        <n v="1067" u="1"/>
        <n v="1068" u="1"/>
        <n v="1069" u="1"/>
        <n v="1070" u="1"/>
        <n v="1071" u="1"/>
        <n v="1072" u="1"/>
        <n v="1073" u="1"/>
        <n v="1074" u="1"/>
        <n v="1075" u="1"/>
        <n v="1076" u="1"/>
        <n v="1077" u="1"/>
        <n v="1078" u="1"/>
        <n v="1079" u="1"/>
        <n v="1080" u="1"/>
        <n v="1081" u="1"/>
        <n v="1082" u="1"/>
        <n v="1083" u="1"/>
        <n v="1084" u="1"/>
        <n v="1085" u="1"/>
        <n v="1086" u="1"/>
        <n v="1087" u="1"/>
        <n v="1088" u="1"/>
        <n v="1089" u="1"/>
        <n v="1090" u="1"/>
        <n v="1091" u="1"/>
        <n v="1092" u="1"/>
        <n v="1093" u="1"/>
        <n v="1094" u="1"/>
        <n v="1095" u="1"/>
        <n v="1096" u="1"/>
        <n v="1097" u="1"/>
        <n v="1098" u="1"/>
        <n v="1099" u="1"/>
        <n v="1100" u="1"/>
        <n v="1101" u="1"/>
        <n v="1102" u="1"/>
        <n v="1103" u="1"/>
        <n v="1104" u="1"/>
        <n v="1105" u="1"/>
        <n v="1106" u="1"/>
        <n v="1107" u="1"/>
        <n v="1108" u="1"/>
        <n v="1109" u="1"/>
        <n v="1110" u="1"/>
        <n v="1111" u="1"/>
        <n v="1112" u="1"/>
        <n v="1113" u="1"/>
        <n v="1114" u="1"/>
        <n v="1115" u="1"/>
        <n v="1116" u="1"/>
        <n v="1117" u="1"/>
        <n v="1118" u="1"/>
        <n v="1119" u="1"/>
        <n v="1120" u="1"/>
        <n v="1121" u="1"/>
        <n v="1122" u="1"/>
        <n v="1123" u="1"/>
        <n v="1124" u="1"/>
        <n v="1125" u="1"/>
        <n v="1126" u="1"/>
        <n v="1127" u="1"/>
        <n v="1128" u="1"/>
        <n v="1129" u="1"/>
        <n v="1130" u="1"/>
        <n v="1131" u="1"/>
        <n v="1132" u="1"/>
        <n v="1133" u="1"/>
        <n v="1134" u="1"/>
        <n v="1135" u="1"/>
        <n v="1136" u="1"/>
        <n v="1137" u="1"/>
        <n v="1138" u="1"/>
        <n v="1139" u="1"/>
        <n v="1140" u="1"/>
        <n v="1141" u="1"/>
        <n v="1142" u="1"/>
        <n v="1143" u="1"/>
        <n v="1144" u="1"/>
        <n v="1145" u="1"/>
        <n v="1146" u="1"/>
        <n v="1147" u="1"/>
        <n v="1148" u="1"/>
        <n v="1149" u="1"/>
        <n v="1150" u="1"/>
        <n v="1151" u="1"/>
        <n v="1152" u="1"/>
        <n v="1153" u="1"/>
        <n v="1154" u="1"/>
        <n v="1155" u="1"/>
        <n v="1156" u="1"/>
        <n v="1157" u="1"/>
        <n v="1158" u="1"/>
        <n v="1159" u="1"/>
        <n v="1160" u="1"/>
        <n v="1161" u="1"/>
        <n v="1162" u="1"/>
        <n v="1163" u="1"/>
        <n v="1164" u="1"/>
        <n v="1165" u="1"/>
        <n v="1166" u="1"/>
        <n v="1167" u="1"/>
        <n v="1168" u="1"/>
        <n v="1169" u="1"/>
        <n v="1170" u="1"/>
        <n v="1171" u="1"/>
        <n v="1172" u="1"/>
        <n v="1173" u="1"/>
        <n v="1174" u="1"/>
        <n v="1175" u="1"/>
        <n v="1176" u="1"/>
        <n v="1177" u="1"/>
        <n v="1178" u="1"/>
        <n v="1179" u="1"/>
        <n v="1180" u="1"/>
        <n v="1181" u="1"/>
        <n v="1182" u="1"/>
        <n v="1183" u="1"/>
        <n v="1184" u="1"/>
        <n v="1185" u="1"/>
        <n v="1186" u="1"/>
        <n v="1187" u="1"/>
        <n v="1188" u="1"/>
        <n v="1189" u="1"/>
        <n v="1190" u="1"/>
        <n v="1191" u="1"/>
        <n v="1192" u="1"/>
        <n v="1193" u="1"/>
        <n v="1194" u="1"/>
        <n v="1195" u="1"/>
        <n v="1196" u="1"/>
        <n v="1197" u="1"/>
        <n v="1198" u="1"/>
        <n v="1199" u="1"/>
        <n v="1200" u="1"/>
        <n v="1201" u="1"/>
        <n v="1202" u="1"/>
        <n v="1203" u="1"/>
        <n v="1204" u="1"/>
        <n v="1205" u="1"/>
        <n v="1206" u="1"/>
        <n v="1207" u="1"/>
        <n v="1208" u="1"/>
        <n v="1209" u="1"/>
        <n v="1210" u="1"/>
        <n v="1211" u="1"/>
        <n v="1212" u="1"/>
        <n v="1213" u="1"/>
        <n v="1214" u="1"/>
        <n v="1215" u="1"/>
        <n v="1216" u="1"/>
        <n v="1217" u="1"/>
        <n v="1218" u="1"/>
        <n v="1219" u="1"/>
        <n v="1220" u="1"/>
        <n v="1221" u="1"/>
        <n v="1222" u="1"/>
        <n v="1223" u="1"/>
        <n v="1224" u="1"/>
        <n v="1225" u="1"/>
        <n v="1226" u="1"/>
        <n v="1227" u="1"/>
        <n v="1228" u="1"/>
        <n v="1229" u="1"/>
        <n v="1230" u="1"/>
        <n v="1231" u="1"/>
        <n v="1232" u="1"/>
        <n v="1233" u="1"/>
        <n v="1234" u="1"/>
        <n v="1235" u="1"/>
        <n v="1236" u="1"/>
        <n v="1237" u="1"/>
        <n v="1238" u="1"/>
        <n v="1239" u="1"/>
        <n v="1240" u="1"/>
        <n v="1241" u="1"/>
        <n v="1242" u="1"/>
        <n v="1243" u="1"/>
        <n v="1244" u="1"/>
        <n v="1245" u="1"/>
        <n v="1246" u="1"/>
        <n v="1247" u="1"/>
        <n v="1248" u="1"/>
        <n v="1249" u="1"/>
        <n v="1250" u="1"/>
        <n v="1251" u="1"/>
        <n v="1252" u="1"/>
        <n v="1253" u="1"/>
        <n v="1254" u="1"/>
        <n v="1255" u="1"/>
        <n v="1256" u="1"/>
        <n v="1257" u="1"/>
        <n v="1258" u="1"/>
        <n v="1259" u="1"/>
        <n v="1260" u="1"/>
        <n v="1261" u="1"/>
        <n v="1262" u="1"/>
        <n v="1263" u="1"/>
        <n v="1264" u="1"/>
        <n v="1265" u="1"/>
        <n v="1266" u="1"/>
        <n v="1267" u="1"/>
        <n v="1268" u="1"/>
        <n v="1269" u="1"/>
        <n v="1270" u="1"/>
        <n v="1271" u="1"/>
        <n v="1272" u="1"/>
        <n v="1273" u="1"/>
        <n v="1274" u="1"/>
        <n v="1275" u="1"/>
        <n v="1276" u="1"/>
        <n v="1277" u="1"/>
        <n v="1278" u="1"/>
        <n v="1279" u="1"/>
        <n v="1280" u="1"/>
        <n v="1281" u="1"/>
        <n v="1282" u="1"/>
        <n v="1283" u="1"/>
        <n v="1284" u="1"/>
        <n v="1285" u="1"/>
        <n v="1286" u="1"/>
        <n v="1287" u="1"/>
        <n v="1288" u="1"/>
        <n v="1289" u="1"/>
        <n v="1290" u="1"/>
        <n v="1291" u="1"/>
        <n v="1292" u="1"/>
        <n v="1293" u="1"/>
        <n v="1294" u="1"/>
        <n v="1295" u="1"/>
        <n v="1296" u="1"/>
        <n v="1297" u="1"/>
        <n v="1298" u="1"/>
        <n v="1299" u="1"/>
        <n v="1300" u="1"/>
        <n v="1301" u="1"/>
        <n v="1302" u="1"/>
        <n v="1303" u="1"/>
        <n v="1304" u="1"/>
        <n v="1305" u="1"/>
        <n v="1306" u="1"/>
        <n v="1307" u="1"/>
        <n v="1308" u="1"/>
        <n v="1309" u="1"/>
        <n v="1310" u="1"/>
        <n v="1311" u="1"/>
        <n v="1312" u="1"/>
        <n v="1313" u="1"/>
        <n v="1314" u="1"/>
        <n v="1315" u="1"/>
        <n v="1316" u="1"/>
        <n v="1317" u="1"/>
        <n v="1318" u="1"/>
        <n v="1319" u="1"/>
        <n v="1320" u="1"/>
        <n v="1321" u="1"/>
        <n v="1322" u="1"/>
        <n v="1323" u="1"/>
        <n v="1324" u="1"/>
        <n v="1325" u="1"/>
        <n v="1326" u="1"/>
        <n v="1327" u="1"/>
        <n v="1328" u="1"/>
        <n v="1329" u="1"/>
        <n v="1330" u="1"/>
        <n v="1331" u="1"/>
        <n v="1332" u="1"/>
        <n v="1333" u="1"/>
        <n v="1334" u="1"/>
        <n v="1335" u="1"/>
        <n v="1336" u="1"/>
        <n v="1337" u="1"/>
        <n v="1338" u="1"/>
        <n v="1339" u="1"/>
        <n v="1340" u="1"/>
        <n v="1341" u="1"/>
        <n v="1342" u="1"/>
        <n v="1343" u="1"/>
        <n v="1344" u="1"/>
        <n v="1345" u="1"/>
        <n v="1346" u="1"/>
        <n v="1347" u="1"/>
        <n v="1348" u="1"/>
        <n v="1349" u="1"/>
        <n v="1350" u="1"/>
        <n v="1351" u="1"/>
        <n v="1352" u="1"/>
        <n v="1353" u="1"/>
        <n v="1354" u="1"/>
        <n v="1355" u="1"/>
        <n v="1356" u="1"/>
        <n v="1357" u="1"/>
        <n v="1358" u="1"/>
        <n v="1359" u="1"/>
        <n v="1360" u="1"/>
        <n v="1361" u="1"/>
        <n v="1362" u="1"/>
        <n v="1363" u="1"/>
        <n v="1364" u="1"/>
        <n v="1365" u="1"/>
        <n v="1366" u="1"/>
        <n v="1367" u="1"/>
        <n v="1368" u="1"/>
        <n v="1369" u="1"/>
        <n v="1370" u="1"/>
        <n v="1371" u="1"/>
        <n v="1372" u="1"/>
        <n v="1373" u="1"/>
        <n v="1374" u="1"/>
        <n v="1375" u="1"/>
        <n v="1376" u="1"/>
        <n v="1377" u="1"/>
        <n v="1378" u="1"/>
        <n v="1379" u="1"/>
        <n v="1380" u="1"/>
        <n v="1381" u="1"/>
        <n v="1382" u="1"/>
        <n v="1383" u="1"/>
        <n v="1384" u="1"/>
        <n v="1385" u="1"/>
        <n v="1386" u="1"/>
        <n v="1387" u="1"/>
        <n v="1388" u="1"/>
        <n v="1389" u="1"/>
        <n v="1390" u="1"/>
        <n v="1391" u="1"/>
        <n v="1392" u="1"/>
        <n v="1393" u="1"/>
        <n v="1394" u="1"/>
        <n v="1395" u="1"/>
        <n v="1396" u="1"/>
        <n v="1397" u="1"/>
        <n v="1398" u="1"/>
        <n v="1399" u="1"/>
        <n v="1400" u="1"/>
        <n v="1401" u="1"/>
        <n v="1402" u="1"/>
        <n v="1403" u="1"/>
        <n v="1404" u="1"/>
        <n v="1405" u="1"/>
        <n v="1406" u="1"/>
        <n v="1407" u="1"/>
        <n v="1408" u="1"/>
        <n v="1409" u="1"/>
        <n v="1410" u="1"/>
        <n v="1411" u="1"/>
        <n v="1412" u="1"/>
        <n v="1413" u="1"/>
        <n v="1414" u="1"/>
        <n v="1415" u="1"/>
        <n v="1416" u="1"/>
        <n v="1417" u="1"/>
        <n v="1418" u="1"/>
        <n v="1419" u="1"/>
        <n v="1420" u="1"/>
        <n v="1421" u="1"/>
        <n v="1422" u="1"/>
        <n v="1423" u="1"/>
        <n v="1424" u="1"/>
        <n v="1425" u="1"/>
        <n v="1426" u="1"/>
        <n v="1427" u="1"/>
        <n v="1428" u="1"/>
        <n v="1429" u="1"/>
        <n v="1430" u="1"/>
        <n v="1431" u="1"/>
        <n v="1432" u="1"/>
        <n v="1433" u="1"/>
        <n v="1434" u="1"/>
        <n v="1435" u="1"/>
        <n v="1436" u="1"/>
        <n v="1437" u="1"/>
        <n v="1438" u="1"/>
        <n v="1439" u="1"/>
        <n v="1440" u="1"/>
        <n v="1441" u="1"/>
        <n v="1442" u="1"/>
        <n v="1443" u="1"/>
        <n v="1444" u="1"/>
        <n v="1445" u="1"/>
        <n v="1446" u="1"/>
        <n v="1447" u="1"/>
        <n v="1448" u="1"/>
        <n v="1449" u="1"/>
        <n v="1450" u="1"/>
        <n v="1451" u="1"/>
        <n v="1452" u="1"/>
        <n v="1453" u="1"/>
        <n v="1454" u="1"/>
        <n v="1455" u="1"/>
        <n v="1456" u="1"/>
        <n v="1457" u="1"/>
        <n v="1458" u="1"/>
        <n v="1459" u="1"/>
        <n v="1460" u="1"/>
        <n v="1461" u="1"/>
        <n v="1462" u="1"/>
        <n v="1463" u="1"/>
        <n v="1464" u="1"/>
        <n v="1465" u="1"/>
        <n v="1466" u="1"/>
        <n v="1467" u="1"/>
        <n v="1468" u="1"/>
        <n v="1469" u="1"/>
        <n v="1470" u="1"/>
        <n v="1471" u="1"/>
        <n v="1472" u="1"/>
        <n v="1473" u="1"/>
        <n v="1474" u="1"/>
        <n v="1475" u="1"/>
        <n v="1476" u="1"/>
        <n v="1477" u="1"/>
        <n v="1478" u="1"/>
        <n v="1479" u="1"/>
        <n v="1480" u="1"/>
        <n v="1481" u="1"/>
        <n v="1482" u="1"/>
        <n v="1483" u="1"/>
        <n v="1484" u="1"/>
        <n v="1485" u="1"/>
        <n v="1486" u="1"/>
        <n v="1487" u="1"/>
        <n v="1488" u="1"/>
        <n v="1489" u="1"/>
        <n v="1490" u="1"/>
        <n v="1491" u="1"/>
        <n v="1492" u="1"/>
        <n v="1493" u="1"/>
        <n v="1494" u="1"/>
        <n v="1495" u="1"/>
        <n v="1496" u="1"/>
        <n v="1497" u="1"/>
        <n v="1498" u="1"/>
        <n v="1499" u="1"/>
        <n v="1500" u="1"/>
        <n v="1501" u="1"/>
        <n v="1502" u="1"/>
        <n v="1503" u="1"/>
        <n v="1504" u="1"/>
        <n v="1505" u="1"/>
        <n v="1506" u="1"/>
        <n v="1507" u="1"/>
        <n v="1508" u="1"/>
        <n v="1509" u="1"/>
        <n v="1510" u="1"/>
        <n v="1511" u="1"/>
        <n v="1512" u="1"/>
        <n v="1513" u="1"/>
        <n v="1514" u="1"/>
        <n v="1515" u="1"/>
        <n v="1516" u="1"/>
        <n v="1517" u="1"/>
        <n v="1518" u="1"/>
        <n v="1519" u="1"/>
        <n v="1520" u="1"/>
        <n v="1521" u="1"/>
        <n v="1522" u="1"/>
        <n v="1523" u="1"/>
        <n v="1524" u="1"/>
        <n v="1525" u="1"/>
        <n v="1526" u="1"/>
        <n v="1527" u="1"/>
        <n v="1528" u="1"/>
        <n v="1529" u="1"/>
        <n v="1530" u="1"/>
        <n v="1531" u="1"/>
        <n v="1532" u="1"/>
        <n v="1533" u="1"/>
        <n v="1534" u="1"/>
        <n v="1535" u="1"/>
        <n v="1536" u="1"/>
        <n v="1537" u="1"/>
        <n v="1538" u="1"/>
        <n v="1539" u="1"/>
        <n v="1540" u="1"/>
        <n v="1541" u="1"/>
        <n v="1542" u="1"/>
        <n v="1543" u="1"/>
        <n v="1544" u="1"/>
        <n v="1545" u="1"/>
        <n v="1546" u="1"/>
        <n v="1547" u="1"/>
        <n v="1548" u="1"/>
        <n v="1549" u="1"/>
        <n v="1550" u="1"/>
        <n v="1551" u="1"/>
        <n v="1552" u="1"/>
        <n v="1553" u="1"/>
        <n v="1554" u="1"/>
        <n v="1555" u="1"/>
        <n v="1556" u="1"/>
        <n v="1557" u="1"/>
        <n v="1558" u="1"/>
        <n v="1559" u="1"/>
        <n v="1560" u="1"/>
        <n v="1561" u="1"/>
        <n v="1562" u="1"/>
        <n v="1563" u="1"/>
        <n v="1564" u="1"/>
        <n v="1565" u="1"/>
        <n v="1566" u="1"/>
        <n v="1567" u="1"/>
        <n v="1568" u="1"/>
        <n v="1569" u="1"/>
        <n v="1570" u="1"/>
        <n v="1571" u="1"/>
        <n v="1572" u="1"/>
        <n v="1573" u="1"/>
        <n v="1574" u="1"/>
        <n v="1575" u="1"/>
        <n v="1576" u="1"/>
        <n v="1577" u="1"/>
        <n v="1578" u="1"/>
        <n v="1579" u="1"/>
        <n v="1580" u="1"/>
        <n v="1581" u="1"/>
        <n v="1582" u="1"/>
        <n v="1583" u="1"/>
        <n v="1584" u="1"/>
        <n v="1585" u="1"/>
        <n v="1586" u="1"/>
        <n v="1587" u="1"/>
        <n v="1588" u="1"/>
        <n v="1589" u="1"/>
        <n v="1590" u="1"/>
        <n v="1591" u="1"/>
        <n v="1592" u="1"/>
        <n v="1593" u="1"/>
        <n v="1594" u="1"/>
        <n v="1595" u="1"/>
        <n v="1596" u="1"/>
        <n v="1597" u="1"/>
        <n v="1598" u="1"/>
        <n v="1599" u="1"/>
        <n v="1600" u="1"/>
        <n v="1601" u="1"/>
        <n v="1602" u="1"/>
        <n v="1603" u="1"/>
        <n v="1604" u="1"/>
        <n v="1605" u="1"/>
        <n v="1606" u="1"/>
        <n v="1607" u="1"/>
        <n v="1608" u="1"/>
        <n v="1609" u="1"/>
        <n v="1610" u="1"/>
        <n v="1611" u="1"/>
        <n v="1612" u="1"/>
        <n v="1613" u="1"/>
        <n v="1614" u="1"/>
        <n v="1615" u="1"/>
        <n v="1616" u="1"/>
        <n v="1617" u="1"/>
        <n v="1618" u="1"/>
        <n v="1619" u="1"/>
        <n v="1620" u="1"/>
        <n v="1621" u="1"/>
        <n v="1622" u="1"/>
        <n v="1623" u="1"/>
        <n v="1624" u="1"/>
        <n v="1625" u="1"/>
        <n v="1626" u="1"/>
        <n v="1627" u="1"/>
        <n v="1628" u="1"/>
        <n v="1629" u="1"/>
        <n v="1630" u="1"/>
        <n v="1631" u="1"/>
        <n v="1632" u="1"/>
        <n v="1633" u="1"/>
        <n v="1634" u="1"/>
        <n v="1635" u="1"/>
        <n v="1636" u="1"/>
        <n v="1637" u="1"/>
        <n v="1638" u="1"/>
        <n v="1639" u="1"/>
        <n v="1640" u="1"/>
        <n v="1641" u="1"/>
        <n v="1642" u="1"/>
        <n v="1643" u="1"/>
        <n v="1644" u="1"/>
        <n v="1645" u="1"/>
        <n v="1646" u="1"/>
        <n v="1647" u="1"/>
        <n v="1648" u="1"/>
        <n v="1649" u="1"/>
        <n v="1650" u="1"/>
        <n v="1651" u="1"/>
        <n v="1652" u="1"/>
        <n v="1653" u="1"/>
        <n v="1654" u="1"/>
        <n v="1655" u="1"/>
        <n v="1656" u="1"/>
        <n v="1657" u="1"/>
        <n v="1658" u="1"/>
        <n v="1659" u="1"/>
        <n v="1660" u="1"/>
        <n v="1661" u="1"/>
        <n v="1662" u="1"/>
        <n v="1663" u="1"/>
        <n v="1664" u="1"/>
        <n v="1665" u="1"/>
        <n v="1666" u="1"/>
        <n v="1667" u="1"/>
        <n v="1668" u="1"/>
        <n v="1669" u="1"/>
        <n v="1670" u="1"/>
        <n v="1671" u="1"/>
        <n v="1672" u="1"/>
        <n v="1673" u="1"/>
        <n v="1674" u="1"/>
        <n v="1675" u="1"/>
        <n v="1676" u="1"/>
        <n v="1677" u="1"/>
        <n v="1678" u="1"/>
        <n v="1679" u="1"/>
        <n v="1680" u="1"/>
        <n v="1681" u="1"/>
        <n v="1682" u="1"/>
        <n v="1683" u="1"/>
        <n v="1684" u="1"/>
        <n v="1685" u="1"/>
        <n v="1686" u="1"/>
        <n v="1687" u="1"/>
        <n v="1688" u="1"/>
        <n v="1689" u="1"/>
        <n v="1690" u="1"/>
        <n v="1691" u="1"/>
        <n v="1692" u="1"/>
        <n v="1693" u="1"/>
        <n v="1694" u="1"/>
        <n v="1695" u="1"/>
        <n v="1696" u="1"/>
        <n v="1697" u="1"/>
        <n v="1698" u="1"/>
        <n v="1699" u="1"/>
        <n v="1700" u="1"/>
        <n v="1701" u="1"/>
        <n v="1702" u="1"/>
        <n v="1703" u="1"/>
        <n v="1704" u="1"/>
        <n v="1705" u="1"/>
        <n v="1706" u="1"/>
        <n v="1707" u="1"/>
        <n v="1708" u="1"/>
        <n v="1709" u="1"/>
        <n v="1710" u="1"/>
        <n v="1711" u="1"/>
        <n v="1712" u="1"/>
        <n v="1713" u="1"/>
        <n v="1714" u="1"/>
        <n v="1715" u="1"/>
        <n v="1716" u="1"/>
        <n v="1717" u="1"/>
        <n v="1718" u="1"/>
        <n v="1719" u="1"/>
        <n v="1720" u="1"/>
        <n v="1721" u="1"/>
        <n v="1722" u="1"/>
        <n v="1723" u="1"/>
        <n v="1724" u="1"/>
        <n v="1725" u="1"/>
        <n v="1726" u="1"/>
        <n v="1727" u="1"/>
        <n v="1728" u="1"/>
        <n v="1729" u="1"/>
        <n v="1730" u="1"/>
        <n v="1731" u="1"/>
        <n v="1732" u="1"/>
        <n v="1733" u="1"/>
        <n v="1734" u="1"/>
        <n v="1735" u="1"/>
        <n v="1736" u="1"/>
        <n v="1737" u="1"/>
        <n v="1738" u="1"/>
        <n v="1739" u="1"/>
        <n v="1740" u="1"/>
        <n v="1741" u="1"/>
        <n v="1742" u="1"/>
        <n v="1743" u="1"/>
        <n v="1744" u="1"/>
        <n v="1745" u="1"/>
        <n v="1746" u="1"/>
        <n v="1747" u="1"/>
        <n v="1748" u="1"/>
        <n v="1749" u="1"/>
        <n v="1750" u="1"/>
        <n v="1751" u="1"/>
        <n v="1752" u="1"/>
        <n v="1753" u="1"/>
        <n v="1754" u="1"/>
        <n v="1755" u="1"/>
        <n v="1756" u="1"/>
        <n v="1757" u="1"/>
        <n v="1758" u="1"/>
        <n v="1759" u="1"/>
        <n v="1760" u="1"/>
        <n v="1761" u="1"/>
        <n v="1762" u="1"/>
        <n v="1763" u="1"/>
        <n v="1764" u="1"/>
        <n v="1765" u="1"/>
        <n v="1766" u="1"/>
        <n v="1767" u="1"/>
        <n v="1768" u="1"/>
        <n v="1769" u="1"/>
        <n v="1770" u="1"/>
        <n v="1771" u="1"/>
        <n v="1772" u="1"/>
        <n v="1773" u="1"/>
        <n v="1774" u="1"/>
        <n v="1775" u="1"/>
        <n v="1776" u="1"/>
        <n v="1777" u="1"/>
        <n v="1778" u="1"/>
        <n v="1779" u="1"/>
        <n v="1780" u="1"/>
        <n v="1781" u="1"/>
        <n v="1782" u="1"/>
        <n v="1783" u="1"/>
        <n v="1784" u="1"/>
        <n v="1785" u="1"/>
        <n v="1786" u="1"/>
        <n v="1787" u="1"/>
        <n v="1788" u="1"/>
        <n v="1789" u="1"/>
        <n v="1790" u="1"/>
        <n v="1791" u="1"/>
        <n v="1792" u="1"/>
        <n v="1793" u="1"/>
        <n v="1794" u="1"/>
        <n v="1795" u="1"/>
        <n v="1796" u="1"/>
        <n v="1797" u="1"/>
        <n v="1798" u="1"/>
        <n v="1799" u="1"/>
        <n v="1800" u="1"/>
        <n v="1801" u="1"/>
        <n v="1802" u="1"/>
        <n v="1803" u="1"/>
        <n v="1804" u="1"/>
        <n v="1805" u="1"/>
        <n v="1806" u="1"/>
        <n v="1807" u="1"/>
        <n v="1808" u="1"/>
        <n v="1809" u="1"/>
        <n v="1810" u="1"/>
        <n v="1811" u="1"/>
        <n v="1812" u="1"/>
        <n v="1813" u="1"/>
        <n v="1814" u="1"/>
        <n v="1815" u="1"/>
        <n v="1816" u="1"/>
        <n v="1817" u="1"/>
        <n v="1818" u="1"/>
        <n v="1819" u="1"/>
        <n v="1820" u="1"/>
        <n v="1821" u="1"/>
        <n v="1822" u="1"/>
        <n v="1823" u="1"/>
        <n v="1824" u="1"/>
        <n v="1825" u="1"/>
        <n v="1826" u="1"/>
        <n v="1827" u="1"/>
        <n v="1828" u="1"/>
        <n v="1829" u="1"/>
        <n v="1830" u="1"/>
        <n v="1831" u="1"/>
        <n v="1832" u="1"/>
        <n v="1833" u="1"/>
        <n v="1834" u="1"/>
        <n v="1835" u="1"/>
        <n v="1836" u="1"/>
        <n v="1837" u="1"/>
        <n v="1838" u="1"/>
        <n v="1839" u="1"/>
        <n v="1840" u="1"/>
        <n v="1841" u="1"/>
        <n v="1842" u="1"/>
        <n v="1843" u="1"/>
        <n v="1844" u="1"/>
        <n v="1845" u="1"/>
        <n v="1846" u="1"/>
        <n v="1847" u="1"/>
        <n v="1848" u="1"/>
        <n v="1849" u="1"/>
        <n v="1850" u="1"/>
        <n v="1851" u="1"/>
        <n v="1852" u="1"/>
        <n v="1853" u="1"/>
        <n v="1854" u="1"/>
        <n v="1855" u="1"/>
        <n v="1856" u="1"/>
        <n v="1857" u="1"/>
        <n v="1858" u="1"/>
        <n v="1859" u="1"/>
        <n v="1860" u="1"/>
        <n v="1861" u="1"/>
        <n v="1862" u="1"/>
        <n v="1863" u="1"/>
        <n v="1864" u="1"/>
        <n v="1865" u="1"/>
        <n v="1866" u="1"/>
        <n v="1867" u="1"/>
        <n v="1868" u="1"/>
        <n v="1869" u="1"/>
        <n v="1870" u="1"/>
        <n v="1871" u="1"/>
        <n v="1872" u="1"/>
        <n v="1873" u="1"/>
        <n v="1874" u="1"/>
        <n v="1875" u="1"/>
        <n v="1876" u="1"/>
        <n v="1877" u="1"/>
        <n v="1878" u="1"/>
        <n v="1879" u="1"/>
        <n v="1880" u="1"/>
        <n v="1881" u="1"/>
        <n v="1882" u="1"/>
        <n v="1883" u="1"/>
        <n v="1884" u="1"/>
        <n v="1885" u="1"/>
        <n v="1886" u="1"/>
        <n v="1887" u="1"/>
        <n v="1888" u="1"/>
        <n v="1889" u="1"/>
        <n v="1890" u="1"/>
        <n v="1891" u="1"/>
        <n v="1892" u="1"/>
        <n v="1893" u="1"/>
        <n v="1894" u="1"/>
        <n v="1895" u="1"/>
        <n v="1896" u="1"/>
        <n v="1897" u="1"/>
        <n v="1898" u="1"/>
        <n v="1899" u="1"/>
        <n v="1900" u="1"/>
        <n v="1901" u="1"/>
        <n v="1902" u="1"/>
        <n v="1903" u="1"/>
        <n v="1904" u="1"/>
        <n v="1905" u="1"/>
        <n v="1906" u="1"/>
        <n v="1907" u="1"/>
        <n v="1908" u="1"/>
        <n v="1909" u="1"/>
        <n v="1910" u="1"/>
        <n v="1911" u="1"/>
        <n v="1912" u="1"/>
        <n v="1913" u="1"/>
        <n v="1914" u="1"/>
        <n v="1915" u="1"/>
        <n v="1916" u="1"/>
        <n v="1917" u="1"/>
        <n v="1918" u="1"/>
        <n v="1919" u="1"/>
        <n v="1920" u="1"/>
        <n v="1921" u="1"/>
        <n v="1922" u="1"/>
        <n v="1923" u="1"/>
        <n v="1924" u="1"/>
        <n v="1925" u="1"/>
        <n v="1926" u="1"/>
        <n v="1927" u="1"/>
        <n v="1928" u="1"/>
        <n v="1929" u="1"/>
        <n v="1930" u="1"/>
        <n v="1931" u="1"/>
        <n v="1932" u="1"/>
        <n v="1933" u="1"/>
        <n v="1934" u="1"/>
        <n v="1935" u="1"/>
        <n v="1936" u="1"/>
        <n v="1937" u="1"/>
        <n v="1938" u="1"/>
        <n v="1939" u="1"/>
        <n v="1940" u="1"/>
        <n v="1941" u="1"/>
        <n v="1942" u="1"/>
        <n v="1943" u="1"/>
        <n v="1944" u="1"/>
        <n v="1945" u="1"/>
        <n v="1946" u="1"/>
        <n v="1947" u="1"/>
        <n v="1948" u="1"/>
        <n v="1949" u="1"/>
        <n v="1950" u="1"/>
        <n v="1951" u="1"/>
        <n v="1952" u="1"/>
        <n v="1953" u="1"/>
        <n v="1954" u="1"/>
        <n v="1955" u="1"/>
        <n v="1956" u="1"/>
        <n v="1957" u="1"/>
        <n v="1958" u="1"/>
        <n v="1959" u="1"/>
        <n v="1960" u="1"/>
        <n v="1961" u="1"/>
        <n v="1962" u="1"/>
        <n v="1963" u="1"/>
        <n v="1964" u="1"/>
        <n v="1965" u="1"/>
        <n v="1966" u="1"/>
        <n v="1967" u="1"/>
        <n v="1968" u="1"/>
        <n v="1969" u="1"/>
        <n v="1970" u="1"/>
        <n v="1971" u="1"/>
        <n v="1972" u="1"/>
        <n v="1973" u="1"/>
        <n v="1974" u="1"/>
        <n v="1975" u="1"/>
        <n v="1976" u="1"/>
        <n v="1977" u="1"/>
        <n v="1978" u="1"/>
        <n v="1979" u="1"/>
        <n v="1980" u="1"/>
        <n v="1981" u="1"/>
        <n v="1982" u="1"/>
        <n v="1983" u="1"/>
        <n v="1984" u="1"/>
        <n v="1985" u="1"/>
        <n v="1986" u="1"/>
        <n v="1987" u="1"/>
        <n v="1988" u="1"/>
        <n v="1989" u="1"/>
        <n v="1990" u="1"/>
        <n v="1991" u="1"/>
        <n v="1992" u="1"/>
        <n v="1993" u="1"/>
        <n v="1994" u="1"/>
        <n v="1995" u="1"/>
        <n v="1996" u="1"/>
        <n v="1997" u="1"/>
        <n v="1998" u="1"/>
        <n v="1999" u="1"/>
        <n v="2000" u="1"/>
        <n v="2001" u="1"/>
        <n v="2002" u="1"/>
        <n v="2003" u="1"/>
        <n v="2004" u="1"/>
        <n v="2005" u="1"/>
        <n v="2006" u="1"/>
        <n v="2007" u="1"/>
        <n v="2008" u="1"/>
        <n v="2009" u="1"/>
        <n v="2010" u="1"/>
        <n v="2011" u="1"/>
        <n v="2012" u="1"/>
        <n v="2013" u="1"/>
        <n v="2014" u="1"/>
        <n v="2015" u="1"/>
        <n v="2016" u="1"/>
        <n v="2017" u="1"/>
        <n v="2018" u="1"/>
        <n v="2019" u="1"/>
        <n v="2020" u="1"/>
        <n v="2021" u="1"/>
        <n v="2022" u="1"/>
        <n v="2023" u="1"/>
        <n v="2024" u="1"/>
        <n v="2025" u="1"/>
        <n v="2026" u="1"/>
        <n v="2027" u="1"/>
        <n v="2028" u="1"/>
        <n v="2029" u="1"/>
        <n v="2030" u="1"/>
        <n v="2031" u="1"/>
        <n v="2032" u="1"/>
        <n v="2033" u="1"/>
        <n v="2034" u="1"/>
        <n v="2035" u="1"/>
        <n v="2036" u="1"/>
        <n v="2037" u="1"/>
        <n v="2038" u="1"/>
        <n v="2039" u="1"/>
        <n v="2040" u="1"/>
        <n v="2041" u="1"/>
        <n v="2042" u="1"/>
        <n v="2043" u="1"/>
        <n v="2044" u="1"/>
        <n v="2045" u="1"/>
        <n v="2046" u="1"/>
        <n v="2047" u="1"/>
        <n v="2048" u="1"/>
        <n v="2049" u="1"/>
        <n v="2050" u="1"/>
        <n v="2051" u="1"/>
        <n v="2052" u="1"/>
        <n v="2053" u="1"/>
        <n v="2054" u="1"/>
        <n v="2055" u="1"/>
        <n v="2056" u="1"/>
        <n v="2057" u="1"/>
        <n v="2058" u="1"/>
        <n v="2059" u="1"/>
      </sharedItems>
    </cacheField>
    <cacheField name="Datum" numFmtId="14">
      <sharedItems containsSemiMixedTypes="0" containsNonDate="0" containsDate="1" containsString="0" minDate="2019-01-01T00:00:00" maxDate="2026-06-20T00:00:00" count="32">
        <d v="2019-01-01T00:00:00"/>
        <d v="2021-01-01T00:00:00"/>
        <d v="2021-03-15T00:00:00"/>
        <d v="2022-05-09T00:00:00"/>
        <d v="2022-05-10T00:00:00"/>
        <d v="2024-05-08T00:00:00"/>
        <d v="2024-05-21T00:00:00"/>
        <d v="2024-05-27T00:00:00"/>
        <d v="2026-05-25T00:00:00"/>
        <d v="2026-05-28T00:00:00"/>
        <d v="2026-05-30T00:00:00"/>
        <d v="2026-05-31T00:00:00"/>
        <d v="2026-06-02T00:00:00"/>
        <d v="2026-06-03T00:00:00"/>
        <d v="2026-06-04T00:00:00"/>
        <d v="2026-06-05T00:00:00"/>
        <d v="2026-06-06T00:00:00"/>
        <d v="2026-06-01T00:00:00"/>
        <d v="2026-06-07T00:00:00"/>
        <d v="2026-05-27T00:00:00"/>
        <d v="2026-06-08T00:00:00"/>
        <d v="2026-06-09T00:00:00"/>
        <d v="2026-06-10T00:00:00"/>
        <d v="2026-06-11T00:00:00"/>
        <d v="2026-06-12T00:00:00"/>
        <d v="2026-06-13T00:00:00"/>
        <d v="2026-06-15T00:00:00"/>
        <d v="2026-06-14T00:00:00"/>
        <d v="2026-06-16T00:00:00"/>
        <d v="2026-06-17T00:00:00"/>
        <d v="2026-06-18T00:00:00"/>
        <d v="2026-06-19T00:00:00"/>
      </sharedItems>
    </cacheField>
    <cacheField name="Lokacija" numFmtId="0">
      <sharedItems containsBlank="1" count="4">
        <s v="Riđake"/>
        <s v="Skupljen"/>
        <m/>
        <s v="Ridjake"/>
      </sharedItems>
    </cacheField>
    <cacheField name="Tip Prometa" numFmtId="0">
      <sharedItems containsBlank="1" count="7">
        <s v="Prodaja"/>
        <s v="Nabavka"/>
        <s v="Troškovi"/>
        <s v="Ugovor"/>
        <s v="Isplata"/>
        <s v="Uplata"/>
        <m u="1"/>
      </sharedItems>
    </cacheField>
    <cacheField name="Tip Komintenta" numFmtId="0">
      <sharedItems containsBlank="1" count="6">
        <s v="Domaći"/>
        <s v="Otkup"/>
        <s v="Preduzeće"/>
        <s v="Inostrani"/>
        <s v="Dobavljač"/>
        <m/>
      </sharedItems>
    </cacheField>
    <cacheField name="Komintent" numFmtId="0">
      <sharedItems containsBlank="1" count="62">
        <s v="Altiva"/>
        <s v="Hladnjača"/>
        <s v="Fruitimpex"/>
        <s v="Sara2009"/>
        <s v="Dane ABD"/>
        <s v="Bella 9 DOO"/>
        <m/>
        <s v="Dosso d.o.o."/>
        <s v="Zumdieck"/>
        <s v="ZZ Tamnavica -Osečina"/>
        <s v="Frikos DOO"/>
        <s v="Glišić Trend doo"/>
        <s v="Frikos d.o.o."/>
        <s v="Savatić Milorad"/>
        <s v="Frucom Plus" u="1"/>
        <s v="VIKTOR AGRAR T.Z.R" u="1"/>
        <s v="DRASKOVICI OD" u="1"/>
        <s v="PR. FRUCTAL PROMET" u="1"/>
        <s v="NADA  OBRADOVIĆ PR. FRUCTAL PROMET" u="1"/>
        <s v="Odetta doo" u="1"/>
        <s v="Futura Fruit" u="1"/>
        <s v="MIMA-MM PLUS" u="1"/>
        <s v="Appolo" u="1"/>
        <s v="Berrymark" u="1"/>
        <s v="AKI FRUIT DOO" u="1"/>
        <s v="Dosso d.o.o" u="1"/>
        <s v="Zumdick" u="1"/>
        <s v="Biljić Kompany" u="1"/>
        <s v="GTPR RADISIC" u="1"/>
        <s v="Magnetik" u="1"/>
        <s v="Nerađe DOO" u="1"/>
        <s v="Podgorina Frucht" u="1"/>
        <s v="GRKOVIC PRODUKT DOO" u="1"/>
        <s v="Magnetik d.o.o.." u="1"/>
        <s v="Sirogojno Kompani" u="1"/>
        <s v="Woodmaster" u="1"/>
        <s v="ZUTR ZVEZDA" u="1"/>
        <s v="LIPKOM DOO" u="1"/>
        <s v="Organik Fruit" u="1"/>
        <s v="MALINA BB COMPANY DOO" u="1"/>
        <s v="Unifreeze" u="1"/>
        <s v="F.C.F Doo" u="1"/>
        <s v="Golden Fruit doo" u="1"/>
        <s v="STR JOANA" u="1"/>
        <s v="JANEKS DOO" u="1"/>
        <s v="Zindel" u="1"/>
        <s v="ARBAT FRUIT" u="1"/>
        <s v="Agro Čair" u="1"/>
        <s v="Altiva DOO" u="1"/>
        <s v="Kuzmić DOO" u="1"/>
        <s v="Doca" u="1"/>
        <s v="Crops&amp;Partners" u="1"/>
        <s v="Stefan Gligoruc PR" u="1"/>
        <s v="Lazovica Lis" u="1"/>
        <s v="IMPRESA GROUP DOO" u="1"/>
        <s v="Coja-Promet doo" u="1"/>
        <s v="HG Food GmbH" u="1"/>
        <s v="Polj.Zadruga Prirodno Blago" u="1"/>
        <s v="FROZEX" u="1"/>
        <s v="Topfrost" u="1"/>
        <s v="Entering doo" u="1"/>
        <s v="PR Univerzal Promet" u="1"/>
      </sharedItems>
    </cacheField>
    <cacheField name="Kat.Proizvoda" numFmtId="0">
      <sharedItems containsBlank="1" count="6">
        <s v="Zamrznuta"/>
        <s v="Gotova"/>
        <s v="Sveža"/>
        <m/>
        <s v="Prenos Zaliha"/>
        <s v="Usluga"/>
      </sharedItems>
    </cacheField>
    <cacheField name="Vr.Proizvoda" numFmtId="0">
      <sharedItems containsBlank="1" count="20">
        <s v="DZ Kupina"/>
        <s v="DZ Malina G"/>
        <s v="DZ Kupina G"/>
        <s v="Malina"/>
        <s v="DZ Šljiva G"/>
        <s v="Kupina"/>
        <s v="Šljiva"/>
        <s v="Višnja"/>
        <s v="Borovnica"/>
        <s v="DZ Malina"/>
        <s v="DZ Šljiva"/>
        <s v="DZ Višnja"/>
        <s v="DZ Borovnica"/>
        <s v="DZ Kajsija"/>
        <s v="Kajsija"/>
        <m/>
        <s v="Usluga"/>
        <s v="DZ Malina U" u="1"/>
        <s v="DZ Borovnica U" u="1"/>
        <s v="DZ Kupina U" u="1"/>
      </sharedItems>
    </cacheField>
    <cacheField name="Proizvod" numFmtId="0">
      <sharedItems containsBlank="1" count="65">
        <s v="DZ Kupina Rollend"/>
        <s v="Malina rollend"/>
        <s v="Malina Griz"/>
        <s v="Kupina Rollend"/>
        <s v="Malina Miker"/>
        <s v="Kupina Pire"/>
        <s v="DZ Šljiva R/S Stenley"/>
        <s v="Kupina Loh Nes"/>
        <s v="Šljiva Čačanska Rodna"/>
        <s v="Šljiva Stenley"/>
        <s v="Šljiva Čačanska Lepotica"/>
        <s v="Višnja Oblačinska"/>
        <s v="Borovnica"/>
        <s v="DZ Malina Original"/>
        <s v="DZ Malina Prebrani Original"/>
        <s v="DZ Malina Griz"/>
        <s v="DZ Malina Bruh"/>
        <s v="DZ Kupina Original"/>
        <s v="DZ Kupina Konfitura"/>
        <s v="DZ Kupina Pire"/>
        <s v="DZ Kupina Blok"/>
        <s v="DZ Šljiva Original"/>
        <s v="DZ Šljiva R/S Lepotica"/>
        <s v="DZ Šljiva R/S Rodna"/>
        <s v="DZ Višnja original"/>
        <s v="DZ Višnja Blok"/>
        <s v="DZ Borovica Original"/>
        <s v="DZ Borovica Blok"/>
        <s v="DZ Višnja"/>
        <s v="DZ Šljiva R/S Čačanska Rodna"/>
        <s v="DZ Šljiva R/S Čačanska lepotica"/>
        <s v="DZ Kajsija R/S"/>
        <s v="DZ Kajsija III"/>
        <s v="Malina Vilamet"/>
        <s v="Kupina Čačanka"/>
        <s v="Kupina Čačanka Global GAP"/>
        <s v="Kupina TornFree"/>
        <s v="Kupina Triplecrown"/>
        <s v="Kupina Triplecrown Global GAP"/>
        <s v="Kupina ORGANSKA"/>
        <s v="Kupina Chester"/>
        <s v="Malina Global Gap"/>
        <s v="Malina Polka"/>
        <s v="Kajsija"/>
        <s v="DZ Kupina Original - Čačanka"/>
        <s v="DZ Kupina Original - Triple Crown"/>
        <s v="DZ Kupina Original - Loch Ness"/>
        <s v="DZ Šljiva"/>
        <s v="DZ Kajsija"/>
        <s v="DZ Malina rollend"/>
        <s v="DZ Malina Blok"/>
        <s v="DZ Kupina Rolend Sl."/>
        <s v="DZ Kupina Blok Sl."/>
        <s v="DZ Šljiva III Klasa"/>
        <s v="DZ Borovnica"/>
        <s v="DZ Borovnica Blok"/>
        <m/>
        <s v="DZ Kupina Rollend Sl."/>
        <s v="Usluga"/>
        <s v="Usluga G"/>
        <s v="DZ Malina U" u="1"/>
        <s v="DZ Borovnica U" u="1"/>
        <s v="DZ Kupina U" u="1"/>
        <s v="DZ Kupina Rollend U" u="1"/>
        <s v="DZ Borovnica Rollend U" u="1"/>
      </sharedItems>
    </cacheField>
    <cacheField name="Količina" numFmtId="4">
      <sharedItems containsString="0" containsBlank="1" containsNumber="1" containsInteger="1" minValue="0" maxValue="387571" count="1612">
        <n v="1"/>
        <n v="2"/>
        <n v="0"/>
        <m/>
        <n v="25"/>
        <n v="100"/>
        <n v="138"/>
        <n v="404"/>
        <n v="1024"/>
        <n v="1134"/>
        <n v="2033"/>
        <n v="2100"/>
        <n v="5818"/>
        <n v="4984"/>
        <n v="7301"/>
        <n v="8774"/>
        <n v="9339"/>
        <n v="8732"/>
        <n v="14"/>
        <n v="18"/>
        <n v="4953"/>
        <n v="20"/>
        <n v="13512"/>
        <n v="16673"/>
        <n v="17527"/>
        <n v="19"/>
        <n v="16"/>
        <n v="12536"/>
        <n v="125"/>
        <n v="10090"/>
        <n v="215"/>
        <n v="12081"/>
        <n v="60"/>
        <n v="451"/>
        <n v="13523"/>
        <n v="12124"/>
        <n v="444"/>
        <n v="38"/>
        <n v="1212" u="1"/>
        <n v="403" u="1"/>
        <n v="114" u="1"/>
        <n v="99" u="1"/>
        <n v="632" u="1"/>
        <n v="349" u="1"/>
        <n v="20000" u="1"/>
        <n v="1357" u="1"/>
        <n v="20250" u="1"/>
        <n v="1513" u="1"/>
        <n v="402" u="1"/>
        <n v="1606" u="1"/>
        <n v="12266" u="1"/>
        <n v="3789" u="1"/>
        <n v="2824" u="1"/>
        <n v="4218" u="1"/>
        <n v="2939" u="1"/>
        <n v="4212" u="1"/>
        <n v="3045" u="1"/>
        <n v="3779" u="1"/>
        <n v="19054" u="1"/>
        <n v="4090" u="1"/>
        <n v="5537" u="1"/>
        <n v="5300" u="1"/>
        <n v="5892" u="1"/>
        <n v="11241" u="1"/>
        <n v="5013" u="1"/>
        <n v="20160" u="1"/>
        <n v="7323" u="1"/>
        <n v="3209" u="1"/>
        <n v="42" u="1"/>
        <n v="18120" u="1"/>
        <n v="7934" u="1"/>
        <n v="3435" u="1"/>
        <n v="6493" u="1"/>
        <n v="3948" u="1"/>
        <n v="19734" u="1"/>
        <n v="20841" u="1"/>
        <n v="6863" u="1"/>
        <n v="1975" u="1"/>
        <n v="40" u="1"/>
        <n v="5835" u="1"/>
        <n v="4931" u="1"/>
        <n v="969" u="1"/>
        <n v="4612" u="1"/>
        <n v="5847" u="1"/>
        <n v="447" u="1"/>
        <n v="86560" u="1"/>
        <n v="367571" u="1"/>
        <n v="3406" u="1"/>
        <n v="3941" u="1"/>
        <n v="602" u="1"/>
        <n v="5384" u="1"/>
        <n v="12" u="1"/>
        <n v="5035" u="1"/>
        <n v="153" u="1"/>
        <n v="839" u="1"/>
        <n v="33" u="1"/>
        <n v="7381" u="1"/>
        <n v="534" u="1"/>
        <n v="10127" u="1"/>
        <n v="124" u="1"/>
        <n v="947" u="1"/>
        <n v="1659" u="1"/>
        <n v="144" u="1"/>
        <n v="1870" u="1"/>
        <n v="4" u="1"/>
        <n v="48" u="1"/>
        <n v="1914" u="1"/>
        <n v="278" u="1"/>
        <n v="4314" u="1"/>
        <n v="335" u="1"/>
        <n v="3101" u="1"/>
        <n v="20484" u="1"/>
        <n v="20198" u="1"/>
        <n v="1327" u="1"/>
        <n v="501" u="1"/>
        <n v="2052" u="1"/>
        <n v="1332" u="1"/>
        <n v="2551" u="1"/>
        <n v="196" u="1"/>
        <n v="1361" u="1"/>
        <n v="1147" u="1"/>
        <n v="658" u="1"/>
        <n v="3081" u="1"/>
        <n v="824" u="1"/>
        <n v="3385" u="1"/>
        <n v="20190" u="1"/>
        <n v="841" u="1"/>
        <n v="341" u="1"/>
        <n v="1502" u="1"/>
        <n v="436" u="1"/>
        <n v="2712" u="1"/>
        <n v="5" u="1"/>
        <n v="8960" u="1"/>
        <n v="519" u="1"/>
        <n v="770" u="1"/>
        <n v="3156" u="1"/>
        <n v="1624" u="1"/>
        <n v="2394" u="1"/>
        <n v="24" u="1"/>
        <n v="492" u="1"/>
        <n v="292" u="1"/>
        <n v="224" u="1"/>
        <n v="1893" u="1"/>
        <n v="3135" u="1"/>
        <n v="5663" u="1"/>
        <n v="537" u="1"/>
        <n v="126" u="1"/>
        <n v="483" u="1"/>
        <n v="738" u="1"/>
        <n v="2320" u="1"/>
        <n v="2993" u="1"/>
        <n v="4735" u="1"/>
        <n v="3759" u="1"/>
        <n v="207" u="1"/>
        <n v="1291" u="1"/>
        <n v="11" u="1"/>
        <n v="19958" u="1"/>
        <n v="1397" u="1"/>
        <n v="4640" u="1"/>
        <n v="2211" u="1"/>
        <n v="8645" u="1"/>
        <n v="6281" u="1"/>
        <n v="151" u="1"/>
        <n v="1016" u="1"/>
        <n v="2771" u="1"/>
        <n v="1581" u="1"/>
        <n v="2120" u="1"/>
        <n v="6060" u="1"/>
        <n v="6821" u="1"/>
        <n v="174" u="1"/>
        <n v="20230" u="1"/>
        <n v="112" u="1"/>
        <n v="2764" u="1"/>
        <n v="110" u="1"/>
        <n v="1938" u="1"/>
        <n v="6334" u="1"/>
        <n v="3775" u="1"/>
        <n v="15" u="1"/>
        <n v="18762" u="1"/>
        <n v="1370" u="1"/>
        <n v="1340" u="1"/>
        <n v="309" u="1"/>
        <n v="7627" u="1"/>
        <n v="6990" u="1"/>
        <n v="587" u="1"/>
        <n v="7200" u="1"/>
        <n v="8500" u="1"/>
        <n v="2400" u="1"/>
        <n v="44" u="1"/>
        <n v="2247" u="1"/>
        <n v="61" u="1"/>
        <n v="478" u="1"/>
        <n v="3983" u="1"/>
        <n v="2051" u="1"/>
        <n v="439" u="1"/>
        <n v="50" u="1"/>
        <n v="1139" u="1"/>
        <n v="582" u="1"/>
        <n v="613" u="1"/>
        <n v="4574" u="1"/>
        <n v="3784" u="1"/>
        <n v="10240" u="1"/>
        <n v="20790" u="1"/>
        <n v="395" u="1"/>
        <n v="713" u="1"/>
        <n v="7500" u="1"/>
        <n v="1548" u="1"/>
        <n v="181" u="1"/>
        <n v="136" u="1"/>
        <n v="5427" u="1"/>
        <n v="62" u="1"/>
        <n v="1188" u="1"/>
        <n v="12802" u="1"/>
        <n v="4737" u="1"/>
        <n v="883" u="1"/>
        <n v="3930" u="1"/>
        <n v="1589" u="1"/>
        <n v="3496" u="1"/>
        <n v="950" u="1"/>
        <n v="12491" u="1"/>
        <n v="1963" u="1"/>
        <n v="10" u="1"/>
        <n v="731" u="1"/>
        <n v="2462" u="1"/>
        <n v="441" u="1"/>
        <n v="2618" u="1"/>
        <n v="9106" u="1"/>
        <n v="1597" u="1"/>
        <n v="680" u="1"/>
        <n v="4528" u="1"/>
        <n v="129" u="1"/>
        <n v="20090" u="1"/>
        <n v="20100" u="1"/>
        <n v="2141" u="1"/>
        <n v="23051" u="1"/>
        <n v="20480" u="1"/>
        <n v="304" u="1"/>
        <n v="5739" u="1"/>
        <n v="2459" u="1"/>
        <n v="22" u="1"/>
        <n v="6961" u="1"/>
        <n v="3155" u="1"/>
        <n v="120" u="1"/>
        <n v="891" u="1"/>
        <n v="3676" u="1"/>
        <n v="13594" u="1"/>
        <n v="1121" u="1"/>
        <n v="8" u="1"/>
        <n v="20490" u="1"/>
        <n v="1081" u="1"/>
        <n v="848" u="1"/>
        <n v="13953" u="1"/>
        <n v="894" u="1"/>
        <n v="830" u="1"/>
        <n v="7379" u="1"/>
        <n v="10710" u="1"/>
        <n v="5040" u="1"/>
        <n v="940" u="1"/>
        <n v="246" u="1"/>
        <n v="710" u="1"/>
        <n v="8695" u="1"/>
        <n v="1386" u="1"/>
        <n v="96" u="1"/>
        <n v="6487" u="1"/>
        <n v="3112" u="1"/>
        <n v="20549" u="1"/>
        <n v="1408" u="1"/>
        <n v="1030" u="1"/>
        <n v="66" u="1"/>
        <n v="148" u="1"/>
        <n v="3130" u="1"/>
        <n v="180" u="1"/>
        <n v="1153" u="1"/>
        <n v="35220" u="1"/>
        <n v="1603" u="1"/>
        <n v="11199" u="1"/>
        <n v="704" u="1"/>
        <n v="87" u="1"/>
        <n v="49" u="1"/>
        <n v="1820" u="1"/>
        <n v="23100" u="1"/>
        <n v="251" u="1"/>
        <n v="166" u="1"/>
        <n v="3544" u="1"/>
        <n v="33004" u="1"/>
        <n v="1164" u="1"/>
        <n v="28" u="1"/>
        <n v="34" u="1"/>
        <n v="107" u="1"/>
        <n v="88" u="1"/>
        <n v="3843" u="1"/>
        <n v="15573" u="1"/>
        <n v="588" u="1"/>
        <n v="536" u="1"/>
        <n v="1470" u="1"/>
        <n v="132" u="1"/>
        <n v="98" u="1"/>
        <n v="5634" u="1"/>
        <n v="29324" u="1"/>
        <n v="1076" u="1"/>
        <n v="203" u="1"/>
        <n v="5151" u="1"/>
        <n v="52" u="1"/>
        <n v="2823" u="1"/>
        <n v="15168" u="1"/>
        <n v="32" u="1"/>
        <n v="5844" u="1"/>
        <n v="1248" u="1"/>
        <n v="3348" u="1"/>
        <n v="18301" u="1"/>
        <n v="139" u="1"/>
        <n v="23505" u="1"/>
        <n v="22529" u="1"/>
        <n v="16367" u="1"/>
        <n v="55236" u="1"/>
        <n v="21183" u="1"/>
        <n v="76" u="1"/>
        <n v="772" u="1"/>
        <n v="19847" u="1"/>
        <n v="102" u="1"/>
        <n v="3550" u="1"/>
        <n v="15116" u="1"/>
        <n v="1192" u="1"/>
        <n v="5150" u="1"/>
        <n v="128" u="1"/>
        <n v="117" u="1"/>
        <n v="4101" u="1"/>
        <n v="17378" u="1"/>
        <n v="2374" u="1"/>
        <n v="5552" u="1"/>
        <n v="4048" u="1"/>
        <n v="1580" u="1"/>
        <n v="5843" u="1"/>
        <n v="3152" u="1"/>
        <n v="6586" u="1"/>
        <n v="4842" u="1"/>
        <n v="895" u="1"/>
        <n v="236" u="1"/>
        <n v="1080" u="1"/>
        <n v="4948" u="1"/>
        <n v="4011" u="1"/>
        <n v="18827" u="1"/>
        <n v="1685" u="1"/>
        <n v="7774" u="1"/>
        <n v="7269" u="1"/>
        <n v="9506" u="1"/>
        <n v="9464" u="1"/>
        <n v="346" u="1"/>
        <n v="1780" u="1"/>
        <n v="7172" u="1"/>
        <n v="14700" u="1"/>
        <n v="9991" u="1"/>
        <n v="16243" u="1"/>
        <n v="7443" u="1"/>
        <n v="1015" u="1"/>
        <n v="5000" u="1"/>
        <n v="9124" u="1"/>
        <n v="8421" u="1"/>
        <n v="12160" u="1"/>
        <n v="5890" u="1"/>
        <n v="158" u="1"/>
        <n v="1583" u="1"/>
        <n v="5148" u="1"/>
        <n v="11448" u="1"/>
        <n v="1110" u="1"/>
        <n v="12415" u="1"/>
        <n v="5058" u="1"/>
        <n v="11871" u="1"/>
        <n v="1231" u="1"/>
        <n v="3230" u="1"/>
        <n v="11754" u="1"/>
        <n v="11104" u="1"/>
        <n v="12016" u="1"/>
        <n v="1402" u="1"/>
        <n v="20726" u="1"/>
        <n v="18790" u="1"/>
        <n v="1861" u="1"/>
        <n v="4388" u="1"/>
        <n v="10241" u="1"/>
        <n v="79" u="1"/>
        <n v="1005" u="1"/>
        <n v="2303" u="1"/>
        <n v="8944" u="1"/>
        <n v="3667" u="1"/>
        <n v="394" u="1"/>
        <n v="1878" u="1"/>
        <n v="5451" u="1"/>
        <n v="4190" u="1"/>
        <n v="21116" u="1"/>
        <n v="82" u="1"/>
        <n v="4128" u="1"/>
        <n v="2524" u="1"/>
        <n v="20756" u="1"/>
        <n v="2173" u="1"/>
        <n v="2688" u="1"/>
        <n v="2507" u="1"/>
        <n v="20462" u="1"/>
        <n v="17686" u="1"/>
        <n v="566" u="1"/>
        <n v="1610" u="1"/>
        <n v="3060" u="1"/>
        <n v="19656" u="1"/>
        <n v="3224" u="1"/>
        <n v="1600" u="1"/>
        <n v="1045" u="1"/>
        <n v="288" u="1"/>
        <n v="1379" u="1"/>
        <n v="608" u="1"/>
        <n v="2384" u="1"/>
        <n v="886" u="1"/>
        <n v="30" u="1"/>
        <n v="1825" u="1"/>
        <n v="241" u="1"/>
        <n v="1686" u="1"/>
        <n v="284" u="1"/>
        <n v="410" u="1"/>
        <n v="380" u="1"/>
        <n v="261" u="1"/>
        <n v="12480" u="1"/>
        <n v="1417" u="1"/>
        <n v="2025" u="1"/>
        <n v="21" u="1"/>
        <n v="20148" u="1"/>
        <n v="544" u="1"/>
        <n v="197" u="1"/>
        <n v="20800" u="1"/>
        <n v="805" u="1"/>
        <n v="791" u="1"/>
        <n v="1519" u="1"/>
        <n v="35" u="1"/>
        <n v="638" u="1"/>
        <n v="428" u="1"/>
        <n v="22060" u="1"/>
        <n v="1069" u="1"/>
        <n v="19990" u="1"/>
        <n v="1933" u="1"/>
        <n v="26" u="1"/>
        <n v="20544" u="1"/>
        <n v="787" u="1"/>
        <n v="6" u="1"/>
        <n v="2177" u="1"/>
        <n v="1709" u="1"/>
        <n v="2176" u="1"/>
        <n v="1445" u="1"/>
        <n v="874" u="1"/>
        <n v="13767" u="1"/>
        <n v="6240" u="1"/>
        <n v="1127" u="1"/>
        <n v="20004" u="1"/>
        <n v="838" u="1"/>
        <n v="20124" u="1"/>
        <n v="721" u="1"/>
        <n v="496" u="1"/>
        <n v="37" u="1"/>
        <n v="150" u="1"/>
        <n v="71" u="1"/>
        <n v="982" u="1"/>
        <n v="416" u="1"/>
        <n v="17285" u="1"/>
        <n v="2839" u="1"/>
        <n v="601" u="1"/>
        <n v="579" u="1"/>
        <n v="834" u="1"/>
        <n v="2725" u="1"/>
        <n v="15000" u="1"/>
        <n v="1404" u="1"/>
        <n v="5760" u="1"/>
        <n v="861" u="1"/>
        <n v="18220" u="1"/>
        <n v="18720" u="1"/>
        <n v="429" u="1"/>
        <n v="1331" u="1"/>
        <n v="962" u="1"/>
        <n v="20007" u="1"/>
        <n v="1241" u="1"/>
        <n v="965" u="1"/>
        <n v="23" u="1"/>
        <n v="1307" u="1"/>
        <n v="19227" u="1"/>
        <n v="1756" u="1"/>
        <n v="1896" u="1"/>
        <n v="610" u="1"/>
        <n v="1225" u="1"/>
        <n v="1811" u="1"/>
        <n v="18369" u="1"/>
        <n v="17820" u="1"/>
        <n v="2034" u="1"/>
        <n v="3168" u="1"/>
        <n v="1320" u="1"/>
        <n v="1969" u="1"/>
        <n v="12510" u="1"/>
        <n v="7356" u="1"/>
        <n v="1751" u="1"/>
        <n v="1778" u="1"/>
        <n v="11970" u="1"/>
        <n v="1202" u="1"/>
        <n v="14200" u="1"/>
        <n v="1156" u="1"/>
        <n v="3200" u="1"/>
        <n v="734" u="1"/>
        <n v="20402" u="1"/>
        <n v="9" u="1"/>
        <n v="20880" u="1"/>
        <n v="20110" u="1"/>
        <n v="1083" u="1"/>
        <n v="21348" u="1"/>
        <n v="18540" u="1"/>
        <n v="22485" u="1"/>
        <n v="15360" u="1"/>
        <n v="682" u="1"/>
        <n v="19077" u="1"/>
        <n v="3520" u="1"/>
        <n v="20080" u="1"/>
        <n v="21384" u="1"/>
        <n v="17030" u="1"/>
        <n v="20592" u="1"/>
        <n v="17849" u="1"/>
        <n v="10720" u="1"/>
        <n v="21675" u="1"/>
        <n v="22470" u="1"/>
        <n v="16800" u="1"/>
        <n v="5096" u="1"/>
        <n v="18198" u="1"/>
        <n v="20897" u="1"/>
        <n v="21165" u="1"/>
        <n v="10211" u="1"/>
        <n v="9796" u="1"/>
        <n v="10360" u="1"/>
        <n v="19712" u="1"/>
        <n v="2700" u="1"/>
        <n v="20595" u="1"/>
        <n v="14400" u="1"/>
        <n v="20136" u="1"/>
        <n v="20775" u="1"/>
        <n v="7040" u="1"/>
        <n v="2880" u="1"/>
        <n v="19110" u="1"/>
        <n v="19665" u="1"/>
        <n v="20736" u="1"/>
        <n v="17010" u="1"/>
        <n v="3780" u="1"/>
        <n v="19494" u="1"/>
        <n v="13468" u="1"/>
        <n v="16128" u="1"/>
        <n v="17420" u="1"/>
        <n v="10080" u="1"/>
        <n v="9645" u="1"/>
        <n v="10880" u="1"/>
        <n v="18384" u="1"/>
        <n v="14145" u="1"/>
        <n v="18007" u="1"/>
        <n v="18350" u="1"/>
        <n v="23850" u="1"/>
        <n v="19903" u="1"/>
        <n v="20330" u="1"/>
        <n v="19008" u="1"/>
        <n v="22422" u="1"/>
        <n v="12247" u="1"/>
        <n v="9152" u="1"/>
        <n v="19982" u="1"/>
        <n v="19210" u="1"/>
        <n v="18627" u="1"/>
        <n v="18360" u="1"/>
        <n v="12096" u="1"/>
        <n v="18686" u="1"/>
        <n v="14864" u="1"/>
        <n v="5230" u="1"/>
        <n v="19881" u="1"/>
        <n v="19190" u="1"/>
        <n v="19167" u="1"/>
        <n v="12000" u="1"/>
        <n v="15264" u="1"/>
        <n v="21057" u="1"/>
        <n v="21657" u="1"/>
        <n v="21300" u="1"/>
        <n v="794" u="1"/>
        <n v="21118" u="1"/>
        <n v="25301" u="1"/>
        <n v="2504" u="1"/>
        <n v="387571" u="1"/>
        <n v="6836" u="1"/>
        <n v="1947" u="1"/>
        <n v="915" u="1"/>
        <n v="373" u="1"/>
        <n v="1849" u="1"/>
        <n v="546" u="1"/>
        <n v="2392" u="1"/>
        <n v="2239" u="1"/>
        <n v="2829" u="1"/>
        <n v="154" u="1"/>
        <n v="122" u="1"/>
        <n v="3233" u="1"/>
        <n v="300" u="1"/>
        <n v="3157" u="1"/>
        <n v="65" u="1"/>
        <n v="6801" u="1"/>
        <n v="178" u="1"/>
        <n v="7265" u="1"/>
        <n v="183" u="1"/>
        <n v="1078" u="1"/>
        <n v="12008" u="1"/>
        <n v="8605" u="1"/>
        <n v="20805" u="1"/>
        <n v="7025" u="1"/>
        <n v="12099" u="1"/>
        <n v="3674" u="1"/>
        <n v="127" u="1"/>
        <n v="19785" u="1"/>
        <n v="24318" u="1"/>
        <n v="4949" u="1"/>
        <n v="5997" u="1"/>
        <n v="9297" u="1"/>
        <n v="3754" u="1"/>
        <n v="3703" u="1"/>
        <n v="3169" u="1"/>
        <n v="72" u="1"/>
        <n v="19578" u="1"/>
        <n v="16357" u="1"/>
        <n v="6889" u="1"/>
        <n v="3272" u="1"/>
        <n v="39" u="1"/>
        <n v="6182" u="1"/>
        <n v="8138" u="1"/>
        <n v="16896" u="1"/>
        <n v="15017" u="1"/>
        <n v="10435" u="1"/>
        <n v="2826" u="1"/>
        <n v="12496" u="1"/>
        <n v="6006" u="1"/>
        <n v="70" u="1"/>
        <n v="5264" u="1"/>
        <n v="14696" u="1"/>
        <n v="2304" u="1"/>
        <n v="81" u="1"/>
        <n v="122060" u="1"/>
        <n v="3225" u="1"/>
        <n v="164" u="1"/>
        <n v="2554" u="1"/>
        <n v="162" u="1"/>
        <n v="939" u="1"/>
        <n v="4570" u="1"/>
        <n v="2084" u="1"/>
        <n v="269" u="1"/>
        <n v="773" u="1"/>
        <n v="10868" u="1"/>
        <n v="2126" u="1"/>
        <n v="2884" u="1"/>
        <n v="3837" u="1"/>
        <n v="3210" u="1"/>
        <n v="1939" u="1"/>
        <n v="8169" u="1"/>
        <n v="2694" u="1"/>
        <n v="3526" u="1"/>
        <n v="1670" u="1"/>
        <n v="12892" u="1"/>
        <n v="4213" u="1"/>
        <n v="750" u="1"/>
        <n v="20830" u="1"/>
        <n v="2106" u="1"/>
        <n v="901" u="1"/>
        <n v="29" u="1"/>
        <n v="1196" u="1"/>
        <n v="3004" u="1"/>
        <n v="3984" u="1"/>
        <n v="19600" u="1"/>
        <n v="560" u="1"/>
        <n v="609" u="1"/>
        <n v="2351" u="1"/>
        <n v="19500" u="1"/>
        <n v="1261" u="1"/>
        <n v="10940" u="1"/>
        <n v="2522" u="1"/>
        <n v="1764" u="1"/>
        <n v="12364" u="1"/>
        <n v="1054" u="1"/>
        <n v="8920" u="1"/>
        <n v="1952" u="1"/>
        <n v="470" u="1"/>
        <n v="7204" u="1"/>
        <n v="21890" u="1"/>
        <n v="559" u="1"/>
        <n v="12217" u="1"/>
        <n v="252" u="1"/>
        <n v="16005" u="1"/>
        <n v="477" u="1"/>
        <n v="21786" u="1"/>
        <n v="104" u="1"/>
        <n v="12881" u="1"/>
        <n v="409" u="1"/>
        <n v="10970" u="1"/>
        <n v="3213" u="1"/>
        <n v="535" u="1"/>
        <n v="254" u="1"/>
        <n v="11536" u="1"/>
        <n v="11756" u="1"/>
        <n v="268" u="1"/>
        <n v="6249" u="1"/>
        <n v="3975" u="1"/>
        <n v="19399" u="1"/>
        <n v="12870" u="1"/>
        <n v="280" u="1"/>
        <n v="9622" u="1"/>
        <n v="19271" u="1"/>
        <n v="299" u="1"/>
        <n v="13728" u="1"/>
        <n v="9576" u="1"/>
        <n v="12014" u="1"/>
        <n v="17458" u="1"/>
        <n v="113" u="1"/>
        <n v="312" u="1"/>
        <n v="8034" u="1"/>
        <n v="168" u="1"/>
        <n v="172" u="1"/>
        <n v="17310" u="1"/>
        <n v="41" u="1"/>
        <n v="8112" u="1"/>
        <n v="16542" u="1"/>
        <n v="130" u="1"/>
        <n v="1611" u="1"/>
        <n v="273" u="1"/>
        <n v="22085" u="1"/>
        <n v="95" u="1"/>
        <n v="8988" u="1"/>
        <n v="73" u="1"/>
        <n v="20192" u="1"/>
        <n v="17920" u="1"/>
        <n v="2240" u="1"/>
        <n v="155" u="1"/>
        <n v="18081" u="1"/>
        <n v="788" u="1"/>
        <n v="19302" u="1"/>
        <n v="140" u="1"/>
        <n v="606" u="1"/>
        <n v="11946" u="1"/>
        <n v="3918" u="1"/>
        <n v="23520" u="1"/>
        <n v="301" u="1"/>
        <n v="24058" u="1"/>
        <n v="123" u="1"/>
        <n v="8892" u="1"/>
        <n v="27172" u="1"/>
        <n v="2726" u="1"/>
        <n v="200" u="1"/>
        <n v="9032" u="1"/>
        <n v="54" u="1"/>
        <n v="46" u="1"/>
        <n v="11231" u="1"/>
        <n v="17384" u="1"/>
        <n v="103" u="1"/>
        <n v="1532" u="1"/>
        <n v="175" u="1"/>
        <n v="10471" u="1"/>
        <n v="1337" u="1"/>
        <n v="1739" u="1"/>
        <n v="15072" u="1"/>
        <n v="36" u="1"/>
        <n v="6335" u="1"/>
        <n v="6578" u="1"/>
        <n v="2081" u="1"/>
        <n v="8269" u="1"/>
        <n v="2801" u="1"/>
        <n v="20851" u="1"/>
        <n v="161" u="1"/>
        <n v="11934" u="1"/>
        <n v="56" u="1"/>
        <n v="1722" u="1"/>
        <n v="8805" u="1"/>
        <n v="17261" u="1"/>
        <n v="1602" u="1"/>
        <n v="7781" u="1"/>
        <n v="16331" u="1"/>
        <n v="77" u="1"/>
        <n v="1598" u="1"/>
        <n v="1022" u="1"/>
        <n v="15461" u="1"/>
        <n v="1750" u="1"/>
        <n v="1115" u="1"/>
        <n v="17100" u="1"/>
        <n v="55" u="1"/>
        <n v="15268" u="1"/>
        <n v="41994" u="1"/>
        <n v="350" u="1"/>
        <n v="12233" u="1"/>
        <n v="40561" u="1"/>
        <n v="1941" u="1"/>
        <n v="23279" u="1"/>
        <n v="5120" u="1"/>
        <n v="75" u="1"/>
        <n v="7567" u="1"/>
        <n v="1863" u="1"/>
        <n v="4554" u="1"/>
        <n v="27" u="1"/>
        <n v="11747" u="1"/>
        <n v="9447" u="1"/>
        <n v="28460" u="1"/>
        <n v="9361" u="1"/>
        <n v="7982" u="1"/>
        <n v="30092" u="1"/>
        <n v="9518" u="1"/>
        <n v="1845" u="1"/>
        <n v="40606" u="1"/>
        <n v="7918" u="1"/>
        <n v="4279" u="1"/>
        <n v="28441" u="1"/>
        <n v="13" u="1"/>
        <n v="9540" u="1"/>
        <n v="1328" u="1"/>
        <n v="41021" u="1"/>
        <n v="9754" u="1"/>
        <n v="1974" u="1"/>
        <n v="27832" u="1"/>
        <n v="9289" u="1"/>
        <n v="21345" u="1"/>
        <n v="575" u="1"/>
        <n v="45831" u="1"/>
        <n v="9592" u="1"/>
        <n v="6180" u="1"/>
        <n v="9408" u="1"/>
        <n v="28798" u="1"/>
        <n v="881" u="1"/>
        <n v="29206" u="1"/>
        <n v="1010" u="1"/>
        <n v="2797" u="1"/>
        <n v="19084" u="1"/>
        <n v="2512" u="1"/>
        <n v="15675" u="1"/>
        <n v="1263" u="1"/>
        <n v="807" u="1"/>
        <n v="20280" u="1"/>
        <n v="15040" u="1"/>
        <n v="11649" u="1"/>
        <n v="20410" u="1"/>
        <n v="21967" u="1"/>
        <n v="18902" u="1"/>
        <n v="22709" u="1"/>
        <n v="8320" u="1"/>
        <n v="9040" u="1"/>
        <n v="19097" u="1"/>
        <n v="13945" u="1"/>
        <n v="21000" u="1"/>
        <n v="20002" u="1"/>
        <n v="729" u="1"/>
        <n v="23508" u="1"/>
        <n v="11520" u="1"/>
        <n v="6160" u="1"/>
        <n v="19896" u="1"/>
        <n v="18480" u="1"/>
        <n v="14784" u="1"/>
        <n v="19569" u="1"/>
        <n v="19582" u="1"/>
        <n v="19143" u="1"/>
        <n v="1050" u="1"/>
        <n v="18808" u="1"/>
        <n v="20130" u="1"/>
        <n v="20833" u="1"/>
        <n v="20020" u="1"/>
        <n v="19521" u="1"/>
        <n v="20350" u="1"/>
        <n v="17" u="1"/>
        <n v="20135" u="1"/>
        <n v="20822" u="1"/>
        <n v="18535" u="1"/>
        <n v="22965" u="1"/>
        <n v="12685" u="1"/>
        <n v="21258" u="1"/>
        <n v="19413" u="1"/>
        <n v="18442" u="1"/>
        <n v="18410" u="1"/>
        <n v="22515" u="1"/>
        <n v="20026" u="1"/>
        <n v="19815" u="1"/>
        <n v="18240" u="1"/>
        <n v="20010" u="1"/>
        <n v="1872" u="1"/>
        <n v="41600" u="1"/>
        <n v="18276" u="1"/>
        <n v="17985" u="1"/>
        <n v="22348" u="1"/>
        <n v="694" u="1"/>
        <n v="23163" u="1"/>
        <n v="19305" u="1"/>
        <n v="19537" u="1"/>
        <n v="20328" u="1"/>
        <n v="2560" u="1"/>
        <n v="17730" u="1"/>
        <n v="19673" u="1"/>
        <n v="22045" u="1"/>
        <n v="19800" u="1"/>
        <n v="14179" u="1"/>
        <n v="19201" u="1"/>
        <n v="19178" u="1"/>
        <n v="16335" u="1"/>
        <n v="19620" u="1"/>
        <n v="21929" u="1"/>
        <n v="25051" u="1"/>
        <n v="13936" u="1"/>
        <n v="7458" u="1"/>
        <n v="21280" u="1"/>
        <n v="800" u="1"/>
        <n v="22655" u="1"/>
        <n v="19373" u="1"/>
        <n v="18208" u="1"/>
        <n v="22500" u="1"/>
        <n v="1920" u="1"/>
        <n v="18851" u="1"/>
        <n v="20260" u="1"/>
        <n v="8415" u="1"/>
        <n v="19890" u="1"/>
        <n v="19017" u="1"/>
        <n v="6001" u="1"/>
        <n v="16940" u="1"/>
        <n v="3860" u="1"/>
        <n v="10962" u="1"/>
        <n v="12347" u="1"/>
        <n v="20300" u="1"/>
        <n v="21255" u="1"/>
        <n v="18922" u="1"/>
        <n v="19052" u="1"/>
        <n v="20424" u="1"/>
        <n v="18945" u="1"/>
        <n v="16063" u="1"/>
        <n v="1988" u="1"/>
        <n v="18392" u="1"/>
        <n v="16160" u="1"/>
        <n v="1890" u="1"/>
        <n v="2260" u="1"/>
        <n v="15736" u="1"/>
        <n v="19100" u="1"/>
        <n v="15840" u="1"/>
        <n v="20719" u="1"/>
        <n v="18087" u="1"/>
        <n v="13630" u="1"/>
        <n v="20008" u="1"/>
        <n v="19536" u="1"/>
        <n v="20048" u="1"/>
        <n v="20374" u="1"/>
        <n v="20216" u="1"/>
        <n v="20768" u="1"/>
        <n v="8450" u="1"/>
        <n v="11710" u="1"/>
        <n v="20082" u="1"/>
        <n v="18000" u="1"/>
        <n v="8826" u="1"/>
        <n v="1180" u="1"/>
        <n v="20320" u="1"/>
        <n v="19595" u="1"/>
        <n v="20270" u="1"/>
        <n v="42000" u="1"/>
        <n v="20137" u="1"/>
        <n v="20640" u="1"/>
        <n v="4470" u="1"/>
        <n v="482" u="1"/>
        <n v="5904" u="1"/>
        <n v="94" u="1"/>
        <n v="352" u="1"/>
        <n v="1312" u="1"/>
        <n v="9021" u="1"/>
        <n v="239" u="1"/>
        <n v="778" u="1"/>
        <n v="2660" u="1"/>
        <n v="13906" u="1"/>
        <n v="518" u="1"/>
        <n v="5455" u="1"/>
        <n v="7929" u="1"/>
        <n v="20095" u="1"/>
        <n v="7409" u="1"/>
        <n v="86" u="1"/>
        <n v="320" u="1"/>
        <n v="2467" u="1"/>
        <n v="4094" u="1"/>
        <n v="10991" u="1"/>
        <n v="5203" u="1"/>
        <n v="5400" u="1"/>
        <n v="78" u="1"/>
        <n v="2341" u="1"/>
        <n v="910" u="1"/>
        <n v="3318" u="1"/>
        <n v="21640" u="1"/>
        <n v="65919" u="1"/>
        <n v="142" u="1"/>
        <n v="2148" u="1"/>
        <n v="386" u="1"/>
        <n v="6125" u="1"/>
        <n v="15120" u="1"/>
        <n v="39255" u="1"/>
        <n v="9920" u="1"/>
        <n v="22019" u="1"/>
        <n v="63" u="1"/>
        <n v="7370" u="1"/>
        <n v="3586" u="1"/>
        <n v="39256" u="1"/>
        <n v="14490" u="1"/>
        <n v="522" u="1"/>
        <n v="3913" u="1"/>
        <n v="119" u="1"/>
        <n v="452" u="1"/>
        <n v="1712" u="1"/>
        <n v="7961" u="1"/>
        <n v="7441" u="1"/>
        <n v="20097" u="1"/>
        <n v="12678" u="1"/>
        <n v="4124" u="1"/>
        <n v="15152" u="1"/>
        <n v="59" u="1"/>
        <n v="5101" u="1"/>
        <n v="20885" u="1"/>
        <n v="8095" u="1"/>
        <n v="55078" u="1"/>
        <n v="159" u="1"/>
        <n v="4778" u="1"/>
        <n v="2290" u="1"/>
        <n v="485" u="1"/>
        <n v="8849" u="1"/>
        <n v="17387" u="1"/>
        <n v="111" u="1"/>
        <n v="8786" u="1"/>
        <n v="10220" u="1"/>
        <n v="14711" u="1"/>
        <n v="5369" u="1"/>
        <n v="914" u="1"/>
        <n v="849" u="1"/>
        <n v="12048" u="1"/>
        <n v="2684" u="1"/>
        <n v="11402" u="1"/>
        <n v="6480" u="1"/>
        <n v="11796" u="1"/>
        <n v="11276" u="1"/>
        <n v="4660" u="1"/>
        <n v="9196" u="1"/>
        <n v="6157" u="1"/>
        <n v="258" u="1"/>
        <n v="14144" u="1"/>
        <n v="51" u="1"/>
        <n v="192" u="1"/>
        <n v="655" u="1"/>
        <n v="14995" u="1"/>
        <n v="7788" u="1"/>
        <n v="9858" u="1"/>
        <n v="6102" u="1"/>
        <n v="47" u="1"/>
        <n v="176" u="1"/>
        <n v="15011" u="1"/>
        <n v="324" u="1"/>
        <n v="225" u="1"/>
        <n v="33336" u="1"/>
        <n v="2956" u="1"/>
        <n v="43" u="1"/>
        <n v="160" u="1"/>
        <n v="422" u="1"/>
        <n v="8850" u="1"/>
        <n v="9827" u="1"/>
        <n v="4000" u="1"/>
        <n v="3220" u="1"/>
        <n v="6118" u="1"/>
        <n v="19690" u="1"/>
        <n v="24638" u="1"/>
        <n v="11923" u="1"/>
        <n v="1724" u="1"/>
        <n v="8866" u="1"/>
        <n v="4235" u="1"/>
        <n v="1269" u="1"/>
        <n v="11277" u="1"/>
        <n v="20226" u="1"/>
        <n v="3874" u="1"/>
        <n v="193" u="1"/>
        <n v="8551" u="1"/>
        <n v="59181" u="1"/>
        <n v="1661" u="1"/>
        <n v="6260" u="1"/>
        <n v="9859" u="1"/>
        <n v="1271" u="1"/>
        <n v="3228" u="1"/>
        <n v="35356" u="1"/>
        <n v="14555" u="1"/>
        <n v="3815" u="1"/>
        <n v="8315" u="1"/>
        <n v="1143" u="1"/>
        <n v="14823" u="1"/>
        <n v="726" u="1"/>
        <n v="661" u="1"/>
        <n v="6339" u="1"/>
        <n v="489" u="1"/>
        <n v="20700" u="1"/>
        <n v="424" u="1"/>
        <n v="18557" u="1"/>
        <n v="19534" u="1"/>
        <n v="294" u="1"/>
        <n v="987" u="1"/>
        <n v="7710" u="1"/>
        <n v="20196" u="1"/>
        <n v="9702" u="1"/>
        <n v="857" u="1"/>
        <n v="210" u="1"/>
        <n v="2716" u="1"/>
        <n v="20921" u="1"/>
        <n v="13484" u="1"/>
        <n v="20606" u="1"/>
        <n v="1472" u="1"/>
        <n v="15643" u="1"/>
        <n v="490" u="1"/>
        <n v="1929" u="1"/>
        <n v="4535" u="1"/>
        <n v="360" u="1"/>
        <n v="1279" u="1"/>
        <n v="295" u="1"/>
        <n v="7986" u="1"/>
        <n v="3894" u="1"/>
        <n v="243" u="1"/>
        <n v="7466" u="1"/>
        <n v="6166" u="1"/>
        <n v="2204" u="1"/>
        <n v="3831" u="1"/>
        <n v="2921" u="1"/>
        <n v="1216" u="1"/>
        <n v="4740" u="1"/>
        <n v="4480" u="1"/>
        <n v="990" u="1"/>
        <n v="20292" u="1"/>
        <n v="37252" u="1"/>
        <n v="11058" u="1"/>
        <n v="426" u="1"/>
        <n v="1478" u="1"/>
        <n v="5788" u="1"/>
        <n v="7805" u="1"/>
        <n v="10932" u="1"/>
        <n v="80" u="1"/>
        <n v="6765" u="1"/>
        <n v="8002" u="1"/>
        <n v="991" u="1"/>
        <n v="20009" u="1"/>
        <n v="146" u="1"/>
        <n v="12634" u="1"/>
        <n v="32048" u="1"/>
        <n v="1805" u="1"/>
        <n v="16085" u="1"/>
        <n v="11531" u="1"/>
        <n v="14399" u="1"/>
        <n v="264" u="1"/>
        <n v="5733" u="1"/>
        <n v="195" u="1"/>
        <n v="5670" u="1"/>
        <n v="17110" u="1"/>
        <n v="2606" u="1"/>
        <n v="1937" u="1"/>
        <n v="2673" u="1"/>
        <n v="52823" u="1"/>
        <n v="17520" u="1"/>
        <n v="64" u="1"/>
        <n v="244" u="1"/>
        <n v="928" u="1"/>
        <n v="10318" u="1"/>
        <n v="14352" u="1"/>
        <n v="17205" u="1"/>
        <n v="47844" u="1"/>
        <n v="21838" u="1"/>
        <n v="11500" u="1"/>
        <n v="7049" u="1"/>
        <n v="1094" u="1"/>
        <n v="4252" u="1"/>
        <n v="265" u="1"/>
        <n v="1029" u="1"/>
        <n v="15408" u="1"/>
        <n v="14888" u="1"/>
        <n v="228" u="1"/>
        <n v="8160" u="1"/>
        <n v="11122" u="1"/>
        <n v="20956" u="1"/>
        <n v="1746" u="1"/>
        <n v="363" u="1"/>
        <n v="20704" u="1"/>
        <n v="4780" u="1"/>
        <n v="298" u="1"/>
        <n v="14384" u="1"/>
        <n v="3398" u="1"/>
        <n v="8790" u="1"/>
        <n v="3138" u="1"/>
        <n v="15235" u="1"/>
        <n v="13612" u="1"/>
        <n v="3075" u="1"/>
        <n v="21839" u="1"/>
        <n v="20610" u="1"/>
        <n v="21461" u="1"/>
        <n v="8680" u="1"/>
        <n v="131" u="1"/>
        <n v="7916" u="1"/>
        <n v="6616" u="1"/>
        <n v="97" u="1"/>
        <n v="1490" u="1"/>
        <n v="245" u="1"/>
        <n v="9862" u="1"/>
        <n v="10319" u="1"/>
        <n v="3016" u="1"/>
        <n v="4930" u="1"/>
        <n v="17144" u="1"/>
        <n v="41671" u="1"/>
        <n v="15141" u="1"/>
        <n v="12604" u="1"/>
        <n v="397" u="1"/>
        <n v="332" u="1"/>
        <n v="7538" u="1"/>
        <n v="14952" u="1"/>
        <n v="229" u="1"/>
        <n v="46462" u="1"/>
        <n v="22250" u="1"/>
        <n v="2014" u="1"/>
        <n v="11186" u="1"/>
        <n v="5135" u="1"/>
        <n v="4355" u="1"/>
        <n v="1559" u="1"/>
        <n v="13597" u="1"/>
        <n v="13534" u="1"/>
        <n v="2307" u="1"/>
        <n v="8460" u="1"/>
        <n v="8003" u="1"/>
        <n v="7680" u="1"/>
        <n v="398" u="1"/>
        <n v="28932" u="1"/>
        <n v="333" u="1"/>
        <n v="4820" u="1"/>
        <n v="1000" u="1"/>
        <n v="21652" u="1"/>
        <n v="870" u="1"/>
        <n v="2508" u="1"/>
        <n v="545" u="1"/>
        <n v="11612" u="1"/>
        <n v="9012" u="1"/>
        <n v="9989" u="1"/>
        <n v="12983" u="1"/>
        <n v="13440" u="1"/>
        <n v="9280" u="1"/>
        <n v="12274" u="1"/>
        <n v="1955" u="1"/>
        <n v="1500" u="1"/>
        <n v="334" u="1"/>
        <n v="1175" u="1"/>
        <n v="230" u="1"/>
        <n v="22630" u="1"/>
        <n v="6530" u="1"/>
        <n v="165" u="1"/>
        <n v="13850" u="1"/>
        <n v="612" u="1"/>
        <n v="4450" u="1"/>
        <n v="1957" u="1"/>
        <n v="6664" u="1"/>
        <n v="22000" u="1"/>
        <n v="4844" u="1"/>
        <n v="3950" u="1"/>
        <n v="3690" u="1"/>
        <n v="2520" u="1"/>
        <n v="4458" u="1"/>
        <n v="8792" u="1"/>
        <n v="6215" u="1"/>
        <n v="1699" u="1"/>
        <n v="106" u="1"/>
        <n v="8666" u="1"/>
        <n v="2847" u="1"/>
        <n v="9060" u="1"/>
        <n v="1114" u="1"/>
        <n v="8997" u="1"/>
        <n v="11991" u="1"/>
        <n v="58759" u="1"/>
        <n v="16391" u="1"/>
        <n v="133" u="1"/>
        <n v="11802" u="1"/>
        <n v="498" u="1"/>
        <n v="16293" u="1"/>
        <n v="1766" u="1"/>
        <n v="1571" u="1"/>
        <n v="5057" u="1"/>
        <n v="27737" u="1"/>
        <n v="10447" u="1"/>
        <n v="5971" u="1"/>
        <n v="29376" u="1"/>
        <n v="1638" u="1"/>
        <n v="401" u="1"/>
        <n v="90" u="1"/>
        <n v="336" u="1"/>
        <n v="12086" u="1"/>
        <n v="4805" u="1"/>
        <n v="11960" u="1"/>
        <n v="5782" u="1"/>
        <n v="616" u="1"/>
        <n v="4482" u="1"/>
        <n v="12291" u="1"/>
        <n v="2079" u="1"/>
        <n v="20521" u="1"/>
        <n v="8210" u="1"/>
        <n v="74" u="1"/>
        <n v="272" u="1"/>
        <n v="4104" u="1"/>
        <n v="3840" u="1"/>
        <n v="21719" u="1"/>
        <n v="99894" u="1"/>
        <n v="6452" u="1"/>
        <n v="12780" u="1"/>
        <n v="1579" u="1"/>
        <n v="10180" u="1"/>
        <n v="1009" u="1"/>
        <n v="7563" u="1"/>
        <n v="5286" u="1"/>
        <n v="468" u="1"/>
        <n v="5680" u="1"/>
        <n v="2741" u="1"/>
        <n v="232" u="1"/>
        <n v="2158" u="1"/>
        <n v="1713" u="1"/>
        <n v="22319" u="1"/>
        <n v="19136" u="1"/>
        <n v="15680" u="1"/>
        <n v="57" u="1"/>
        <n v="686" u="1"/>
        <n v="6279" u="1"/>
        <n v="6019" u="1"/>
        <n v="3659" u="1"/>
        <n v="5956" u="1"/>
        <n v="7973" u="1"/>
        <n v="11268" u="1"/>
        <n v="1260" u="1"/>
        <n v="274" u="1"/>
        <n v="6153" u="1"/>
        <n v="7910" u="1"/>
        <n v="18979" u="1"/>
        <n v="53" u="1"/>
        <n v="6090" u="1"/>
        <n v="10039" u="1"/>
        <n v="752" u="1"/>
        <n v="5830" u="1"/>
        <n v="9519" u="1"/>
        <n v="7587" u="1"/>
        <n v="5310" u="1"/>
        <n v="27520" u="1"/>
        <n v="437" u="1"/>
        <n v="10307" u="1"/>
        <n v="2883" u="1"/>
        <n v="13301" u="1"/>
        <n v="2103" u="1"/>
        <n v="948" u="1"/>
        <n v="23896" u="1"/>
        <n v="8432" u="1"/>
        <n v="405" u="1"/>
        <n v="91" u="1"/>
        <n v="8700" u="1"/>
        <n v="18980" u="1"/>
        <n v="754" u="1"/>
        <n v="45" u="1"/>
        <n v="9945" u="1"/>
        <n v="98267" u="1"/>
        <n v="54609" u="1"/>
        <n v="9299" u="1"/>
        <n v="1396" u="1"/>
        <n v="83" u="1"/>
        <n v="1266" u="1"/>
        <n v="10213" u="1"/>
        <n v="9173" u="1"/>
        <n v="885" u="1"/>
        <n v="9110" u="1"/>
        <n v="152" u="1"/>
        <n v="2308" u="1"/>
        <n v="8464" u="1"/>
        <n v="11458" u="1"/>
        <n v="15492" u="1"/>
        <n v="18445" u="1"/>
        <n v="15886" u="1"/>
        <n v="4428" u="1"/>
        <n v="276" u="1"/>
        <n v="16280" u="1"/>
        <n v="14720" u="1"/>
        <n v="10166" u="1"/>
        <n v="15697" u="1"/>
        <n v="19044" u="1"/>
        <n v="9520" u="1"/>
        <n v="9000" u="1"/>
        <n v="14531" u="1"/>
        <n v="4069" u="1"/>
        <n v="1530" u="1"/>
        <n v="374" u="1"/>
        <n v="20368" u="1"/>
        <n v="2249" u="1"/>
        <n v="250" u="1"/>
        <n v="822" u="1"/>
        <n v="14547" u="1"/>
        <n v="11490" u="1"/>
        <n v="1662" u="1"/>
        <n v="26577" u="1"/>
        <n v="14358" u="1"/>
        <n v="823" u="1"/>
        <n v="4121" u="1"/>
        <n v="169" u="1"/>
        <n v="12546" u="1"/>
        <n v="505" u="1"/>
        <n v="116" u="1"/>
        <n v="8906" u="1"/>
        <n v="12877" u="1"/>
        <n v="2517" u="1"/>
        <n v="1209" u="1"/>
        <n v="18352" u="1"/>
        <n v="1079" u="1"/>
        <n v="7446" u="1"/>
        <n v="19140" u="1"/>
        <n v="218" u="1"/>
        <n v="10151" u="1"/>
        <n v="16202" u="1"/>
        <n v="7383" u="1"/>
        <n v="2584" u="1"/>
        <n v="2064" u="1"/>
        <n v="1991" u="1"/>
        <n v="16619" u="1"/>
        <n v="108" u="1"/>
        <n v="21630" u="1"/>
        <n v="408" u="1"/>
        <n v="1601" u="1"/>
        <n v="20590" u="1"/>
        <n v="2781" u="1"/>
        <n v="7517" u="1"/>
        <n v="21504" u="1"/>
        <n v="6997" u="1"/>
        <n v="6477" u="1"/>
        <n v="2328" u="1"/>
        <n v="506" u="1"/>
        <n v="1798" u="1"/>
        <n v="5051" u="1"/>
        <n v="20496" u="1"/>
        <n v="1278" u="1"/>
        <n v="311" u="1"/>
        <n v="3242" u="1"/>
        <n v="186" u="1"/>
        <n v="5579" u="1"/>
        <n v="7596" u="1"/>
        <n v="1800" u="1"/>
        <n v="1735" u="1"/>
        <n v="6816" u="1"/>
        <n v="13445" u="1"/>
        <n v="92" u="1"/>
        <n v="344" u="1"/>
        <n v="7273" u="1"/>
        <n v="1280" u="1"/>
        <n v="1215" u="1"/>
        <n v="1150" u="1"/>
        <n v="2139" u="1"/>
        <n v="15856" u="1"/>
        <n v="235" u="1"/>
        <n v="15210" u="1"/>
        <n v="16124" u="1"/>
        <n v="442" u="1"/>
        <n v="1477" u="1"/>
        <n v="1412" u="1"/>
        <n v="8907" u="1"/>
        <n v="84" u="1"/>
        <n v="6761" u="1"/>
        <n v="4224" u="1"/>
        <n v="5981" u="1"/>
        <n v="5461" u="1"/>
        <n v="5138" u="1"/>
        <n v="2470" u="1"/>
        <n v="3447" u="1"/>
        <n v="18764" u="1"/>
        <n v="1414" u="1"/>
        <n v="16495" u="1"/>
        <n v="21380" u="1"/>
        <n v="4429" u="1"/>
        <n v="10231" u="1"/>
        <n v="764" u="1"/>
        <n v="11208" u="1"/>
        <n v="8671" u="1"/>
        <n v="41760" u="1"/>
        <n v="634" u="1"/>
        <n v="2474" u="1"/>
        <n v="569" u="1"/>
        <n v="1416" u="1"/>
        <n v="5540" u="1"/>
        <n v="9396" u="1"/>
        <n v="68" u="1"/>
        <n v="2998" u="1"/>
        <n v="2868" u="1"/>
        <n v="7431" u="1"/>
        <n v="476" u="1"/>
        <n v="1483" u="1"/>
        <n v="9475" u="1"/>
        <n v="15006" u="1"/>
        <n v="11429" u="1"/>
        <n v="281" u="1"/>
        <n v="19490" u="1"/>
        <n v="13840" u="1"/>
        <n v="3262" u="1"/>
        <n v="766" u="1"/>
        <n v="11760" u="1"/>
        <n v="171" u="1"/>
        <n v="20089" u="1"/>
        <n v="3979" u="1"/>
        <n v="21791" u="1"/>
        <n v="1485" u="1"/>
        <n v="2809" u="1"/>
        <n v="15022" u="1"/>
        <n v="6793" u="1"/>
        <n v="1160" u="1"/>
        <n v="11902" u="1"/>
        <n v="58" u="1"/>
        <n v="832" u="1"/>
        <n v="49957" u="1"/>
        <n v="637" u="1"/>
        <n v="4650" u="1"/>
        <n v="28189" u="1"/>
        <n v="5627" u="1"/>
        <n v="109" u="1"/>
        <n v="13084" u="1"/>
        <n v="412" u="1"/>
        <n v="6344" u="1"/>
        <n v="4784" u="1"/>
        <n v="17600" u="1"/>
        <n v="282" u="1"/>
        <n v="11918" u="1"/>
        <n v="204" u="1"/>
        <n v="768" u="1"/>
        <n v="7912" u="1"/>
        <n v="1944" u="1"/>
        <n v="1619" u="1"/>
        <n v="16844" u="1"/>
        <n v="101" u="1"/>
        <n v="20500" u="1"/>
        <n v="3014" u="1"/>
        <n v="188" u="1"/>
        <n v="2104" u="1"/>
        <n v="4146" u="1"/>
        <n v="10185" u="1"/>
        <n v="93" u="1"/>
        <n v="25858" u="1"/>
        <n v="348" u="1"/>
        <n v="1296" u="1"/>
        <n v="283" u="1"/>
        <n v="1036" u="1"/>
        <n v="8054" u="1"/>
        <n v="10390" u="1"/>
        <n v="14424" u="1"/>
        <n v="23400" u="1"/>
        <n v="705" u="1"/>
        <n v="2628" u="1"/>
        <n v="640" u="1"/>
        <n v="21131" u="1"/>
        <n v="21068" u="1"/>
        <n v="446" u="1"/>
        <n v="7345" u="1"/>
        <n v="85" u="1"/>
        <n v="6825" u="1"/>
        <n v="18736" u="1"/>
        <n v="8972" u="1"/>
        <n v="1103" u="1"/>
        <n v="36724" u="1"/>
        <n v="7282" u="1"/>
        <n v="12880" u="1"/>
        <n v="3" u="1"/>
        <n v="2372" u="1"/>
        <n v="4682" u="1"/>
        <n v="22140" u="1"/>
        <n v="4879" u="1"/>
        <n v="2179" u="1"/>
        <n v="19682" u="1"/>
        <n v="14976" u="1"/>
        <n v="21636" u="1"/>
        <n v="3286" u="1"/>
        <n v="205" u="1"/>
        <n v="707" u="1"/>
        <n v="577" u="1"/>
        <n v="3613" u="1"/>
        <n v="3483" u="1"/>
        <n v="1432" u="1"/>
        <n v="69" u="1"/>
        <n v="1042" u="1"/>
        <n v="7818" u="1"/>
        <n v="903" u="1"/>
        <n v="6778" u="1"/>
        <n v="22582" u="1"/>
        <n v="5998" u="1"/>
        <n v="12849" u="1"/>
        <n v="4178" u="1"/>
        <n v="22015" u="1"/>
        <n v="238" u="1"/>
        <n v="3684" u="1"/>
        <n v="2774" u="1"/>
        <n v="4966" u="1"/>
        <n v="2124" u="1"/>
        <n v="8248" u="1"/>
        <n v="31" u="1"/>
        <n v="118" u="1"/>
        <n v="448" u="1"/>
        <n v="1631" u="1"/>
        <n v="20030" u="1"/>
        <n v="3688" u="1"/>
        <n v="7314" u="1"/>
        <n v="222" u="1"/>
        <n v="775" u="1"/>
        <n v="7511" u="1"/>
        <n v="20440" u="1"/>
        <n v="157" u="1"/>
        <n v="20251" u="1"/>
        <n v="8721" u="1"/>
        <n v="7188" u="1"/>
        <n v="3495" u="1"/>
        <n v="1503" u="1"/>
        <n v="53684" u="1"/>
        <n v="351" u="1"/>
        <n v="1308" u="1"/>
        <n v="24821" u="1"/>
        <n v="206" u="1"/>
        <n v="12834" u="1"/>
        <n v="516" u="1"/>
        <n v="36036" u="1"/>
        <n v="3499" u="1"/>
        <n v="19968" u="1"/>
        <n v="13102" u="1"/>
        <n v="3956" u="1"/>
        <n v="20693" u="1"/>
        <n v="190" u="1"/>
      </sharedItems>
    </cacheField>
    <cacheField name="Cena Din" numFmtId="4">
      <sharedItems containsString="0" containsBlank="1" containsNumber="1" containsInteger="1" minValue="0" maxValue="450"/>
    </cacheField>
    <cacheField name="Cena EUR" numFmtId="4">
      <sharedItems containsString="0" containsBlank="1" containsNumber="1" minValue="0.4" maxValue="1"/>
    </cacheField>
    <cacheField name="Marža" numFmtId="4">
      <sharedItems containsString="0" containsBlank="1" containsNumber="1" containsInteger="1" minValue="0" maxValue="37"/>
    </cacheField>
    <cacheField name="Iznos Din" numFmtId="4">
      <sharedItems containsString="0" containsBlank="1" containsNumber="1" minValue="0" maxValue="8535795.0999999996"/>
    </cacheField>
    <cacheField name="Iznos EUR" numFmtId="4">
      <sharedItems containsString="0" containsBlank="1" containsNumber="1" minValue="0.4" maxValue="1.2"/>
    </cacheField>
    <cacheField name="Isplata" numFmtId="4">
      <sharedItems containsString="0" containsBlank="1" containsNumber="1" containsInteger="1" minValue="0" maxValue="10000000"/>
    </cacheField>
    <cacheField name="Ugovor Br" numFmtId="0">
      <sharedItems containsBlank="1" count="7">
        <m/>
        <s v="1"/>
        <s v="" u="1"/>
        <s v="18198" u="1"/>
        <s v="1153" u="1"/>
        <s v="Original" u="1"/>
        <s v="EV2317136" u="1"/>
      </sharedItems>
    </cacheField>
    <cacheField name="Org. celina" numFmtId="0">
      <sharedItems containsBlank="1" count="4">
        <m/>
        <s v="Firma"/>
        <s v="Proizvodnja"/>
        <s v="" u="1"/>
      </sharedItems>
    </cacheField>
    <cacheField name="Grupa Troška" numFmtId="0">
      <sharedItems containsBlank="1" count="10">
        <m/>
        <s v="Radnici"/>
        <s v="Komunalije"/>
        <s v="Repromaterijal"/>
        <s v="Nematerijalni"/>
        <s v="Potrošni Materijal"/>
        <s v="Investicije"/>
        <s v="Održavanje"/>
        <s v="Reklamacije"/>
        <s v="" u="1"/>
      </sharedItems>
    </cacheField>
    <cacheField name="Trošak" numFmtId="0">
      <sharedItems containsBlank="1" count="36">
        <m/>
        <s v="Stalni radnici"/>
        <s v="Struja"/>
        <s v="Kutije"/>
        <s v="Porezi"/>
        <s v="Gorivo"/>
        <s v="Oprema"/>
        <s v="Održavanje Opreme"/>
        <s v="Reklamacija"/>
        <s v="Anaize"/>
        <s v="Sertifikati"/>
        <s v="Prevoz robe"/>
        <s v="Kese"/>
        <s v="Higijena"/>
        <s v="Kancelariski Materijal"/>
        <s v="Organizacija"/>
        <s v="Sezonski radnici"/>
        <s v="Održavanje Objekta"/>
        <s v="Gradnja"/>
        <s v="Održavanje Vozila"/>
        <s v="Etikete"/>
        <s v="Telefoni"/>
        <s v="Internet"/>
        <s v="" u="1"/>
        <s v="Traka" u="1"/>
        <s v="Folija" u="1"/>
        <s v="Porezi i Dopinosi" u="1"/>
        <s v="Palete" u="1"/>
        <s v="Hrana" u="1"/>
        <s v="Džakovi" u="1"/>
        <s v="Špedicija" u="1"/>
        <s v="Smeće" u="1"/>
        <s v="Osiguranje" u="1"/>
        <s v="Odela i cipele" u="1"/>
        <s v="Kamate" u="1"/>
        <s v="Voda" u="1"/>
      </sharedItems>
    </cacheField>
    <cacheField name="Iznos Troška" numFmtId="4">
      <sharedItems containsString="0" containsBlank="1" containsNumber="1" minValue="0" maxValue="1162330"/>
    </cacheField>
    <cacheField name="Uplata Din" numFmtId="4">
      <sharedItems containsString="0" containsBlank="1" containsNumber="1" containsInteger="1" minValue="1" maxValue="117"/>
    </cacheField>
    <cacheField name="Uplate EUR" numFmtId="4">
      <sharedItems containsString="0" containsBlank="1" containsNumber="1" containsInteger="1" minValue="1" maxValue="1"/>
    </cacheField>
    <cacheField name="Malina" numFmtId="4">
      <sharedItems containsSemiMixedTypes="0" containsString="0" containsNumber="1" containsInteger="1" minValue="0" maxValue="17527"/>
    </cacheField>
    <cacheField name="Kupina" numFmtId="4">
      <sharedItems containsSemiMixedTypes="0" containsString="0" containsNumber="1" containsInteger="1" minValue="0" maxValue="1"/>
    </cacheField>
    <cacheField name="Šljiva" numFmtId="4">
      <sharedItems containsSemiMixedTypes="0" containsString="0" containsNumber="1" containsInteger="1" minValue="0" maxValue="1"/>
    </cacheField>
    <cacheField name="Višnja" numFmtId="4">
      <sharedItems containsSemiMixedTypes="0" containsString="0" containsNumber="1" containsInteger="1" minValue="0" maxValue="451"/>
    </cacheField>
    <cacheField name="Kajsija" numFmtId="4">
      <sharedItems containsSemiMixedTypes="0" containsString="0" containsNumber="1" containsInteger="1" minValue="0" maxValue="1"/>
    </cacheField>
    <cacheField name="Borovnica" numFmtId="4">
      <sharedItems containsSemiMixedTypes="0" containsString="0" containsNumber="1" containsInteger="1" minValue="0" maxValue="1"/>
    </cacheField>
    <cacheField name="Kupina Sl" numFmtId="4">
      <sharedItems containsSemiMixedTypes="0" containsString="0" containsNumber="1" containsInteger="1" minValue="0" maxValue="1"/>
    </cacheField>
    <cacheField name="PDV Po Kg" numFmtId="4">
      <sharedItems containsSemiMixedTypes="0" containsString="0" containsNumber="1" minValue="0" maxValue="33.333300000000001"/>
    </cacheField>
    <cacheField name="Cena bez PDV" numFmtId="4">
      <sharedItems containsSemiMixedTypes="0" containsString="0" containsNumber="1" containsInteger="1" minValue="0" maxValue="417"/>
    </cacheField>
    <cacheField name="Vrednost bez PDV" numFmtId="4">
      <sharedItems containsSemiMixedTypes="0" containsString="0" containsNumber="1" containsInteger="1" minValue="0" maxValue="7303042"/>
    </cacheField>
    <cacheField name="Vrednost za Isplatu" numFmtId="4">
      <sharedItems containsSemiMixedTypes="0" containsString="0" containsNumber="1" minValue="0" maxValue="8746707.5860010013"/>
    </cacheField>
    <cacheField name="Cena Koštanja Nabavka" numFmtId="4">
      <sharedItems containsSemiMixedTypes="0" containsString="0" containsNumber="1" minValue="0" maxValue="453.66669999999999"/>
    </cacheField>
    <cacheField name="Obračunska Vrednost" numFmtId="4">
      <sharedItems containsSemiMixedTypes="0" containsString="0" containsNumber="1" minValue="0" maxValue="7951552.3509099996"/>
    </cacheField>
    <cacheField name="Vrednost Global Gap" numFmtId="4">
      <sharedItems containsSemiMixedTypes="0" containsString="0" containsNumber="1" containsInteger="1" minValue="0" maxValue="1"/>
    </cacheField>
    <cacheField name="Vr.Doca Global gap" numFmtId="4">
      <sharedItems containsSemiMixedTypes="0" containsString="0" containsNumber="1" containsInteger="1" minValue="0" maxValue="0"/>
    </cacheField>
    <cacheField name="Dobavljač Fakturna" numFmtId="4">
      <sharedItems containsSemiMixedTypes="0" containsString="0" containsNumber="1" containsInteger="1" minValue="0" maxValue="499"/>
    </cacheField>
    <cacheField name="Otkup Isplata" numFmtId="4">
      <sharedItems containsSemiMixedTypes="0" containsString="0" containsNumber="1" containsInteger="1" minValue="0" maxValue="405"/>
    </cacheField>
    <cacheField name="Nabavka Preduzeća" numFmtId="4">
      <sharedItems containsSemiMixedTypes="0" containsString="0" containsNumber="1" containsInteger="1" minValue="0" maxValue="50"/>
    </cacheField>
    <cacheField name="Ukupna Marža" numFmtId="4">
      <sharedItems containsSemiMixedTypes="0" containsString="0" containsNumber="1" containsInteger="1" minValue="0" maxValue="648510"/>
    </cacheField>
    <cacheField name="Ugovorena Količina" numFmtId="4">
      <sharedItems containsString="0" containsBlank="1" containsNumber="1" containsInteger="1" minValue="1" maxValue="1"/>
    </cacheField>
    <cacheField name="Prosečna cena" numFmtId="0" formula="Marža*Količina" databaseField="0"/>
    <cacheField name="Proba" numFmtId="0" formula="Količina*Marža" databaseField="0"/>
    <cacheField name="Polje1" numFmtId="0" formula="'Cena Din'+Marža" databaseField="0"/>
    <cacheField name="Vrednost sa maržom" numFmtId="0" formula="Količina*('Cena Din'+Marža)" databaseField="0"/>
    <cacheField name="Stanje roba" numFmtId="0" formula="Isplata-'Iznos Din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">
  <r>
    <x v="0"/>
    <x v="0"/>
    <x v="0"/>
    <x v="0"/>
    <x v="0"/>
    <x v="0"/>
    <x v="0"/>
    <x v="0"/>
    <x v="0"/>
    <x v="0"/>
    <n v="1"/>
    <n v="1"/>
    <m/>
    <n v="1"/>
    <n v="1"/>
    <m/>
    <x v="0"/>
    <x v="0"/>
    <x v="0"/>
    <x v="0"/>
    <m/>
    <m/>
    <m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"/>
    <x v="0"/>
    <x v="1"/>
    <x v="1"/>
    <x v="1"/>
    <x v="1"/>
    <x v="1"/>
    <x v="1"/>
    <x v="1"/>
    <x v="1"/>
    <n v="1"/>
    <m/>
    <n v="0"/>
    <n v="2"/>
    <m/>
    <n v="0"/>
    <x v="0"/>
    <x v="0"/>
    <x v="0"/>
    <x v="0"/>
    <m/>
    <m/>
    <m/>
    <n v="2"/>
    <n v="0"/>
    <n v="0"/>
    <n v="0"/>
    <n v="0"/>
    <n v="0"/>
    <n v="0"/>
    <n v="7.4074000000000001E-2"/>
    <n v="0"/>
    <n v="0"/>
    <n v="2"/>
    <n v="0"/>
    <n v="0"/>
    <n v="0"/>
    <n v="0"/>
    <n v="0"/>
    <n v="1"/>
    <n v="0"/>
    <n v="0"/>
    <m/>
  </r>
  <r>
    <x v="2"/>
    <x v="0"/>
    <x v="1"/>
    <x v="1"/>
    <x v="2"/>
    <x v="2"/>
    <x v="1"/>
    <x v="1"/>
    <x v="2"/>
    <x v="0"/>
    <n v="1"/>
    <m/>
    <n v="0"/>
    <n v="1"/>
    <m/>
    <n v="0"/>
    <x v="0"/>
    <x v="0"/>
    <x v="0"/>
    <x v="0"/>
    <m/>
    <m/>
    <m/>
    <n v="1"/>
    <n v="0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3"/>
    <x v="0"/>
    <x v="1"/>
    <x v="1"/>
    <x v="1"/>
    <x v="1"/>
    <x v="1"/>
    <x v="2"/>
    <x v="3"/>
    <x v="0"/>
    <n v="1"/>
    <m/>
    <n v="0"/>
    <n v="1"/>
    <m/>
    <n v="0"/>
    <x v="0"/>
    <x v="0"/>
    <x v="0"/>
    <x v="0"/>
    <m/>
    <m/>
    <m/>
    <n v="0"/>
    <n v="1"/>
    <n v="0"/>
    <n v="0"/>
    <n v="0"/>
    <n v="0"/>
    <n v="0"/>
    <n v="7.4074000000000001E-2"/>
    <n v="0"/>
    <n v="0"/>
    <n v="1"/>
    <n v="0"/>
    <n v="0"/>
    <n v="0"/>
    <n v="0"/>
    <n v="0"/>
    <n v="1"/>
    <n v="0"/>
    <n v="0"/>
    <m/>
  </r>
  <r>
    <x v="4"/>
    <x v="0"/>
    <x v="1"/>
    <x v="1"/>
    <x v="1"/>
    <x v="1"/>
    <x v="2"/>
    <x v="3"/>
    <x v="4"/>
    <x v="0"/>
    <n v="1"/>
    <m/>
    <n v="0"/>
    <n v="1"/>
    <m/>
    <n v="0"/>
    <x v="0"/>
    <x v="0"/>
    <x v="0"/>
    <x v="0"/>
    <m/>
    <m/>
    <m/>
    <n v="1"/>
    <n v="0"/>
    <n v="0"/>
    <n v="0"/>
    <n v="0"/>
    <n v="0"/>
    <n v="0"/>
    <n v="7.4074000000000001E-2"/>
    <n v="0"/>
    <n v="0"/>
    <n v="1"/>
    <n v="0"/>
    <n v="0"/>
    <n v="0"/>
    <n v="0"/>
    <n v="0"/>
    <n v="1"/>
    <n v="0"/>
    <n v="0"/>
    <m/>
  </r>
  <r>
    <x v="5"/>
    <x v="0"/>
    <x v="1"/>
    <x v="1"/>
    <x v="2"/>
    <x v="3"/>
    <x v="1"/>
    <x v="2"/>
    <x v="5"/>
    <x v="0"/>
    <n v="1"/>
    <m/>
    <n v="0"/>
    <n v="1"/>
    <m/>
    <n v="0"/>
    <x v="0"/>
    <x v="0"/>
    <x v="0"/>
    <x v="0"/>
    <m/>
    <m/>
    <m/>
    <n v="0"/>
    <n v="1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6"/>
    <x v="0"/>
    <x v="1"/>
    <x v="1"/>
    <x v="2"/>
    <x v="3"/>
    <x v="1"/>
    <x v="4"/>
    <x v="6"/>
    <x v="0"/>
    <n v="1"/>
    <m/>
    <n v="0"/>
    <n v="1"/>
    <m/>
    <n v="0"/>
    <x v="0"/>
    <x v="0"/>
    <x v="0"/>
    <x v="0"/>
    <m/>
    <m/>
    <m/>
    <n v="0"/>
    <n v="0"/>
    <n v="1"/>
    <n v="0"/>
    <n v="0"/>
    <n v="0"/>
    <n v="0"/>
    <n v="0"/>
    <n v="0"/>
    <n v="0"/>
    <n v="1"/>
    <n v="1"/>
    <n v="1"/>
    <n v="0"/>
    <n v="0"/>
    <n v="0"/>
    <n v="0"/>
    <n v="1"/>
    <n v="0"/>
    <m/>
  </r>
  <r>
    <x v="7"/>
    <x v="0"/>
    <x v="1"/>
    <x v="1"/>
    <x v="1"/>
    <x v="1"/>
    <x v="2"/>
    <x v="5"/>
    <x v="7"/>
    <x v="0"/>
    <n v="1"/>
    <m/>
    <n v="0"/>
    <n v="1"/>
    <m/>
    <n v="0"/>
    <x v="0"/>
    <x v="1"/>
    <x v="1"/>
    <x v="1"/>
    <n v="0"/>
    <m/>
    <m/>
    <n v="0"/>
    <n v="1"/>
    <n v="0"/>
    <n v="0"/>
    <n v="0"/>
    <n v="0"/>
    <n v="1"/>
    <n v="7.4074000000000001E-2"/>
    <n v="0"/>
    <n v="0"/>
    <n v="1"/>
    <n v="0"/>
    <n v="0"/>
    <n v="0"/>
    <n v="0"/>
    <n v="0"/>
    <n v="1"/>
    <n v="0"/>
    <n v="0"/>
    <m/>
  </r>
  <r>
    <x v="8"/>
    <x v="0"/>
    <x v="1"/>
    <x v="1"/>
    <x v="1"/>
    <x v="1"/>
    <x v="2"/>
    <x v="6"/>
    <x v="8"/>
    <x v="2"/>
    <n v="0"/>
    <m/>
    <n v="0"/>
    <n v="0"/>
    <m/>
    <n v="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9"/>
    <x v="0"/>
    <x v="1"/>
    <x v="1"/>
    <x v="1"/>
    <x v="1"/>
    <x v="2"/>
    <x v="6"/>
    <x v="9"/>
    <x v="0"/>
    <n v="1"/>
    <m/>
    <n v="0"/>
    <n v="1"/>
    <m/>
    <n v="0"/>
    <x v="0"/>
    <x v="0"/>
    <x v="0"/>
    <x v="0"/>
    <m/>
    <m/>
    <m/>
    <n v="0"/>
    <n v="0"/>
    <n v="1"/>
    <n v="0"/>
    <n v="0"/>
    <n v="0"/>
    <n v="0"/>
    <n v="7.4074000000000001E-2"/>
    <n v="0"/>
    <n v="0"/>
    <n v="1"/>
    <n v="0"/>
    <n v="0"/>
    <n v="0"/>
    <n v="0"/>
    <n v="0"/>
    <n v="1"/>
    <n v="0"/>
    <n v="0"/>
    <m/>
  </r>
  <r>
    <x v="10"/>
    <x v="0"/>
    <x v="1"/>
    <x v="1"/>
    <x v="1"/>
    <x v="1"/>
    <x v="2"/>
    <x v="6"/>
    <x v="10"/>
    <x v="0"/>
    <n v="1"/>
    <m/>
    <n v="0"/>
    <n v="1"/>
    <m/>
    <n v="0"/>
    <x v="0"/>
    <x v="0"/>
    <x v="0"/>
    <x v="0"/>
    <m/>
    <m/>
    <m/>
    <n v="0"/>
    <n v="0"/>
    <n v="1"/>
    <n v="0"/>
    <n v="0"/>
    <n v="0"/>
    <n v="0"/>
    <n v="7.4074000000000001E-2"/>
    <n v="0"/>
    <n v="0"/>
    <n v="1"/>
    <n v="0"/>
    <n v="0"/>
    <n v="0"/>
    <n v="0"/>
    <n v="0"/>
    <n v="1"/>
    <n v="0"/>
    <n v="0"/>
    <m/>
  </r>
  <r>
    <x v="11"/>
    <x v="0"/>
    <x v="1"/>
    <x v="1"/>
    <x v="1"/>
    <x v="1"/>
    <x v="2"/>
    <x v="7"/>
    <x v="11"/>
    <x v="0"/>
    <n v="1"/>
    <m/>
    <n v="0"/>
    <n v="2"/>
    <m/>
    <n v="0"/>
    <x v="0"/>
    <x v="0"/>
    <x v="0"/>
    <x v="0"/>
    <m/>
    <m/>
    <m/>
    <n v="0"/>
    <n v="0"/>
    <n v="0"/>
    <n v="1"/>
    <n v="0"/>
    <n v="0"/>
    <n v="0"/>
    <n v="7.4074000000000001E-2"/>
    <n v="0"/>
    <n v="0"/>
    <n v="1"/>
    <n v="0"/>
    <n v="0"/>
    <n v="0"/>
    <n v="0"/>
    <n v="0"/>
    <n v="1"/>
    <n v="0"/>
    <n v="0"/>
    <m/>
  </r>
  <r>
    <x v="12"/>
    <x v="0"/>
    <x v="1"/>
    <x v="1"/>
    <x v="1"/>
    <x v="1"/>
    <x v="2"/>
    <x v="8"/>
    <x v="12"/>
    <x v="0"/>
    <n v="1"/>
    <m/>
    <n v="0"/>
    <n v="1"/>
    <m/>
    <n v="0"/>
    <x v="0"/>
    <x v="0"/>
    <x v="0"/>
    <x v="0"/>
    <m/>
    <m/>
    <m/>
    <n v="0"/>
    <n v="0"/>
    <n v="0"/>
    <n v="0"/>
    <n v="0"/>
    <n v="1"/>
    <n v="0"/>
    <n v="7.4074000000000001E-2"/>
    <n v="0"/>
    <n v="0"/>
    <n v="1"/>
    <n v="0"/>
    <n v="0"/>
    <n v="0"/>
    <n v="0"/>
    <n v="0"/>
    <n v="1"/>
    <n v="0"/>
    <n v="0"/>
    <m/>
  </r>
  <r>
    <x v="13"/>
    <x v="0"/>
    <x v="1"/>
    <x v="1"/>
    <x v="1"/>
    <x v="1"/>
    <x v="0"/>
    <x v="9"/>
    <x v="13"/>
    <x v="2"/>
    <n v="0"/>
    <m/>
    <n v="0"/>
    <n v="0"/>
    <m/>
    <n v="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4"/>
    <x v="0"/>
    <x v="1"/>
    <x v="1"/>
    <x v="1"/>
    <x v="1"/>
    <x v="0"/>
    <x v="9"/>
    <x v="14"/>
    <x v="0"/>
    <n v="1"/>
    <m/>
    <n v="0"/>
    <n v="1"/>
    <m/>
    <n v="0"/>
    <x v="0"/>
    <x v="0"/>
    <x v="0"/>
    <x v="0"/>
    <m/>
    <m/>
    <m/>
    <n v="1"/>
    <n v="0"/>
    <n v="0"/>
    <n v="0"/>
    <n v="0"/>
    <n v="0"/>
    <n v="0"/>
    <n v="7.4074000000000001E-2"/>
    <n v="0"/>
    <n v="0"/>
    <n v="1"/>
    <n v="0"/>
    <n v="0"/>
    <n v="0"/>
    <n v="0"/>
    <n v="0"/>
    <n v="1"/>
    <n v="0"/>
    <n v="0"/>
    <m/>
  </r>
  <r>
    <x v="15"/>
    <x v="0"/>
    <x v="1"/>
    <x v="1"/>
    <x v="1"/>
    <x v="1"/>
    <x v="0"/>
    <x v="9"/>
    <x v="15"/>
    <x v="0"/>
    <n v="1"/>
    <m/>
    <n v="0"/>
    <n v="1"/>
    <m/>
    <n v="0"/>
    <x v="0"/>
    <x v="0"/>
    <x v="0"/>
    <x v="0"/>
    <m/>
    <m/>
    <m/>
    <n v="1"/>
    <n v="0"/>
    <n v="0"/>
    <n v="0"/>
    <n v="0"/>
    <n v="0"/>
    <n v="0"/>
    <n v="7.4074000000000001E-2"/>
    <n v="0"/>
    <n v="0"/>
    <n v="1"/>
    <n v="0"/>
    <n v="0"/>
    <n v="0"/>
    <n v="0"/>
    <n v="0"/>
    <n v="1"/>
    <n v="0"/>
    <n v="0"/>
    <m/>
  </r>
  <r>
    <x v="16"/>
    <x v="0"/>
    <x v="1"/>
    <x v="1"/>
    <x v="1"/>
    <x v="1"/>
    <x v="0"/>
    <x v="9"/>
    <x v="16"/>
    <x v="0"/>
    <n v="1"/>
    <m/>
    <n v="0"/>
    <n v="1"/>
    <m/>
    <n v="0"/>
    <x v="0"/>
    <x v="0"/>
    <x v="0"/>
    <x v="0"/>
    <m/>
    <m/>
    <m/>
    <n v="1"/>
    <n v="0"/>
    <n v="0"/>
    <n v="0"/>
    <n v="0"/>
    <n v="0"/>
    <n v="0"/>
    <n v="7.4074000000000001E-2"/>
    <n v="0"/>
    <n v="0"/>
    <n v="1"/>
    <n v="0"/>
    <n v="0"/>
    <n v="0"/>
    <n v="0"/>
    <n v="0"/>
    <n v="1"/>
    <n v="0"/>
    <n v="0"/>
    <m/>
  </r>
  <r>
    <x v="17"/>
    <x v="0"/>
    <x v="1"/>
    <x v="1"/>
    <x v="1"/>
    <x v="1"/>
    <x v="0"/>
    <x v="0"/>
    <x v="17"/>
    <x v="2"/>
    <n v="0"/>
    <m/>
    <n v="0"/>
    <n v="0"/>
    <m/>
    <n v="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8"/>
    <x v="0"/>
    <x v="1"/>
    <x v="1"/>
    <x v="1"/>
    <x v="1"/>
    <x v="0"/>
    <x v="0"/>
    <x v="18"/>
    <x v="0"/>
    <n v="1"/>
    <m/>
    <n v="0"/>
    <n v="1"/>
    <m/>
    <n v="0"/>
    <x v="0"/>
    <x v="0"/>
    <x v="0"/>
    <x v="0"/>
    <m/>
    <m/>
    <m/>
    <n v="0"/>
    <n v="1"/>
    <n v="0"/>
    <n v="0"/>
    <n v="0"/>
    <n v="0"/>
    <n v="0"/>
    <n v="7.4074000000000001E-2"/>
    <n v="0"/>
    <n v="0"/>
    <n v="1"/>
    <n v="0"/>
    <n v="0"/>
    <n v="0"/>
    <n v="0"/>
    <n v="0"/>
    <n v="1"/>
    <n v="0"/>
    <n v="0"/>
    <m/>
  </r>
  <r>
    <x v="19"/>
    <x v="0"/>
    <x v="1"/>
    <x v="1"/>
    <x v="1"/>
    <x v="1"/>
    <x v="0"/>
    <x v="0"/>
    <x v="19"/>
    <x v="0"/>
    <n v="1"/>
    <m/>
    <n v="0"/>
    <n v="1"/>
    <m/>
    <n v="0"/>
    <x v="0"/>
    <x v="0"/>
    <x v="0"/>
    <x v="0"/>
    <m/>
    <m/>
    <m/>
    <n v="0"/>
    <n v="1"/>
    <n v="0"/>
    <n v="0"/>
    <n v="0"/>
    <n v="0"/>
    <n v="0"/>
    <n v="7.4074000000000001E-2"/>
    <n v="0"/>
    <n v="0"/>
    <n v="1"/>
    <n v="0"/>
    <n v="0"/>
    <n v="0"/>
    <n v="0"/>
    <n v="0"/>
    <n v="1"/>
    <n v="0"/>
    <n v="0"/>
    <m/>
  </r>
  <r>
    <x v="20"/>
    <x v="0"/>
    <x v="1"/>
    <x v="1"/>
    <x v="1"/>
    <x v="1"/>
    <x v="0"/>
    <x v="0"/>
    <x v="20"/>
    <x v="0"/>
    <n v="1"/>
    <m/>
    <n v="0"/>
    <n v="1"/>
    <m/>
    <n v="0"/>
    <x v="0"/>
    <x v="0"/>
    <x v="0"/>
    <x v="0"/>
    <m/>
    <m/>
    <m/>
    <n v="0"/>
    <n v="1"/>
    <n v="0"/>
    <n v="0"/>
    <n v="0"/>
    <n v="0"/>
    <n v="0"/>
    <n v="7.4074000000000001E-2"/>
    <n v="0"/>
    <n v="0"/>
    <n v="1"/>
    <n v="0"/>
    <n v="0"/>
    <n v="0"/>
    <n v="0"/>
    <n v="0"/>
    <n v="1"/>
    <n v="0"/>
    <n v="0"/>
    <m/>
  </r>
  <r>
    <x v="21"/>
    <x v="0"/>
    <x v="1"/>
    <x v="1"/>
    <x v="1"/>
    <x v="1"/>
    <x v="0"/>
    <x v="10"/>
    <x v="21"/>
    <x v="0"/>
    <n v="1"/>
    <m/>
    <n v="0"/>
    <n v="1"/>
    <m/>
    <n v="0"/>
    <x v="0"/>
    <x v="0"/>
    <x v="0"/>
    <x v="0"/>
    <m/>
    <m/>
    <m/>
    <n v="0"/>
    <n v="0"/>
    <n v="0"/>
    <n v="0"/>
    <n v="0"/>
    <n v="0"/>
    <n v="0"/>
    <n v="7.4074000000000001E-2"/>
    <n v="0"/>
    <n v="0"/>
    <n v="1"/>
    <n v="0"/>
    <n v="0"/>
    <n v="0"/>
    <n v="0"/>
    <n v="0"/>
    <n v="1"/>
    <n v="0"/>
    <n v="0"/>
    <m/>
  </r>
  <r>
    <x v="22"/>
    <x v="0"/>
    <x v="1"/>
    <x v="1"/>
    <x v="1"/>
    <x v="1"/>
    <x v="0"/>
    <x v="10"/>
    <x v="6"/>
    <x v="0"/>
    <n v="1"/>
    <m/>
    <n v="0"/>
    <n v="1"/>
    <m/>
    <n v="0"/>
    <x v="0"/>
    <x v="0"/>
    <x v="0"/>
    <x v="0"/>
    <m/>
    <m/>
    <m/>
    <n v="0"/>
    <n v="0"/>
    <n v="0"/>
    <n v="0"/>
    <n v="0"/>
    <n v="0"/>
    <n v="0"/>
    <n v="7.4074000000000001E-2"/>
    <n v="0"/>
    <n v="0"/>
    <n v="1"/>
    <n v="0"/>
    <n v="0"/>
    <n v="0"/>
    <n v="0"/>
    <n v="0"/>
    <n v="1"/>
    <n v="0"/>
    <n v="0"/>
    <m/>
  </r>
  <r>
    <x v="23"/>
    <x v="0"/>
    <x v="1"/>
    <x v="1"/>
    <x v="1"/>
    <x v="1"/>
    <x v="0"/>
    <x v="10"/>
    <x v="22"/>
    <x v="0"/>
    <n v="1"/>
    <m/>
    <n v="0"/>
    <n v="1"/>
    <m/>
    <n v="0"/>
    <x v="0"/>
    <x v="0"/>
    <x v="0"/>
    <x v="0"/>
    <m/>
    <m/>
    <m/>
    <n v="0"/>
    <n v="0"/>
    <n v="0"/>
    <n v="0"/>
    <n v="0"/>
    <n v="0"/>
    <n v="0"/>
    <n v="7.4074000000000001E-2"/>
    <n v="0"/>
    <n v="0"/>
    <n v="1"/>
    <n v="0"/>
    <n v="0"/>
    <n v="0"/>
    <n v="0"/>
    <n v="0"/>
    <n v="1"/>
    <n v="0"/>
    <n v="0"/>
    <m/>
  </r>
  <r>
    <x v="24"/>
    <x v="0"/>
    <x v="1"/>
    <x v="1"/>
    <x v="1"/>
    <x v="1"/>
    <x v="0"/>
    <x v="10"/>
    <x v="23"/>
    <x v="0"/>
    <n v="1"/>
    <m/>
    <n v="0"/>
    <n v="1"/>
    <m/>
    <n v="0"/>
    <x v="0"/>
    <x v="0"/>
    <x v="0"/>
    <x v="0"/>
    <m/>
    <m/>
    <m/>
    <n v="0"/>
    <n v="0"/>
    <n v="0"/>
    <n v="0"/>
    <n v="0"/>
    <n v="0"/>
    <n v="0"/>
    <n v="7.4074000000000001E-2"/>
    <n v="0"/>
    <n v="0"/>
    <n v="1"/>
    <n v="0"/>
    <n v="0"/>
    <n v="0"/>
    <n v="0"/>
    <n v="0"/>
    <n v="1"/>
    <n v="0"/>
    <n v="0"/>
    <m/>
  </r>
  <r>
    <x v="25"/>
    <x v="0"/>
    <x v="1"/>
    <x v="1"/>
    <x v="1"/>
    <x v="1"/>
    <x v="0"/>
    <x v="11"/>
    <x v="24"/>
    <x v="0"/>
    <n v="1"/>
    <m/>
    <n v="0"/>
    <n v="1"/>
    <m/>
    <n v="0"/>
    <x v="0"/>
    <x v="0"/>
    <x v="0"/>
    <x v="0"/>
    <m/>
    <m/>
    <m/>
    <n v="0"/>
    <n v="0"/>
    <n v="0"/>
    <n v="1"/>
    <n v="0"/>
    <n v="0"/>
    <n v="0"/>
    <n v="7.4074000000000001E-2"/>
    <n v="0"/>
    <n v="0"/>
    <n v="1"/>
    <n v="0"/>
    <n v="0"/>
    <n v="0"/>
    <n v="0"/>
    <n v="0"/>
    <n v="1"/>
    <n v="0"/>
    <n v="0"/>
    <m/>
  </r>
  <r>
    <x v="26"/>
    <x v="0"/>
    <x v="1"/>
    <x v="1"/>
    <x v="1"/>
    <x v="1"/>
    <x v="0"/>
    <x v="11"/>
    <x v="25"/>
    <x v="0"/>
    <n v="1"/>
    <m/>
    <n v="0"/>
    <n v="1"/>
    <m/>
    <n v="0"/>
    <x v="0"/>
    <x v="0"/>
    <x v="0"/>
    <x v="0"/>
    <m/>
    <m/>
    <m/>
    <n v="0"/>
    <n v="0"/>
    <n v="0"/>
    <n v="1"/>
    <n v="0"/>
    <n v="0"/>
    <n v="0"/>
    <n v="7.4074000000000001E-2"/>
    <n v="0"/>
    <n v="0"/>
    <n v="1"/>
    <n v="0"/>
    <n v="0"/>
    <n v="0"/>
    <n v="0"/>
    <n v="0"/>
    <n v="1"/>
    <n v="0"/>
    <n v="0"/>
    <m/>
  </r>
  <r>
    <x v="27"/>
    <x v="0"/>
    <x v="1"/>
    <x v="1"/>
    <x v="1"/>
    <x v="1"/>
    <x v="0"/>
    <x v="12"/>
    <x v="26"/>
    <x v="0"/>
    <n v="1"/>
    <m/>
    <n v="0"/>
    <n v="1"/>
    <m/>
    <n v="0"/>
    <x v="0"/>
    <x v="0"/>
    <x v="0"/>
    <x v="0"/>
    <m/>
    <m/>
    <m/>
    <n v="0"/>
    <n v="0"/>
    <n v="0"/>
    <n v="0"/>
    <n v="0"/>
    <n v="1"/>
    <n v="0"/>
    <n v="7.4074000000000001E-2"/>
    <n v="0"/>
    <n v="0"/>
    <n v="1"/>
    <n v="0"/>
    <n v="0"/>
    <n v="0"/>
    <n v="0"/>
    <n v="0"/>
    <n v="1"/>
    <n v="0"/>
    <n v="0"/>
    <m/>
  </r>
  <r>
    <x v="28"/>
    <x v="0"/>
    <x v="1"/>
    <x v="1"/>
    <x v="1"/>
    <x v="1"/>
    <x v="0"/>
    <x v="12"/>
    <x v="27"/>
    <x v="0"/>
    <n v="1"/>
    <m/>
    <n v="0"/>
    <n v="1"/>
    <m/>
    <n v="0"/>
    <x v="0"/>
    <x v="0"/>
    <x v="0"/>
    <x v="0"/>
    <m/>
    <m/>
    <m/>
    <n v="0"/>
    <n v="0"/>
    <n v="0"/>
    <n v="0"/>
    <n v="0"/>
    <n v="1"/>
    <n v="0"/>
    <n v="7.4074000000000001E-2"/>
    <n v="0"/>
    <n v="0"/>
    <n v="1"/>
    <n v="0"/>
    <n v="0"/>
    <n v="0"/>
    <n v="0"/>
    <n v="0"/>
    <n v="1"/>
    <n v="0"/>
    <n v="0"/>
    <m/>
  </r>
  <r>
    <x v="29"/>
    <x v="0"/>
    <x v="1"/>
    <x v="0"/>
    <x v="0"/>
    <x v="0"/>
    <x v="1"/>
    <x v="0"/>
    <x v="0"/>
    <x v="0"/>
    <n v="1"/>
    <n v="1"/>
    <m/>
    <n v="1"/>
    <n v="1"/>
    <m/>
    <x v="0"/>
    <x v="0"/>
    <x v="0"/>
    <x v="0"/>
    <m/>
    <m/>
    <m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30"/>
    <x v="0"/>
    <x v="1"/>
    <x v="0"/>
    <x v="0"/>
    <x v="0"/>
    <x v="1"/>
    <x v="11"/>
    <x v="28"/>
    <x v="0"/>
    <n v="1"/>
    <n v="1"/>
    <m/>
    <n v="1"/>
    <n v="1"/>
    <m/>
    <x v="0"/>
    <x v="0"/>
    <x v="0"/>
    <x v="0"/>
    <m/>
    <m/>
    <m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m/>
  </r>
  <r>
    <x v="31"/>
    <x v="0"/>
    <x v="1"/>
    <x v="0"/>
    <x v="0"/>
    <x v="0"/>
    <x v="1"/>
    <x v="11"/>
    <x v="28"/>
    <x v="0"/>
    <n v="1"/>
    <n v="1"/>
    <m/>
    <n v="1"/>
    <n v="1"/>
    <m/>
    <x v="0"/>
    <x v="0"/>
    <x v="0"/>
    <x v="0"/>
    <m/>
    <m/>
    <m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m/>
  </r>
  <r>
    <x v="32"/>
    <x v="0"/>
    <x v="1"/>
    <x v="0"/>
    <x v="0"/>
    <x v="0"/>
    <x v="1"/>
    <x v="10"/>
    <x v="6"/>
    <x v="0"/>
    <n v="1"/>
    <n v="1"/>
    <m/>
    <n v="1"/>
    <n v="1"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33"/>
    <x v="0"/>
    <x v="1"/>
    <x v="0"/>
    <x v="0"/>
    <x v="0"/>
    <x v="1"/>
    <x v="10"/>
    <x v="29"/>
    <x v="0"/>
    <n v="1"/>
    <n v="1"/>
    <m/>
    <n v="1"/>
    <n v="1"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34"/>
    <x v="0"/>
    <x v="1"/>
    <x v="0"/>
    <x v="0"/>
    <x v="0"/>
    <x v="1"/>
    <x v="10"/>
    <x v="30"/>
    <x v="0"/>
    <n v="1"/>
    <n v="1"/>
    <m/>
    <n v="1"/>
    <n v="1"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35"/>
    <x v="0"/>
    <x v="1"/>
    <x v="0"/>
    <x v="0"/>
    <x v="0"/>
    <x v="1"/>
    <x v="13"/>
    <x v="31"/>
    <x v="0"/>
    <n v="1"/>
    <n v="1"/>
    <m/>
    <n v="1"/>
    <n v="1.2"/>
    <m/>
    <x v="0"/>
    <x v="0"/>
    <x v="0"/>
    <x v="0"/>
    <m/>
    <m/>
    <m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m/>
  </r>
  <r>
    <x v="36"/>
    <x v="0"/>
    <x v="1"/>
    <x v="0"/>
    <x v="0"/>
    <x v="0"/>
    <x v="1"/>
    <x v="13"/>
    <x v="32"/>
    <x v="0"/>
    <n v="1"/>
    <n v="1"/>
    <m/>
    <n v="1"/>
    <n v="1"/>
    <m/>
    <x v="0"/>
    <x v="0"/>
    <x v="0"/>
    <x v="0"/>
    <m/>
    <m/>
    <m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m/>
  </r>
  <r>
    <x v="37"/>
    <x v="0"/>
    <x v="1"/>
    <x v="0"/>
    <x v="3"/>
    <x v="0"/>
    <x v="1"/>
    <x v="13"/>
    <x v="31"/>
    <x v="0"/>
    <n v="1"/>
    <n v="1"/>
    <m/>
    <n v="1"/>
    <n v="1.2"/>
    <m/>
    <x v="0"/>
    <x v="0"/>
    <x v="0"/>
    <x v="0"/>
    <m/>
    <m/>
    <m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m/>
  </r>
  <r>
    <x v="38"/>
    <x v="0"/>
    <x v="1"/>
    <x v="0"/>
    <x v="3"/>
    <x v="0"/>
    <x v="1"/>
    <x v="14"/>
    <x v="32"/>
    <x v="0"/>
    <n v="1"/>
    <n v="0.4"/>
    <m/>
    <n v="1"/>
    <n v="0.4"/>
    <m/>
    <x v="0"/>
    <x v="0"/>
    <x v="0"/>
    <x v="0"/>
    <m/>
    <m/>
    <m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m/>
  </r>
  <r>
    <x v="39"/>
    <x v="0"/>
    <x v="1"/>
    <x v="1"/>
    <x v="4"/>
    <x v="4"/>
    <x v="2"/>
    <x v="3"/>
    <x v="33"/>
    <x v="0"/>
    <n v="1"/>
    <m/>
    <n v="0"/>
    <n v="1"/>
    <m/>
    <m/>
    <x v="0"/>
    <x v="0"/>
    <x v="0"/>
    <x v="0"/>
    <m/>
    <m/>
    <m/>
    <n v="1"/>
    <n v="0"/>
    <n v="0"/>
    <n v="0"/>
    <n v="0"/>
    <n v="0"/>
    <n v="0"/>
    <n v="7.4074000000000001E-2"/>
    <n v="0"/>
    <n v="0"/>
    <n v="0"/>
    <n v="0"/>
    <n v="0"/>
    <n v="0"/>
    <n v="0"/>
    <n v="0"/>
    <n v="0"/>
    <n v="0"/>
    <n v="0"/>
    <m/>
  </r>
  <r>
    <x v="40"/>
    <x v="0"/>
    <x v="1"/>
    <x v="1"/>
    <x v="2"/>
    <x v="5"/>
    <x v="2"/>
    <x v="5"/>
    <x v="34"/>
    <x v="0"/>
    <n v="1"/>
    <m/>
    <n v="0"/>
    <n v="1"/>
    <m/>
    <m/>
    <x v="0"/>
    <x v="0"/>
    <x v="0"/>
    <x v="0"/>
    <m/>
    <m/>
    <m/>
    <n v="0"/>
    <n v="1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41"/>
    <x v="0"/>
    <x v="1"/>
    <x v="1"/>
    <x v="2"/>
    <x v="5"/>
    <x v="2"/>
    <x v="6"/>
    <x v="8"/>
    <x v="0"/>
    <n v="1"/>
    <m/>
    <n v="0"/>
    <n v="1"/>
    <m/>
    <m/>
    <x v="0"/>
    <x v="0"/>
    <x v="0"/>
    <x v="0"/>
    <m/>
    <m/>
    <m/>
    <n v="0"/>
    <n v="0"/>
    <n v="1"/>
    <n v="0"/>
    <n v="0"/>
    <n v="0"/>
    <n v="0"/>
    <n v="0"/>
    <n v="0"/>
    <n v="0"/>
    <n v="1"/>
    <n v="1"/>
    <n v="1"/>
    <n v="0"/>
    <n v="0"/>
    <n v="0"/>
    <n v="0"/>
    <n v="1"/>
    <n v="0"/>
    <m/>
  </r>
  <r>
    <x v="42"/>
    <x v="0"/>
    <x v="1"/>
    <x v="1"/>
    <x v="2"/>
    <x v="5"/>
    <x v="2"/>
    <x v="6"/>
    <x v="9"/>
    <x v="0"/>
    <n v="1"/>
    <m/>
    <n v="0"/>
    <n v="1"/>
    <m/>
    <m/>
    <x v="0"/>
    <x v="0"/>
    <x v="0"/>
    <x v="0"/>
    <m/>
    <m/>
    <m/>
    <n v="0"/>
    <n v="0"/>
    <n v="1"/>
    <n v="0"/>
    <n v="0"/>
    <n v="0"/>
    <n v="0"/>
    <n v="0"/>
    <n v="0"/>
    <n v="0"/>
    <n v="1"/>
    <n v="1"/>
    <n v="1"/>
    <n v="0"/>
    <n v="0"/>
    <n v="0"/>
    <n v="0"/>
    <n v="1"/>
    <n v="0"/>
    <m/>
  </r>
  <r>
    <x v="43"/>
    <x v="0"/>
    <x v="1"/>
    <x v="1"/>
    <x v="2"/>
    <x v="5"/>
    <x v="2"/>
    <x v="6"/>
    <x v="10"/>
    <x v="0"/>
    <n v="1"/>
    <m/>
    <n v="0"/>
    <n v="1"/>
    <m/>
    <m/>
    <x v="0"/>
    <x v="0"/>
    <x v="0"/>
    <x v="0"/>
    <m/>
    <m/>
    <m/>
    <n v="0"/>
    <n v="0"/>
    <n v="1"/>
    <n v="0"/>
    <n v="0"/>
    <n v="0"/>
    <n v="0"/>
    <n v="0"/>
    <n v="0"/>
    <n v="0"/>
    <n v="1"/>
    <n v="1"/>
    <n v="1"/>
    <n v="0"/>
    <n v="0"/>
    <n v="0"/>
    <n v="0"/>
    <n v="1"/>
    <n v="0"/>
    <m/>
  </r>
  <r>
    <x v="44"/>
    <x v="0"/>
    <x v="1"/>
    <x v="1"/>
    <x v="2"/>
    <x v="5"/>
    <x v="2"/>
    <x v="5"/>
    <x v="35"/>
    <x v="0"/>
    <n v="1"/>
    <m/>
    <n v="0"/>
    <n v="1"/>
    <m/>
    <m/>
    <x v="0"/>
    <x v="0"/>
    <x v="0"/>
    <x v="0"/>
    <m/>
    <m/>
    <m/>
    <n v="0"/>
    <n v="1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45"/>
    <x v="0"/>
    <x v="1"/>
    <x v="1"/>
    <x v="2"/>
    <x v="5"/>
    <x v="2"/>
    <x v="5"/>
    <x v="36"/>
    <x v="0"/>
    <n v="1"/>
    <m/>
    <n v="0"/>
    <n v="1"/>
    <m/>
    <m/>
    <x v="0"/>
    <x v="0"/>
    <x v="0"/>
    <x v="0"/>
    <m/>
    <m/>
    <m/>
    <n v="0"/>
    <n v="1"/>
    <n v="0"/>
    <n v="0"/>
    <n v="0"/>
    <n v="0"/>
    <n v="1"/>
    <n v="0"/>
    <n v="0"/>
    <n v="0"/>
    <n v="1"/>
    <n v="1"/>
    <n v="1"/>
    <n v="0"/>
    <n v="0"/>
    <n v="0"/>
    <n v="0"/>
    <n v="1"/>
    <n v="0"/>
    <m/>
  </r>
  <r>
    <x v="46"/>
    <x v="0"/>
    <x v="1"/>
    <x v="1"/>
    <x v="2"/>
    <x v="5"/>
    <x v="2"/>
    <x v="5"/>
    <x v="37"/>
    <x v="0"/>
    <n v="1"/>
    <m/>
    <n v="0"/>
    <n v="1"/>
    <m/>
    <m/>
    <x v="0"/>
    <x v="0"/>
    <x v="0"/>
    <x v="0"/>
    <m/>
    <m/>
    <m/>
    <n v="0"/>
    <n v="1"/>
    <n v="0"/>
    <n v="0"/>
    <n v="0"/>
    <n v="0"/>
    <n v="1"/>
    <n v="0"/>
    <n v="0"/>
    <n v="0"/>
    <n v="1"/>
    <n v="1"/>
    <n v="1"/>
    <n v="0"/>
    <n v="0"/>
    <n v="0"/>
    <n v="0"/>
    <n v="1"/>
    <n v="0"/>
    <m/>
  </r>
  <r>
    <x v="47"/>
    <x v="0"/>
    <x v="1"/>
    <x v="1"/>
    <x v="2"/>
    <x v="5"/>
    <x v="2"/>
    <x v="5"/>
    <x v="38"/>
    <x v="0"/>
    <n v="1"/>
    <m/>
    <n v="0"/>
    <n v="1"/>
    <m/>
    <m/>
    <x v="0"/>
    <x v="0"/>
    <x v="0"/>
    <x v="0"/>
    <m/>
    <m/>
    <m/>
    <n v="0"/>
    <n v="1"/>
    <n v="0"/>
    <n v="0"/>
    <n v="0"/>
    <n v="0"/>
    <n v="1"/>
    <n v="0"/>
    <n v="0"/>
    <n v="0"/>
    <n v="1"/>
    <n v="1"/>
    <n v="1"/>
    <n v="1"/>
    <n v="0"/>
    <n v="0"/>
    <n v="0"/>
    <n v="1"/>
    <n v="0"/>
    <m/>
  </r>
  <r>
    <x v="48"/>
    <x v="0"/>
    <x v="1"/>
    <x v="1"/>
    <x v="2"/>
    <x v="5"/>
    <x v="2"/>
    <x v="5"/>
    <x v="39"/>
    <x v="0"/>
    <n v="1"/>
    <m/>
    <n v="0"/>
    <n v="1"/>
    <m/>
    <m/>
    <x v="0"/>
    <x v="0"/>
    <x v="0"/>
    <x v="0"/>
    <m/>
    <m/>
    <m/>
    <n v="0"/>
    <n v="1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49"/>
    <x v="0"/>
    <x v="1"/>
    <x v="1"/>
    <x v="2"/>
    <x v="5"/>
    <x v="2"/>
    <x v="5"/>
    <x v="40"/>
    <x v="0"/>
    <n v="1"/>
    <m/>
    <n v="0"/>
    <n v="1"/>
    <m/>
    <m/>
    <x v="0"/>
    <x v="0"/>
    <x v="0"/>
    <x v="0"/>
    <m/>
    <m/>
    <m/>
    <n v="0"/>
    <n v="1"/>
    <n v="0"/>
    <n v="0"/>
    <n v="0"/>
    <n v="0"/>
    <n v="1"/>
    <n v="0"/>
    <n v="0"/>
    <n v="0"/>
    <n v="1"/>
    <n v="1"/>
    <n v="1"/>
    <n v="0"/>
    <n v="0"/>
    <n v="0"/>
    <n v="0"/>
    <n v="1"/>
    <n v="0"/>
    <m/>
  </r>
  <r>
    <x v="50"/>
    <x v="0"/>
    <x v="1"/>
    <x v="1"/>
    <x v="2"/>
    <x v="5"/>
    <x v="2"/>
    <x v="5"/>
    <x v="7"/>
    <x v="0"/>
    <n v="1"/>
    <m/>
    <n v="0"/>
    <n v="1"/>
    <m/>
    <m/>
    <x v="0"/>
    <x v="0"/>
    <x v="0"/>
    <x v="0"/>
    <m/>
    <m/>
    <m/>
    <n v="0"/>
    <n v="1"/>
    <n v="0"/>
    <n v="0"/>
    <n v="0"/>
    <n v="0"/>
    <n v="1"/>
    <n v="0"/>
    <n v="0"/>
    <n v="0"/>
    <n v="1"/>
    <n v="1"/>
    <n v="1"/>
    <n v="0"/>
    <n v="0"/>
    <n v="0"/>
    <n v="0"/>
    <n v="1"/>
    <n v="0"/>
    <m/>
  </r>
  <r>
    <x v="51"/>
    <x v="0"/>
    <x v="1"/>
    <x v="1"/>
    <x v="2"/>
    <x v="5"/>
    <x v="2"/>
    <x v="3"/>
    <x v="41"/>
    <x v="0"/>
    <n v="1"/>
    <m/>
    <n v="0"/>
    <n v="1"/>
    <m/>
    <m/>
    <x v="0"/>
    <x v="0"/>
    <x v="0"/>
    <x v="0"/>
    <m/>
    <m/>
    <m/>
    <n v="1"/>
    <n v="0"/>
    <n v="0"/>
    <n v="0"/>
    <n v="0"/>
    <n v="0"/>
    <n v="0"/>
    <n v="0"/>
    <n v="0"/>
    <n v="0"/>
    <n v="1"/>
    <n v="1"/>
    <n v="1"/>
    <n v="1"/>
    <n v="0"/>
    <n v="0"/>
    <n v="0"/>
    <n v="1"/>
    <n v="0"/>
    <m/>
  </r>
  <r>
    <x v="52"/>
    <x v="0"/>
    <x v="1"/>
    <x v="1"/>
    <x v="2"/>
    <x v="5"/>
    <x v="2"/>
    <x v="3"/>
    <x v="42"/>
    <x v="0"/>
    <n v="1"/>
    <m/>
    <n v="0"/>
    <n v="1"/>
    <m/>
    <m/>
    <x v="0"/>
    <x v="0"/>
    <x v="0"/>
    <x v="0"/>
    <m/>
    <m/>
    <m/>
    <n v="1"/>
    <n v="0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53"/>
    <x v="0"/>
    <x v="1"/>
    <x v="1"/>
    <x v="2"/>
    <x v="5"/>
    <x v="2"/>
    <x v="3"/>
    <x v="4"/>
    <x v="0"/>
    <n v="1"/>
    <m/>
    <n v="0"/>
    <n v="1"/>
    <m/>
    <m/>
    <x v="0"/>
    <x v="0"/>
    <x v="0"/>
    <x v="0"/>
    <m/>
    <m/>
    <m/>
    <n v="1"/>
    <n v="0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54"/>
    <x v="0"/>
    <x v="1"/>
    <x v="1"/>
    <x v="2"/>
    <x v="5"/>
    <x v="2"/>
    <x v="6"/>
    <x v="8"/>
    <x v="0"/>
    <n v="1"/>
    <m/>
    <n v="0"/>
    <n v="1"/>
    <m/>
    <m/>
    <x v="0"/>
    <x v="0"/>
    <x v="0"/>
    <x v="0"/>
    <m/>
    <m/>
    <m/>
    <n v="0"/>
    <n v="0"/>
    <n v="1"/>
    <n v="0"/>
    <n v="0"/>
    <n v="0"/>
    <n v="0"/>
    <n v="0"/>
    <n v="0"/>
    <n v="0"/>
    <n v="1"/>
    <n v="1"/>
    <n v="1"/>
    <n v="0"/>
    <n v="0"/>
    <n v="0"/>
    <n v="0"/>
    <n v="1"/>
    <n v="0"/>
    <m/>
  </r>
  <r>
    <x v="55"/>
    <x v="0"/>
    <x v="1"/>
    <x v="1"/>
    <x v="2"/>
    <x v="5"/>
    <x v="2"/>
    <x v="6"/>
    <x v="9"/>
    <x v="0"/>
    <n v="1"/>
    <m/>
    <n v="0"/>
    <n v="1"/>
    <m/>
    <m/>
    <x v="0"/>
    <x v="0"/>
    <x v="0"/>
    <x v="0"/>
    <m/>
    <m/>
    <m/>
    <n v="0"/>
    <n v="0"/>
    <n v="1"/>
    <n v="0"/>
    <n v="0"/>
    <n v="0"/>
    <n v="0"/>
    <n v="0"/>
    <n v="0"/>
    <n v="0"/>
    <n v="1"/>
    <n v="1"/>
    <n v="1"/>
    <n v="0"/>
    <n v="0"/>
    <n v="0"/>
    <n v="0"/>
    <n v="1"/>
    <n v="0"/>
    <m/>
  </r>
  <r>
    <x v="56"/>
    <x v="0"/>
    <x v="1"/>
    <x v="1"/>
    <x v="2"/>
    <x v="5"/>
    <x v="2"/>
    <x v="6"/>
    <x v="10"/>
    <x v="0"/>
    <n v="1"/>
    <m/>
    <n v="0"/>
    <n v="1"/>
    <m/>
    <m/>
    <x v="0"/>
    <x v="0"/>
    <x v="0"/>
    <x v="0"/>
    <m/>
    <m/>
    <m/>
    <n v="0"/>
    <n v="0"/>
    <n v="1"/>
    <n v="0"/>
    <n v="0"/>
    <n v="0"/>
    <n v="0"/>
    <n v="0"/>
    <n v="0"/>
    <n v="0"/>
    <n v="1"/>
    <n v="1"/>
    <n v="1"/>
    <n v="0"/>
    <n v="0"/>
    <n v="0"/>
    <n v="0"/>
    <n v="1"/>
    <n v="0"/>
    <m/>
  </r>
  <r>
    <x v="57"/>
    <x v="0"/>
    <x v="1"/>
    <x v="1"/>
    <x v="2"/>
    <x v="5"/>
    <x v="2"/>
    <x v="7"/>
    <x v="11"/>
    <x v="0"/>
    <n v="1"/>
    <m/>
    <n v="0"/>
    <n v="1"/>
    <m/>
    <m/>
    <x v="0"/>
    <x v="0"/>
    <x v="0"/>
    <x v="0"/>
    <m/>
    <m/>
    <m/>
    <n v="0"/>
    <n v="0"/>
    <n v="0"/>
    <n v="1"/>
    <n v="0"/>
    <n v="0"/>
    <n v="0"/>
    <n v="0"/>
    <n v="0"/>
    <n v="0"/>
    <n v="1"/>
    <n v="1"/>
    <n v="1"/>
    <n v="0"/>
    <n v="0"/>
    <n v="0"/>
    <n v="0"/>
    <n v="1"/>
    <n v="0"/>
    <m/>
  </r>
  <r>
    <x v="58"/>
    <x v="0"/>
    <x v="1"/>
    <x v="1"/>
    <x v="2"/>
    <x v="5"/>
    <x v="2"/>
    <x v="8"/>
    <x v="12"/>
    <x v="0"/>
    <n v="1"/>
    <m/>
    <n v="0"/>
    <n v="1"/>
    <m/>
    <m/>
    <x v="0"/>
    <x v="0"/>
    <x v="0"/>
    <x v="0"/>
    <m/>
    <m/>
    <m/>
    <n v="0"/>
    <n v="0"/>
    <n v="0"/>
    <n v="0"/>
    <n v="0"/>
    <n v="1"/>
    <n v="0"/>
    <n v="0"/>
    <n v="0"/>
    <n v="0"/>
    <n v="1"/>
    <n v="1"/>
    <n v="1"/>
    <n v="0"/>
    <n v="0"/>
    <n v="0"/>
    <n v="0"/>
    <n v="1"/>
    <n v="0"/>
    <m/>
  </r>
  <r>
    <x v="59"/>
    <x v="0"/>
    <x v="1"/>
    <x v="1"/>
    <x v="2"/>
    <x v="5"/>
    <x v="2"/>
    <x v="14"/>
    <x v="43"/>
    <x v="0"/>
    <n v="1"/>
    <m/>
    <n v="0"/>
    <n v="1"/>
    <m/>
    <m/>
    <x v="0"/>
    <x v="0"/>
    <x v="0"/>
    <x v="0"/>
    <m/>
    <m/>
    <m/>
    <n v="0"/>
    <n v="0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60"/>
    <x v="0"/>
    <x v="1"/>
    <x v="1"/>
    <x v="2"/>
    <x v="5"/>
    <x v="0"/>
    <x v="9"/>
    <x v="13"/>
    <x v="0"/>
    <n v="1"/>
    <m/>
    <n v="0"/>
    <n v="1"/>
    <m/>
    <m/>
    <x v="0"/>
    <x v="0"/>
    <x v="0"/>
    <x v="0"/>
    <m/>
    <m/>
    <m/>
    <n v="1"/>
    <n v="0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61"/>
    <x v="0"/>
    <x v="1"/>
    <x v="1"/>
    <x v="2"/>
    <x v="5"/>
    <x v="0"/>
    <x v="9"/>
    <x v="14"/>
    <x v="0"/>
    <n v="1"/>
    <m/>
    <n v="0"/>
    <n v="1"/>
    <m/>
    <m/>
    <x v="0"/>
    <x v="0"/>
    <x v="0"/>
    <x v="0"/>
    <m/>
    <m/>
    <m/>
    <n v="1"/>
    <n v="0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62"/>
    <x v="0"/>
    <x v="1"/>
    <x v="1"/>
    <x v="2"/>
    <x v="5"/>
    <x v="0"/>
    <x v="9"/>
    <x v="15"/>
    <x v="0"/>
    <n v="1"/>
    <m/>
    <n v="0"/>
    <n v="1"/>
    <m/>
    <m/>
    <x v="0"/>
    <x v="0"/>
    <x v="0"/>
    <x v="0"/>
    <m/>
    <m/>
    <m/>
    <n v="1"/>
    <n v="0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63"/>
    <x v="0"/>
    <x v="1"/>
    <x v="1"/>
    <x v="2"/>
    <x v="5"/>
    <x v="0"/>
    <x v="9"/>
    <x v="16"/>
    <x v="0"/>
    <n v="1"/>
    <m/>
    <n v="0"/>
    <n v="1"/>
    <m/>
    <m/>
    <x v="0"/>
    <x v="0"/>
    <x v="0"/>
    <x v="0"/>
    <m/>
    <m/>
    <m/>
    <n v="1"/>
    <n v="0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64"/>
    <x v="0"/>
    <x v="1"/>
    <x v="1"/>
    <x v="2"/>
    <x v="5"/>
    <x v="0"/>
    <x v="0"/>
    <x v="17"/>
    <x v="0"/>
    <n v="1"/>
    <m/>
    <n v="0"/>
    <n v="1"/>
    <m/>
    <m/>
    <x v="0"/>
    <x v="0"/>
    <x v="0"/>
    <x v="0"/>
    <m/>
    <m/>
    <m/>
    <n v="0"/>
    <n v="1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65"/>
    <x v="0"/>
    <x v="1"/>
    <x v="1"/>
    <x v="2"/>
    <x v="5"/>
    <x v="0"/>
    <x v="0"/>
    <x v="19"/>
    <x v="0"/>
    <n v="1"/>
    <m/>
    <n v="0"/>
    <n v="1"/>
    <m/>
    <m/>
    <x v="0"/>
    <x v="0"/>
    <x v="0"/>
    <x v="0"/>
    <m/>
    <m/>
    <m/>
    <n v="0"/>
    <n v="1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66"/>
    <x v="0"/>
    <x v="1"/>
    <x v="1"/>
    <x v="2"/>
    <x v="5"/>
    <x v="0"/>
    <x v="0"/>
    <x v="44"/>
    <x v="0"/>
    <n v="1"/>
    <m/>
    <n v="0"/>
    <n v="1"/>
    <m/>
    <m/>
    <x v="0"/>
    <x v="0"/>
    <x v="0"/>
    <x v="0"/>
    <m/>
    <m/>
    <m/>
    <n v="0"/>
    <n v="1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67"/>
    <x v="0"/>
    <x v="1"/>
    <x v="1"/>
    <x v="2"/>
    <x v="5"/>
    <x v="0"/>
    <x v="0"/>
    <x v="45"/>
    <x v="0"/>
    <n v="1"/>
    <m/>
    <n v="0"/>
    <n v="1"/>
    <m/>
    <m/>
    <x v="0"/>
    <x v="0"/>
    <x v="0"/>
    <x v="0"/>
    <m/>
    <m/>
    <m/>
    <n v="0"/>
    <n v="1"/>
    <n v="0"/>
    <n v="0"/>
    <n v="0"/>
    <n v="0"/>
    <n v="1"/>
    <n v="0"/>
    <n v="0"/>
    <n v="0"/>
    <n v="1"/>
    <n v="1"/>
    <n v="1"/>
    <n v="0"/>
    <n v="0"/>
    <n v="0"/>
    <n v="0"/>
    <n v="1"/>
    <n v="0"/>
    <m/>
  </r>
  <r>
    <x v="68"/>
    <x v="0"/>
    <x v="1"/>
    <x v="1"/>
    <x v="2"/>
    <x v="5"/>
    <x v="0"/>
    <x v="0"/>
    <x v="46"/>
    <x v="0"/>
    <n v="1"/>
    <m/>
    <n v="0"/>
    <n v="1"/>
    <m/>
    <m/>
    <x v="0"/>
    <x v="0"/>
    <x v="0"/>
    <x v="0"/>
    <m/>
    <m/>
    <m/>
    <n v="0"/>
    <n v="1"/>
    <n v="0"/>
    <n v="0"/>
    <n v="0"/>
    <n v="0"/>
    <n v="1"/>
    <n v="0"/>
    <n v="0"/>
    <n v="0"/>
    <n v="1"/>
    <n v="1"/>
    <n v="1"/>
    <n v="0"/>
    <n v="0"/>
    <n v="0"/>
    <n v="0"/>
    <n v="1"/>
    <n v="0"/>
    <m/>
  </r>
  <r>
    <x v="69"/>
    <x v="0"/>
    <x v="1"/>
    <x v="1"/>
    <x v="2"/>
    <x v="5"/>
    <x v="0"/>
    <x v="0"/>
    <x v="20"/>
    <x v="0"/>
    <n v="1"/>
    <m/>
    <n v="0"/>
    <n v="1"/>
    <m/>
    <m/>
    <x v="0"/>
    <x v="0"/>
    <x v="0"/>
    <x v="0"/>
    <m/>
    <m/>
    <m/>
    <n v="0"/>
    <n v="1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70"/>
    <x v="0"/>
    <x v="1"/>
    <x v="1"/>
    <x v="2"/>
    <x v="5"/>
    <x v="0"/>
    <x v="10"/>
    <x v="47"/>
    <x v="0"/>
    <n v="1"/>
    <m/>
    <n v="0"/>
    <n v="1"/>
    <m/>
    <m/>
    <x v="0"/>
    <x v="0"/>
    <x v="0"/>
    <x v="0"/>
    <m/>
    <m/>
    <m/>
    <n v="0"/>
    <n v="0"/>
    <n v="1"/>
    <n v="0"/>
    <n v="0"/>
    <n v="0"/>
    <n v="0"/>
    <n v="0"/>
    <n v="0"/>
    <n v="0"/>
    <n v="1"/>
    <n v="1"/>
    <n v="1"/>
    <n v="0"/>
    <n v="0"/>
    <n v="0"/>
    <n v="0"/>
    <n v="1"/>
    <n v="0"/>
    <m/>
  </r>
  <r>
    <x v="71"/>
    <x v="0"/>
    <x v="1"/>
    <x v="1"/>
    <x v="2"/>
    <x v="5"/>
    <x v="0"/>
    <x v="11"/>
    <x v="24"/>
    <x v="0"/>
    <n v="1"/>
    <m/>
    <n v="0"/>
    <n v="1"/>
    <m/>
    <m/>
    <x v="0"/>
    <x v="0"/>
    <x v="0"/>
    <x v="0"/>
    <m/>
    <m/>
    <m/>
    <n v="0"/>
    <n v="0"/>
    <n v="0"/>
    <n v="1"/>
    <n v="0"/>
    <n v="0"/>
    <n v="0"/>
    <n v="0"/>
    <n v="0"/>
    <n v="0"/>
    <n v="1"/>
    <n v="1"/>
    <n v="1"/>
    <n v="0"/>
    <n v="0"/>
    <n v="0"/>
    <n v="0"/>
    <n v="1"/>
    <n v="0"/>
    <m/>
  </r>
  <r>
    <x v="72"/>
    <x v="0"/>
    <x v="1"/>
    <x v="1"/>
    <x v="2"/>
    <x v="5"/>
    <x v="0"/>
    <x v="11"/>
    <x v="25"/>
    <x v="0"/>
    <n v="1"/>
    <m/>
    <n v="0"/>
    <n v="1"/>
    <m/>
    <m/>
    <x v="0"/>
    <x v="0"/>
    <x v="0"/>
    <x v="0"/>
    <m/>
    <m/>
    <m/>
    <n v="0"/>
    <n v="0"/>
    <n v="0"/>
    <n v="1"/>
    <n v="0"/>
    <n v="0"/>
    <n v="0"/>
    <n v="0"/>
    <n v="0"/>
    <n v="0"/>
    <n v="1"/>
    <n v="1"/>
    <n v="1"/>
    <n v="0"/>
    <n v="0"/>
    <n v="0"/>
    <n v="0"/>
    <n v="1"/>
    <n v="0"/>
    <m/>
  </r>
  <r>
    <x v="73"/>
    <x v="0"/>
    <x v="1"/>
    <x v="1"/>
    <x v="2"/>
    <x v="5"/>
    <x v="0"/>
    <x v="12"/>
    <x v="26"/>
    <x v="0"/>
    <n v="1"/>
    <m/>
    <n v="0"/>
    <n v="1"/>
    <m/>
    <m/>
    <x v="0"/>
    <x v="0"/>
    <x v="0"/>
    <x v="0"/>
    <m/>
    <m/>
    <m/>
    <n v="0"/>
    <n v="0"/>
    <n v="0"/>
    <n v="0"/>
    <n v="0"/>
    <n v="1"/>
    <n v="0"/>
    <n v="0"/>
    <n v="0"/>
    <n v="0"/>
    <n v="1"/>
    <n v="1"/>
    <n v="1"/>
    <n v="0"/>
    <n v="0"/>
    <n v="0"/>
    <n v="0"/>
    <n v="1"/>
    <n v="0"/>
    <m/>
  </r>
  <r>
    <x v="74"/>
    <x v="0"/>
    <x v="1"/>
    <x v="1"/>
    <x v="2"/>
    <x v="5"/>
    <x v="0"/>
    <x v="12"/>
    <x v="27"/>
    <x v="0"/>
    <n v="1"/>
    <m/>
    <n v="0"/>
    <n v="1"/>
    <m/>
    <m/>
    <x v="0"/>
    <x v="0"/>
    <x v="0"/>
    <x v="0"/>
    <m/>
    <m/>
    <m/>
    <n v="0"/>
    <n v="0"/>
    <n v="0"/>
    <n v="0"/>
    <n v="0"/>
    <n v="1"/>
    <n v="0"/>
    <n v="0"/>
    <n v="0"/>
    <n v="0"/>
    <n v="1"/>
    <n v="1"/>
    <n v="1"/>
    <n v="0"/>
    <n v="0"/>
    <n v="0"/>
    <n v="0"/>
    <n v="1"/>
    <n v="0"/>
    <m/>
  </r>
  <r>
    <x v="75"/>
    <x v="0"/>
    <x v="1"/>
    <x v="1"/>
    <x v="2"/>
    <x v="5"/>
    <x v="0"/>
    <x v="13"/>
    <x v="48"/>
    <x v="0"/>
    <n v="1"/>
    <m/>
    <n v="0"/>
    <n v="1"/>
    <m/>
    <m/>
    <x v="0"/>
    <x v="0"/>
    <x v="0"/>
    <x v="0"/>
    <m/>
    <m/>
    <m/>
    <n v="0"/>
    <n v="0"/>
    <n v="0"/>
    <n v="0"/>
    <n v="1"/>
    <n v="0"/>
    <n v="0"/>
    <n v="0"/>
    <n v="0"/>
    <n v="0"/>
    <n v="1"/>
    <n v="1"/>
    <n v="1"/>
    <n v="0"/>
    <n v="0"/>
    <n v="0"/>
    <n v="0"/>
    <n v="1"/>
    <n v="0"/>
    <m/>
  </r>
  <r>
    <x v="76"/>
    <x v="0"/>
    <x v="1"/>
    <x v="1"/>
    <x v="2"/>
    <x v="5"/>
    <x v="1"/>
    <x v="1"/>
    <x v="49"/>
    <x v="0"/>
    <n v="1"/>
    <m/>
    <n v="0"/>
    <n v="1"/>
    <m/>
    <m/>
    <x v="0"/>
    <x v="0"/>
    <x v="0"/>
    <x v="0"/>
    <m/>
    <m/>
    <m/>
    <n v="1"/>
    <n v="0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77"/>
    <x v="0"/>
    <x v="1"/>
    <x v="1"/>
    <x v="2"/>
    <x v="5"/>
    <x v="1"/>
    <x v="1"/>
    <x v="15"/>
    <x v="0"/>
    <n v="1"/>
    <m/>
    <n v="0"/>
    <n v="1"/>
    <m/>
    <m/>
    <x v="0"/>
    <x v="0"/>
    <x v="0"/>
    <x v="0"/>
    <m/>
    <m/>
    <m/>
    <n v="1"/>
    <n v="0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78"/>
    <x v="0"/>
    <x v="1"/>
    <x v="1"/>
    <x v="2"/>
    <x v="5"/>
    <x v="1"/>
    <x v="1"/>
    <x v="50"/>
    <x v="0"/>
    <n v="1"/>
    <m/>
    <n v="0"/>
    <n v="1"/>
    <m/>
    <m/>
    <x v="0"/>
    <x v="0"/>
    <x v="0"/>
    <x v="0"/>
    <m/>
    <m/>
    <m/>
    <n v="1"/>
    <n v="0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79"/>
    <x v="0"/>
    <x v="1"/>
    <x v="0"/>
    <x v="0"/>
    <x v="5"/>
    <x v="3"/>
    <x v="9"/>
    <x v="49"/>
    <x v="0"/>
    <n v="1"/>
    <n v="1"/>
    <m/>
    <n v="1"/>
    <n v="1"/>
    <m/>
    <x v="0"/>
    <x v="0"/>
    <x v="0"/>
    <x v="0"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80"/>
    <x v="0"/>
    <x v="1"/>
    <x v="0"/>
    <x v="0"/>
    <x v="5"/>
    <x v="3"/>
    <x v="9"/>
    <x v="15"/>
    <x v="0"/>
    <n v="1"/>
    <n v="1"/>
    <m/>
    <n v="1"/>
    <n v="1"/>
    <m/>
    <x v="0"/>
    <x v="0"/>
    <x v="0"/>
    <x v="0"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81"/>
    <x v="0"/>
    <x v="1"/>
    <x v="0"/>
    <x v="0"/>
    <x v="5"/>
    <x v="3"/>
    <x v="9"/>
    <x v="14"/>
    <x v="0"/>
    <n v="1"/>
    <n v="1"/>
    <m/>
    <n v="1"/>
    <n v="1"/>
    <m/>
    <x v="0"/>
    <x v="0"/>
    <x v="0"/>
    <x v="0"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82"/>
    <x v="0"/>
    <x v="1"/>
    <x v="0"/>
    <x v="0"/>
    <x v="5"/>
    <x v="3"/>
    <x v="9"/>
    <x v="13"/>
    <x v="0"/>
    <n v="1"/>
    <n v="1"/>
    <m/>
    <n v="1"/>
    <n v="1"/>
    <m/>
    <x v="0"/>
    <x v="0"/>
    <x v="0"/>
    <x v="0"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83"/>
    <x v="0"/>
    <x v="1"/>
    <x v="0"/>
    <x v="0"/>
    <x v="5"/>
    <x v="3"/>
    <x v="0"/>
    <x v="0"/>
    <x v="0"/>
    <n v="1"/>
    <n v="1"/>
    <m/>
    <n v="1"/>
    <n v="1"/>
    <m/>
    <x v="0"/>
    <x v="0"/>
    <x v="0"/>
    <x v="0"/>
    <m/>
    <m/>
    <m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84"/>
    <x v="0"/>
    <x v="1"/>
    <x v="0"/>
    <x v="0"/>
    <x v="5"/>
    <x v="3"/>
    <x v="0"/>
    <x v="51"/>
    <x v="0"/>
    <n v="1"/>
    <n v="1"/>
    <m/>
    <n v="1"/>
    <n v="1"/>
    <m/>
    <x v="0"/>
    <x v="0"/>
    <x v="0"/>
    <x v="0"/>
    <m/>
    <m/>
    <m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85"/>
    <x v="0"/>
    <x v="1"/>
    <x v="0"/>
    <x v="0"/>
    <x v="5"/>
    <x v="3"/>
    <x v="0"/>
    <x v="52"/>
    <x v="0"/>
    <n v="1"/>
    <n v="1"/>
    <m/>
    <n v="1"/>
    <n v="1"/>
    <m/>
    <x v="0"/>
    <x v="0"/>
    <x v="0"/>
    <x v="0"/>
    <m/>
    <m/>
    <m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86"/>
    <x v="0"/>
    <x v="1"/>
    <x v="0"/>
    <x v="0"/>
    <x v="5"/>
    <x v="3"/>
    <x v="10"/>
    <x v="6"/>
    <x v="0"/>
    <n v="1"/>
    <n v="1"/>
    <m/>
    <n v="1"/>
    <n v="1"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87"/>
    <x v="0"/>
    <x v="1"/>
    <x v="0"/>
    <x v="0"/>
    <x v="5"/>
    <x v="3"/>
    <x v="10"/>
    <x v="29"/>
    <x v="0"/>
    <n v="1"/>
    <n v="1"/>
    <m/>
    <n v="1"/>
    <n v="1"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88"/>
    <x v="0"/>
    <x v="1"/>
    <x v="0"/>
    <x v="0"/>
    <x v="5"/>
    <x v="3"/>
    <x v="10"/>
    <x v="30"/>
    <x v="0"/>
    <n v="1"/>
    <n v="1"/>
    <m/>
    <n v="1"/>
    <n v="1"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89"/>
    <x v="0"/>
    <x v="1"/>
    <x v="0"/>
    <x v="0"/>
    <x v="5"/>
    <x v="3"/>
    <x v="10"/>
    <x v="21"/>
    <x v="0"/>
    <n v="1"/>
    <n v="1"/>
    <m/>
    <n v="1"/>
    <n v="1"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90"/>
    <x v="0"/>
    <x v="1"/>
    <x v="0"/>
    <x v="0"/>
    <x v="5"/>
    <x v="3"/>
    <x v="10"/>
    <x v="53"/>
    <x v="0"/>
    <n v="1"/>
    <n v="1"/>
    <m/>
    <n v="1"/>
    <n v="1"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91"/>
    <x v="0"/>
    <x v="1"/>
    <x v="0"/>
    <x v="0"/>
    <x v="5"/>
    <x v="3"/>
    <x v="11"/>
    <x v="28"/>
    <x v="0"/>
    <n v="1"/>
    <n v="1"/>
    <m/>
    <n v="1"/>
    <n v="1"/>
    <m/>
    <x v="0"/>
    <x v="0"/>
    <x v="0"/>
    <x v="0"/>
    <m/>
    <m/>
    <m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m/>
  </r>
  <r>
    <x v="92"/>
    <x v="0"/>
    <x v="1"/>
    <x v="0"/>
    <x v="0"/>
    <x v="5"/>
    <x v="3"/>
    <x v="11"/>
    <x v="25"/>
    <x v="0"/>
    <n v="1"/>
    <n v="1"/>
    <m/>
    <n v="1"/>
    <n v="1"/>
    <m/>
    <x v="0"/>
    <x v="0"/>
    <x v="0"/>
    <x v="0"/>
    <m/>
    <m/>
    <m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m/>
  </r>
  <r>
    <x v="93"/>
    <x v="0"/>
    <x v="1"/>
    <x v="0"/>
    <x v="0"/>
    <x v="5"/>
    <x v="3"/>
    <x v="12"/>
    <x v="54"/>
    <x v="0"/>
    <n v="1"/>
    <n v="1"/>
    <m/>
    <n v="1"/>
    <n v="1"/>
    <m/>
    <x v="0"/>
    <x v="0"/>
    <x v="0"/>
    <x v="0"/>
    <m/>
    <m/>
    <m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m/>
  </r>
  <r>
    <x v="94"/>
    <x v="0"/>
    <x v="1"/>
    <x v="0"/>
    <x v="0"/>
    <x v="5"/>
    <x v="3"/>
    <x v="12"/>
    <x v="55"/>
    <x v="0"/>
    <n v="1"/>
    <n v="1"/>
    <m/>
    <n v="1"/>
    <n v="1"/>
    <m/>
    <x v="0"/>
    <x v="0"/>
    <x v="0"/>
    <x v="0"/>
    <m/>
    <m/>
    <m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m/>
  </r>
  <r>
    <x v="95"/>
    <x v="0"/>
    <x v="1"/>
    <x v="0"/>
    <x v="0"/>
    <x v="5"/>
    <x v="3"/>
    <x v="13"/>
    <x v="31"/>
    <x v="0"/>
    <n v="1"/>
    <n v="1"/>
    <m/>
    <n v="1"/>
    <n v="1"/>
    <m/>
    <x v="0"/>
    <x v="0"/>
    <x v="0"/>
    <x v="0"/>
    <m/>
    <m/>
    <m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m/>
  </r>
  <r>
    <x v="96"/>
    <x v="0"/>
    <x v="1"/>
    <x v="0"/>
    <x v="0"/>
    <x v="5"/>
    <x v="3"/>
    <x v="13"/>
    <x v="32"/>
    <x v="0"/>
    <n v="1"/>
    <n v="1"/>
    <m/>
    <n v="1"/>
    <n v="1"/>
    <m/>
    <x v="0"/>
    <x v="0"/>
    <x v="0"/>
    <x v="0"/>
    <m/>
    <m/>
    <m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m/>
  </r>
  <r>
    <x v="97"/>
    <x v="0"/>
    <x v="1"/>
    <x v="2"/>
    <x v="5"/>
    <x v="6"/>
    <x v="3"/>
    <x v="15"/>
    <x v="56"/>
    <x v="3"/>
    <m/>
    <m/>
    <m/>
    <m/>
    <m/>
    <m/>
    <x v="0"/>
    <x v="1"/>
    <x v="1"/>
    <x v="1"/>
    <n v="1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98"/>
    <x v="0"/>
    <x v="1"/>
    <x v="2"/>
    <x v="5"/>
    <x v="6"/>
    <x v="3"/>
    <x v="15"/>
    <x v="56"/>
    <x v="3"/>
    <m/>
    <m/>
    <m/>
    <m/>
    <m/>
    <m/>
    <x v="0"/>
    <x v="1"/>
    <x v="2"/>
    <x v="2"/>
    <n v="1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99"/>
    <x v="0"/>
    <x v="1"/>
    <x v="2"/>
    <x v="5"/>
    <x v="6"/>
    <x v="3"/>
    <x v="15"/>
    <x v="56"/>
    <x v="3"/>
    <m/>
    <m/>
    <m/>
    <m/>
    <m/>
    <m/>
    <x v="0"/>
    <x v="1"/>
    <x v="3"/>
    <x v="3"/>
    <n v="1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00"/>
    <x v="0"/>
    <x v="1"/>
    <x v="2"/>
    <x v="5"/>
    <x v="6"/>
    <x v="3"/>
    <x v="15"/>
    <x v="56"/>
    <x v="3"/>
    <m/>
    <m/>
    <m/>
    <m/>
    <m/>
    <m/>
    <x v="0"/>
    <x v="1"/>
    <x v="4"/>
    <x v="4"/>
    <n v="1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01"/>
    <x v="0"/>
    <x v="1"/>
    <x v="2"/>
    <x v="5"/>
    <x v="6"/>
    <x v="3"/>
    <x v="15"/>
    <x v="56"/>
    <x v="3"/>
    <m/>
    <m/>
    <m/>
    <m/>
    <m/>
    <m/>
    <x v="0"/>
    <x v="1"/>
    <x v="5"/>
    <x v="5"/>
    <n v="1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02"/>
    <x v="0"/>
    <x v="1"/>
    <x v="2"/>
    <x v="5"/>
    <x v="6"/>
    <x v="3"/>
    <x v="15"/>
    <x v="56"/>
    <x v="3"/>
    <m/>
    <m/>
    <m/>
    <m/>
    <m/>
    <m/>
    <x v="0"/>
    <x v="1"/>
    <x v="6"/>
    <x v="6"/>
    <n v="1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03"/>
    <x v="0"/>
    <x v="1"/>
    <x v="2"/>
    <x v="5"/>
    <x v="6"/>
    <x v="3"/>
    <x v="15"/>
    <x v="56"/>
    <x v="3"/>
    <m/>
    <m/>
    <m/>
    <m/>
    <m/>
    <m/>
    <x v="0"/>
    <x v="1"/>
    <x v="7"/>
    <x v="7"/>
    <n v="1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04"/>
    <x v="0"/>
    <x v="1"/>
    <x v="2"/>
    <x v="5"/>
    <x v="6"/>
    <x v="3"/>
    <x v="15"/>
    <x v="56"/>
    <x v="3"/>
    <m/>
    <m/>
    <m/>
    <m/>
    <m/>
    <m/>
    <x v="0"/>
    <x v="1"/>
    <x v="8"/>
    <x v="8"/>
    <n v="1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05"/>
    <x v="0"/>
    <x v="2"/>
    <x v="3"/>
    <x v="0"/>
    <x v="5"/>
    <x v="3"/>
    <x v="9"/>
    <x v="49"/>
    <x v="3"/>
    <n v="1"/>
    <n v="1"/>
    <m/>
    <m/>
    <m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</r>
  <r>
    <x v="106"/>
    <x v="0"/>
    <x v="2"/>
    <x v="3"/>
    <x v="0"/>
    <x v="5"/>
    <x v="3"/>
    <x v="0"/>
    <x v="0"/>
    <x v="3"/>
    <n v="1"/>
    <n v="1"/>
    <m/>
    <m/>
    <m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</r>
  <r>
    <x v="107"/>
    <x v="0"/>
    <x v="2"/>
    <x v="3"/>
    <x v="0"/>
    <x v="5"/>
    <x v="3"/>
    <x v="10"/>
    <x v="6"/>
    <x v="3"/>
    <n v="1"/>
    <n v="1"/>
    <m/>
    <m/>
    <m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</r>
  <r>
    <x v="108"/>
    <x v="0"/>
    <x v="2"/>
    <x v="3"/>
    <x v="0"/>
    <x v="5"/>
    <x v="3"/>
    <x v="11"/>
    <x v="28"/>
    <x v="3"/>
    <n v="1"/>
    <n v="1"/>
    <m/>
    <m/>
    <m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</r>
  <r>
    <x v="109"/>
    <x v="0"/>
    <x v="2"/>
    <x v="3"/>
    <x v="0"/>
    <x v="5"/>
    <x v="3"/>
    <x v="12"/>
    <x v="54"/>
    <x v="3"/>
    <n v="1"/>
    <n v="1"/>
    <m/>
    <m/>
    <m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</r>
  <r>
    <x v="110"/>
    <x v="0"/>
    <x v="2"/>
    <x v="3"/>
    <x v="0"/>
    <x v="5"/>
    <x v="3"/>
    <x v="13"/>
    <x v="31"/>
    <x v="3"/>
    <n v="1"/>
    <n v="1"/>
    <m/>
    <m/>
    <m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</r>
  <r>
    <x v="111"/>
    <x v="0"/>
    <x v="1"/>
    <x v="4"/>
    <x v="2"/>
    <x v="5"/>
    <x v="3"/>
    <x v="15"/>
    <x v="56"/>
    <x v="3"/>
    <m/>
    <m/>
    <m/>
    <m/>
    <m/>
    <n v="1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12"/>
    <x v="0"/>
    <x v="1"/>
    <x v="5"/>
    <x v="0"/>
    <x v="5"/>
    <x v="3"/>
    <x v="15"/>
    <x v="56"/>
    <x v="3"/>
    <m/>
    <m/>
    <m/>
    <m/>
    <m/>
    <m/>
    <x v="0"/>
    <x v="0"/>
    <x v="0"/>
    <x v="0"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13"/>
    <x v="0"/>
    <x v="1"/>
    <x v="0"/>
    <x v="0"/>
    <x v="5"/>
    <x v="3"/>
    <x v="9"/>
    <x v="50"/>
    <x v="0"/>
    <n v="1"/>
    <n v="1"/>
    <m/>
    <n v="1"/>
    <n v="1"/>
    <m/>
    <x v="0"/>
    <x v="0"/>
    <x v="0"/>
    <x v="0"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14"/>
    <x v="0"/>
    <x v="1"/>
    <x v="0"/>
    <x v="0"/>
    <x v="5"/>
    <x v="3"/>
    <x v="0"/>
    <x v="19"/>
    <x v="0"/>
    <n v="1"/>
    <n v="1"/>
    <m/>
    <n v="1"/>
    <n v="1"/>
    <m/>
    <x v="0"/>
    <x v="0"/>
    <x v="0"/>
    <x v="0"/>
    <m/>
    <m/>
    <m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15"/>
    <x v="0"/>
    <x v="1"/>
    <x v="0"/>
    <x v="0"/>
    <x v="5"/>
    <x v="3"/>
    <x v="0"/>
    <x v="20"/>
    <x v="0"/>
    <n v="1"/>
    <n v="1"/>
    <m/>
    <n v="1"/>
    <n v="1"/>
    <m/>
    <x v="0"/>
    <x v="0"/>
    <x v="0"/>
    <x v="0"/>
    <m/>
    <m/>
    <m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16"/>
    <x v="1"/>
    <x v="1"/>
    <x v="1"/>
    <x v="1"/>
    <x v="1"/>
    <x v="0"/>
    <x v="9"/>
    <x v="13"/>
    <x v="0"/>
    <n v="1"/>
    <m/>
    <n v="1"/>
    <n v="2"/>
    <m/>
    <m/>
    <x v="0"/>
    <x v="0"/>
    <x v="0"/>
    <x v="0"/>
    <m/>
    <m/>
    <m/>
    <n v="1"/>
    <n v="0"/>
    <n v="0"/>
    <n v="0"/>
    <n v="0"/>
    <n v="0"/>
    <n v="0"/>
    <n v="7.4074000000000001E-2"/>
    <n v="0"/>
    <n v="0"/>
    <n v="2"/>
    <n v="1"/>
    <n v="1"/>
    <n v="0"/>
    <n v="0"/>
    <n v="0"/>
    <n v="2"/>
    <n v="0"/>
    <n v="1"/>
    <m/>
  </r>
  <r>
    <x v="117"/>
    <x v="1"/>
    <x v="1"/>
    <x v="1"/>
    <x v="1"/>
    <x v="1"/>
    <x v="0"/>
    <x v="0"/>
    <x v="17"/>
    <x v="0"/>
    <n v="1"/>
    <m/>
    <n v="1"/>
    <n v="2"/>
    <m/>
    <m/>
    <x v="0"/>
    <x v="0"/>
    <x v="0"/>
    <x v="0"/>
    <m/>
    <m/>
    <m/>
    <n v="0"/>
    <n v="1"/>
    <n v="0"/>
    <n v="0"/>
    <n v="0"/>
    <n v="0"/>
    <n v="0"/>
    <n v="7.4074000000000001E-2"/>
    <n v="0"/>
    <n v="0"/>
    <n v="2"/>
    <n v="1"/>
    <n v="1"/>
    <n v="0"/>
    <n v="0"/>
    <n v="0"/>
    <n v="2"/>
    <n v="0"/>
    <n v="1"/>
    <m/>
  </r>
  <r>
    <x v="118"/>
    <x v="1"/>
    <x v="1"/>
    <x v="1"/>
    <x v="1"/>
    <x v="1"/>
    <x v="0"/>
    <x v="10"/>
    <x v="47"/>
    <x v="0"/>
    <n v="1"/>
    <m/>
    <n v="1"/>
    <n v="2"/>
    <m/>
    <m/>
    <x v="0"/>
    <x v="0"/>
    <x v="0"/>
    <x v="0"/>
    <m/>
    <m/>
    <m/>
    <n v="0"/>
    <n v="0"/>
    <n v="1"/>
    <n v="0"/>
    <n v="0"/>
    <n v="0"/>
    <n v="0"/>
    <n v="7.4074000000000001E-2"/>
    <n v="0"/>
    <n v="0"/>
    <n v="2"/>
    <n v="1"/>
    <n v="1"/>
    <n v="0"/>
    <n v="0"/>
    <n v="0"/>
    <n v="2"/>
    <n v="0"/>
    <n v="1"/>
    <m/>
  </r>
  <r>
    <x v="119"/>
    <x v="1"/>
    <x v="1"/>
    <x v="1"/>
    <x v="1"/>
    <x v="1"/>
    <x v="0"/>
    <x v="11"/>
    <x v="24"/>
    <x v="0"/>
    <n v="1"/>
    <m/>
    <n v="1"/>
    <n v="2"/>
    <m/>
    <m/>
    <x v="0"/>
    <x v="0"/>
    <x v="0"/>
    <x v="0"/>
    <m/>
    <m/>
    <m/>
    <n v="0"/>
    <n v="0"/>
    <n v="0"/>
    <n v="1"/>
    <n v="0"/>
    <n v="0"/>
    <n v="0"/>
    <n v="7.4074000000000001E-2"/>
    <n v="0"/>
    <n v="0"/>
    <n v="2"/>
    <n v="1"/>
    <n v="1"/>
    <n v="0"/>
    <n v="0"/>
    <n v="0"/>
    <n v="2"/>
    <n v="0"/>
    <n v="1"/>
    <m/>
  </r>
  <r>
    <x v="120"/>
    <x v="1"/>
    <x v="1"/>
    <x v="1"/>
    <x v="1"/>
    <x v="1"/>
    <x v="0"/>
    <x v="12"/>
    <x v="26"/>
    <x v="0"/>
    <n v="1"/>
    <m/>
    <n v="1"/>
    <n v="2"/>
    <m/>
    <m/>
    <x v="0"/>
    <x v="0"/>
    <x v="0"/>
    <x v="0"/>
    <m/>
    <m/>
    <m/>
    <n v="0"/>
    <n v="0"/>
    <n v="0"/>
    <n v="0"/>
    <n v="0"/>
    <n v="1"/>
    <n v="0"/>
    <n v="7.4074000000000001E-2"/>
    <n v="0"/>
    <n v="0"/>
    <n v="2"/>
    <n v="1"/>
    <n v="1"/>
    <n v="0"/>
    <n v="0"/>
    <n v="0"/>
    <n v="2"/>
    <n v="0"/>
    <n v="1"/>
    <m/>
  </r>
  <r>
    <x v="121"/>
    <x v="1"/>
    <x v="1"/>
    <x v="1"/>
    <x v="1"/>
    <x v="1"/>
    <x v="0"/>
    <x v="13"/>
    <x v="48"/>
    <x v="0"/>
    <n v="1"/>
    <m/>
    <n v="1"/>
    <n v="2"/>
    <m/>
    <m/>
    <x v="0"/>
    <x v="0"/>
    <x v="0"/>
    <x v="0"/>
    <m/>
    <m/>
    <m/>
    <n v="0"/>
    <n v="0"/>
    <n v="0"/>
    <n v="0"/>
    <n v="1"/>
    <n v="0"/>
    <n v="0"/>
    <n v="7.4074000000000001E-2"/>
    <n v="0"/>
    <n v="0"/>
    <n v="2"/>
    <n v="1"/>
    <n v="1"/>
    <n v="0"/>
    <n v="0"/>
    <n v="0"/>
    <n v="2"/>
    <n v="0"/>
    <n v="1"/>
    <m/>
  </r>
  <r>
    <x v="122"/>
    <x v="1"/>
    <x v="1"/>
    <x v="1"/>
    <x v="2"/>
    <x v="2"/>
    <x v="4"/>
    <x v="9"/>
    <x v="13"/>
    <x v="0"/>
    <n v="1"/>
    <m/>
    <n v="1"/>
    <n v="2"/>
    <m/>
    <m/>
    <x v="0"/>
    <x v="0"/>
    <x v="0"/>
    <x v="0"/>
    <m/>
    <m/>
    <m/>
    <n v="1"/>
    <n v="0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123"/>
    <x v="1"/>
    <x v="1"/>
    <x v="1"/>
    <x v="2"/>
    <x v="2"/>
    <x v="4"/>
    <x v="0"/>
    <x v="17"/>
    <x v="0"/>
    <n v="1"/>
    <m/>
    <n v="1"/>
    <n v="2"/>
    <m/>
    <m/>
    <x v="0"/>
    <x v="0"/>
    <x v="0"/>
    <x v="0"/>
    <m/>
    <m/>
    <m/>
    <n v="0"/>
    <n v="1"/>
    <n v="0"/>
    <n v="0"/>
    <n v="0"/>
    <n v="0"/>
    <n v="0"/>
    <n v="0"/>
    <n v="0"/>
    <n v="0"/>
    <n v="1"/>
    <n v="1"/>
    <n v="1"/>
    <n v="0"/>
    <n v="0"/>
    <n v="0"/>
    <n v="0"/>
    <n v="1"/>
    <n v="0"/>
    <m/>
  </r>
  <r>
    <x v="124"/>
    <x v="1"/>
    <x v="1"/>
    <x v="1"/>
    <x v="2"/>
    <x v="2"/>
    <x v="4"/>
    <x v="10"/>
    <x v="47"/>
    <x v="0"/>
    <n v="1"/>
    <m/>
    <n v="1"/>
    <n v="2"/>
    <m/>
    <m/>
    <x v="0"/>
    <x v="0"/>
    <x v="0"/>
    <x v="0"/>
    <m/>
    <m/>
    <m/>
    <n v="0"/>
    <n v="0"/>
    <n v="1"/>
    <n v="0"/>
    <n v="0"/>
    <n v="0"/>
    <n v="0"/>
    <n v="0"/>
    <n v="0"/>
    <n v="0"/>
    <n v="1"/>
    <n v="1"/>
    <n v="1"/>
    <n v="0"/>
    <n v="0"/>
    <n v="0"/>
    <n v="0"/>
    <n v="1"/>
    <n v="0"/>
    <m/>
  </r>
  <r>
    <x v="125"/>
    <x v="1"/>
    <x v="1"/>
    <x v="1"/>
    <x v="2"/>
    <x v="2"/>
    <x v="4"/>
    <x v="11"/>
    <x v="24"/>
    <x v="0"/>
    <n v="1"/>
    <m/>
    <n v="1"/>
    <n v="2"/>
    <m/>
    <m/>
    <x v="0"/>
    <x v="0"/>
    <x v="0"/>
    <x v="0"/>
    <m/>
    <m/>
    <m/>
    <n v="0"/>
    <n v="0"/>
    <n v="0"/>
    <n v="1"/>
    <n v="0"/>
    <n v="0"/>
    <n v="0"/>
    <n v="0"/>
    <n v="0"/>
    <n v="0"/>
    <n v="1"/>
    <n v="1"/>
    <n v="1"/>
    <n v="0"/>
    <n v="0"/>
    <n v="0"/>
    <n v="0"/>
    <n v="1"/>
    <n v="0"/>
    <m/>
  </r>
  <r>
    <x v="126"/>
    <x v="1"/>
    <x v="1"/>
    <x v="1"/>
    <x v="2"/>
    <x v="2"/>
    <x v="4"/>
    <x v="12"/>
    <x v="26"/>
    <x v="0"/>
    <n v="1"/>
    <m/>
    <n v="1"/>
    <n v="2"/>
    <m/>
    <m/>
    <x v="0"/>
    <x v="0"/>
    <x v="0"/>
    <x v="0"/>
    <m/>
    <m/>
    <m/>
    <n v="0"/>
    <n v="0"/>
    <n v="0"/>
    <n v="0"/>
    <n v="0"/>
    <n v="1"/>
    <n v="0"/>
    <n v="0"/>
    <n v="0"/>
    <n v="0"/>
    <n v="1"/>
    <n v="1"/>
    <n v="1"/>
    <n v="0"/>
    <n v="0"/>
    <n v="0"/>
    <n v="0"/>
    <n v="1"/>
    <n v="0"/>
    <m/>
  </r>
  <r>
    <x v="127"/>
    <x v="1"/>
    <x v="1"/>
    <x v="1"/>
    <x v="2"/>
    <x v="2"/>
    <x v="4"/>
    <x v="13"/>
    <x v="48"/>
    <x v="0"/>
    <n v="1"/>
    <m/>
    <n v="1"/>
    <n v="2"/>
    <m/>
    <m/>
    <x v="0"/>
    <x v="0"/>
    <x v="0"/>
    <x v="0"/>
    <m/>
    <m/>
    <m/>
    <n v="0"/>
    <n v="0"/>
    <n v="0"/>
    <n v="0"/>
    <n v="1"/>
    <n v="0"/>
    <n v="0"/>
    <n v="0"/>
    <n v="0"/>
    <n v="0"/>
    <n v="1"/>
    <n v="1"/>
    <n v="1"/>
    <n v="0"/>
    <n v="0"/>
    <n v="0"/>
    <n v="0"/>
    <n v="1"/>
    <n v="0"/>
    <m/>
  </r>
  <r>
    <x v="128"/>
    <x v="2"/>
    <x v="1"/>
    <x v="1"/>
    <x v="4"/>
    <x v="7"/>
    <x v="0"/>
    <x v="0"/>
    <x v="45"/>
    <x v="0"/>
    <n v="1"/>
    <m/>
    <n v="1"/>
    <n v="2"/>
    <m/>
    <m/>
    <x v="0"/>
    <x v="0"/>
    <x v="0"/>
    <x v="0"/>
    <m/>
    <m/>
    <m/>
    <n v="0"/>
    <n v="1"/>
    <n v="0"/>
    <n v="0"/>
    <n v="0"/>
    <n v="0"/>
    <n v="1"/>
    <n v="7.4074000000000001E-2"/>
    <n v="0"/>
    <n v="0"/>
    <n v="1.1000000000000001"/>
    <n v="1"/>
    <n v="1"/>
    <n v="0"/>
    <n v="0"/>
    <n v="1"/>
    <n v="0"/>
    <n v="0"/>
    <n v="1"/>
    <m/>
  </r>
  <r>
    <x v="129"/>
    <x v="2"/>
    <x v="1"/>
    <x v="0"/>
    <x v="3"/>
    <x v="8"/>
    <x v="3"/>
    <x v="0"/>
    <x v="57"/>
    <x v="0"/>
    <n v="1"/>
    <n v="1"/>
    <m/>
    <n v="1"/>
    <n v="1"/>
    <m/>
    <x v="0"/>
    <x v="0"/>
    <x v="0"/>
    <x v="0"/>
    <m/>
    <m/>
    <m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30"/>
    <x v="3"/>
    <x v="1"/>
    <x v="1"/>
    <x v="1"/>
    <x v="1"/>
    <x v="2"/>
    <x v="3"/>
    <x v="33"/>
    <x v="0"/>
    <n v="1"/>
    <m/>
    <n v="1"/>
    <n v="2"/>
    <m/>
    <m/>
    <x v="0"/>
    <x v="0"/>
    <x v="0"/>
    <x v="0"/>
    <m/>
    <m/>
    <m/>
    <n v="1"/>
    <n v="0"/>
    <n v="0"/>
    <n v="0"/>
    <n v="0"/>
    <n v="0"/>
    <n v="0"/>
    <n v="7.4074000000000001E-2"/>
    <n v="0"/>
    <n v="0"/>
    <n v="2"/>
    <n v="1"/>
    <n v="1"/>
    <n v="0"/>
    <n v="0"/>
    <n v="0"/>
    <n v="2"/>
    <n v="0"/>
    <n v="1"/>
    <m/>
  </r>
  <r>
    <x v="131"/>
    <x v="3"/>
    <x v="1"/>
    <x v="0"/>
    <x v="3"/>
    <x v="8"/>
    <x v="3"/>
    <x v="9"/>
    <x v="49"/>
    <x v="0"/>
    <n v="1"/>
    <n v="1"/>
    <m/>
    <n v="1"/>
    <n v="1"/>
    <m/>
    <x v="1"/>
    <x v="0"/>
    <x v="0"/>
    <x v="0"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32"/>
    <x v="3"/>
    <x v="1"/>
    <x v="2"/>
    <x v="5"/>
    <x v="6"/>
    <x v="3"/>
    <x v="15"/>
    <x v="56"/>
    <x v="3"/>
    <m/>
    <m/>
    <m/>
    <m/>
    <m/>
    <m/>
    <x v="0"/>
    <x v="1"/>
    <x v="1"/>
    <x v="1"/>
    <n v="1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33"/>
    <x v="3"/>
    <x v="1"/>
    <x v="4"/>
    <x v="1"/>
    <x v="1"/>
    <x v="3"/>
    <x v="15"/>
    <x v="56"/>
    <x v="3"/>
    <m/>
    <m/>
    <m/>
    <m/>
    <m/>
    <n v="1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34"/>
    <x v="4"/>
    <x v="1"/>
    <x v="5"/>
    <x v="3"/>
    <x v="8"/>
    <x v="3"/>
    <x v="15"/>
    <x v="56"/>
    <x v="3"/>
    <m/>
    <m/>
    <m/>
    <m/>
    <m/>
    <m/>
    <x v="0"/>
    <x v="0"/>
    <x v="0"/>
    <x v="0"/>
    <m/>
    <n v="117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35"/>
    <x v="5"/>
    <x v="3"/>
    <x v="1"/>
    <x v="1"/>
    <x v="1"/>
    <x v="2"/>
    <x v="3"/>
    <x v="33"/>
    <x v="0"/>
    <n v="1"/>
    <m/>
    <n v="1"/>
    <n v="2"/>
    <m/>
    <m/>
    <x v="0"/>
    <x v="0"/>
    <x v="0"/>
    <x v="0"/>
    <m/>
    <m/>
    <m/>
    <n v="1"/>
    <n v="0"/>
    <n v="0"/>
    <n v="0"/>
    <n v="0"/>
    <n v="0"/>
    <n v="0"/>
    <n v="7.4074000000000001E-2"/>
    <n v="0"/>
    <n v="0"/>
    <n v="2"/>
    <n v="1"/>
    <n v="1"/>
    <n v="0"/>
    <n v="0"/>
    <n v="0"/>
    <n v="2"/>
    <n v="0"/>
    <n v="1"/>
    <m/>
  </r>
  <r>
    <x v="136"/>
    <x v="6"/>
    <x v="3"/>
    <x v="1"/>
    <x v="4"/>
    <x v="9"/>
    <x v="2"/>
    <x v="3"/>
    <x v="42"/>
    <x v="0"/>
    <n v="1"/>
    <m/>
    <n v="1"/>
    <n v="2"/>
    <m/>
    <m/>
    <x v="0"/>
    <x v="0"/>
    <x v="0"/>
    <x v="0"/>
    <m/>
    <m/>
    <m/>
    <n v="1"/>
    <n v="0"/>
    <n v="0"/>
    <n v="0"/>
    <n v="0"/>
    <n v="0"/>
    <n v="0"/>
    <n v="7.4074000000000001E-2"/>
    <n v="0"/>
    <n v="0"/>
    <n v="1.1000000000000001"/>
    <n v="1"/>
    <n v="1"/>
    <n v="0"/>
    <n v="0"/>
    <n v="1"/>
    <n v="0"/>
    <n v="0"/>
    <n v="1"/>
    <m/>
  </r>
  <r>
    <x v="137"/>
    <x v="7"/>
    <x v="3"/>
    <x v="1"/>
    <x v="2"/>
    <x v="10"/>
    <x v="5"/>
    <x v="16"/>
    <x v="58"/>
    <x v="0"/>
    <n v="0"/>
    <m/>
    <n v="0"/>
    <n v="0"/>
    <m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38"/>
    <x v="8"/>
    <x v="3"/>
    <x v="1"/>
    <x v="4"/>
    <x v="11"/>
    <x v="2"/>
    <x v="3"/>
    <x v="33"/>
    <x v="2"/>
    <n v="0"/>
    <m/>
    <n v="0"/>
    <n v="0"/>
    <m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39"/>
    <x v="9"/>
    <x v="3"/>
    <x v="1"/>
    <x v="4"/>
    <x v="11"/>
    <x v="2"/>
    <x v="3"/>
    <x v="33"/>
    <x v="2"/>
    <n v="0"/>
    <m/>
    <n v="0"/>
    <n v="0"/>
    <m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40"/>
    <x v="10"/>
    <x v="3"/>
    <x v="1"/>
    <x v="4"/>
    <x v="11"/>
    <x v="2"/>
    <x v="3"/>
    <x v="33"/>
    <x v="2"/>
    <n v="0"/>
    <m/>
    <n v="0"/>
    <n v="0"/>
    <m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41"/>
    <x v="10"/>
    <x v="3"/>
    <x v="1"/>
    <x v="2"/>
    <x v="10"/>
    <x v="5"/>
    <x v="16"/>
    <x v="58"/>
    <x v="0"/>
    <n v="50"/>
    <m/>
    <n v="0"/>
    <n v="50"/>
    <m/>
    <m/>
    <x v="0"/>
    <x v="0"/>
    <x v="0"/>
    <x v="0"/>
    <m/>
    <m/>
    <m/>
    <n v="0"/>
    <n v="0"/>
    <n v="0"/>
    <n v="0"/>
    <n v="0"/>
    <n v="0"/>
    <n v="0"/>
    <n v="0"/>
    <n v="0"/>
    <n v="0"/>
    <n v="50"/>
    <n v="50"/>
    <n v="50"/>
    <n v="0"/>
    <n v="0"/>
    <n v="0"/>
    <n v="0"/>
    <n v="50"/>
    <n v="0"/>
    <m/>
  </r>
  <r>
    <x v="142"/>
    <x v="11"/>
    <x v="3"/>
    <x v="0"/>
    <x v="0"/>
    <x v="12"/>
    <x v="3"/>
    <x v="16"/>
    <x v="59"/>
    <x v="0"/>
    <n v="50"/>
    <n v="0.43"/>
    <m/>
    <n v="50"/>
    <n v="0.43"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43"/>
    <x v="10"/>
    <x v="3"/>
    <x v="1"/>
    <x v="1"/>
    <x v="1"/>
    <x v="2"/>
    <x v="3"/>
    <x v="33"/>
    <x v="4"/>
    <n v="400"/>
    <m/>
    <n v="0"/>
    <n v="10000"/>
    <m/>
    <m/>
    <x v="0"/>
    <x v="0"/>
    <x v="0"/>
    <x v="0"/>
    <m/>
    <m/>
    <m/>
    <n v="25"/>
    <n v="0"/>
    <n v="0"/>
    <n v="0"/>
    <n v="0"/>
    <n v="0"/>
    <n v="0"/>
    <n v="29.6296"/>
    <n v="370"/>
    <n v="9259"/>
    <n v="10000"/>
    <n v="370.37040000000002"/>
    <n v="9259.26"/>
    <n v="0"/>
    <n v="0"/>
    <n v="0"/>
    <n v="400"/>
    <n v="0"/>
    <n v="0"/>
    <m/>
  </r>
  <r>
    <x v="144"/>
    <x v="12"/>
    <x v="3"/>
    <x v="2"/>
    <x v="5"/>
    <x v="6"/>
    <x v="3"/>
    <x v="15"/>
    <x v="56"/>
    <x v="3"/>
    <m/>
    <m/>
    <m/>
    <m/>
    <m/>
    <m/>
    <x v="0"/>
    <x v="1"/>
    <x v="7"/>
    <x v="7"/>
    <n v="25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45"/>
    <x v="12"/>
    <x v="3"/>
    <x v="2"/>
    <x v="5"/>
    <x v="6"/>
    <x v="3"/>
    <x v="15"/>
    <x v="56"/>
    <x v="3"/>
    <m/>
    <m/>
    <m/>
    <m/>
    <m/>
    <m/>
    <x v="0"/>
    <x v="1"/>
    <x v="3"/>
    <x v="3"/>
    <n v="50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46"/>
    <x v="13"/>
    <x v="3"/>
    <x v="4"/>
    <x v="1"/>
    <x v="1"/>
    <x v="3"/>
    <x v="15"/>
    <x v="56"/>
    <x v="3"/>
    <m/>
    <m/>
    <m/>
    <m/>
    <m/>
    <n v="7239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47"/>
    <x v="14"/>
    <x v="3"/>
    <x v="2"/>
    <x v="5"/>
    <x v="6"/>
    <x v="3"/>
    <x v="15"/>
    <x v="56"/>
    <x v="3"/>
    <m/>
    <m/>
    <m/>
    <m/>
    <m/>
    <m/>
    <x v="0"/>
    <x v="1"/>
    <x v="4"/>
    <x v="9"/>
    <n v="5046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48"/>
    <x v="14"/>
    <x v="3"/>
    <x v="2"/>
    <x v="5"/>
    <x v="6"/>
    <x v="3"/>
    <x v="15"/>
    <x v="56"/>
    <x v="3"/>
    <m/>
    <m/>
    <m/>
    <m/>
    <m/>
    <m/>
    <x v="0"/>
    <x v="1"/>
    <x v="4"/>
    <x v="10"/>
    <n v="241014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49"/>
    <x v="15"/>
    <x v="3"/>
    <x v="2"/>
    <x v="5"/>
    <x v="6"/>
    <x v="3"/>
    <x v="15"/>
    <x v="56"/>
    <x v="3"/>
    <m/>
    <m/>
    <m/>
    <m/>
    <m/>
    <m/>
    <x v="0"/>
    <x v="1"/>
    <x v="5"/>
    <x v="11"/>
    <n v="20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50"/>
    <x v="15"/>
    <x v="3"/>
    <x v="2"/>
    <x v="5"/>
    <x v="6"/>
    <x v="3"/>
    <x v="15"/>
    <x v="56"/>
    <x v="3"/>
    <m/>
    <m/>
    <m/>
    <m/>
    <m/>
    <m/>
    <x v="0"/>
    <x v="1"/>
    <x v="5"/>
    <x v="5"/>
    <n v="20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51"/>
    <x v="15"/>
    <x v="3"/>
    <x v="2"/>
    <x v="5"/>
    <x v="6"/>
    <x v="3"/>
    <x v="15"/>
    <x v="56"/>
    <x v="3"/>
    <m/>
    <m/>
    <m/>
    <m/>
    <m/>
    <m/>
    <x v="0"/>
    <x v="1"/>
    <x v="3"/>
    <x v="12"/>
    <n v="10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52"/>
    <x v="15"/>
    <x v="3"/>
    <x v="2"/>
    <x v="5"/>
    <x v="6"/>
    <x v="3"/>
    <x v="15"/>
    <x v="56"/>
    <x v="3"/>
    <m/>
    <m/>
    <m/>
    <m/>
    <m/>
    <m/>
    <x v="0"/>
    <x v="1"/>
    <x v="5"/>
    <x v="13"/>
    <n v="288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53"/>
    <x v="15"/>
    <x v="3"/>
    <x v="2"/>
    <x v="5"/>
    <x v="6"/>
    <x v="3"/>
    <x v="15"/>
    <x v="56"/>
    <x v="3"/>
    <m/>
    <m/>
    <m/>
    <m/>
    <m/>
    <m/>
    <x v="0"/>
    <x v="1"/>
    <x v="7"/>
    <x v="7"/>
    <n v="324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54"/>
    <x v="15"/>
    <x v="3"/>
    <x v="2"/>
    <x v="5"/>
    <x v="6"/>
    <x v="3"/>
    <x v="15"/>
    <x v="56"/>
    <x v="3"/>
    <m/>
    <m/>
    <m/>
    <m/>
    <m/>
    <m/>
    <x v="0"/>
    <x v="1"/>
    <x v="7"/>
    <x v="7"/>
    <n v="3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55"/>
    <x v="15"/>
    <x v="3"/>
    <x v="2"/>
    <x v="5"/>
    <x v="6"/>
    <x v="3"/>
    <x v="15"/>
    <x v="56"/>
    <x v="3"/>
    <m/>
    <m/>
    <m/>
    <m/>
    <m/>
    <m/>
    <x v="0"/>
    <x v="1"/>
    <x v="5"/>
    <x v="14"/>
    <n v="102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56"/>
    <x v="15"/>
    <x v="3"/>
    <x v="2"/>
    <x v="5"/>
    <x v="6"/>
    <x v="3"/>
    <x v="15"/>
    <x v="56"/>
    <x v="3"/>
    <m/>
    <m/>
    <m/>
    <m/>
    <m/>
    <m/>
    <x v="0"/>
    <x v="1"/>
    <x v="4"/>
    <x v="15"/>
    <n v="7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57"/>
    <x v="15"/>
    <x v="3"/>
    <x v="2"/>
    <x v="5"/>
    <x v="6"/>
    <x v="3"/>
    <x v="15"/>
    <x v="56"/>
    <x v="3"/>
    <m/>
    <m/>
    <m/>
    <m/>
    <m/>
    <m/>
    <x v="0"/>
    <x v="1"/>
    <x v="5"/>
    <x v="11"/>
    <n v="10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58"/>
    <x v="16"/>
    <x v="3"/>
    <x v="2"/>
    <x v="5"/>
    <x v="6"/>
    <x v="3"/>
    <x v="15"/>
    <x v="56"/>
    <x v="3"/>
    <m/>
    <m/>
    <m/>
    <m/>
    <m/>
    <m/>
    <x v="0"/>
    <x v="1"/>
    <x v="1"/>
    <x v="16"/>
    <n v="105035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59"/>
    <x v="8"/>
    <x v="3"/>
    <x v="1"/>
    <x v="4"/>
    <x v="11"/>
    <x v="2"/>
    <x v="3"/>
    <x v="33"/>
    <x v="5"/>
    <n v="400"/>
    <m/>
    <n v="37"/>
    <n v="43918.5"/>
    <m/>
    <m/>
    <x v="0"/>
    <x v="0"/>
    <x v="0"/>
    <x v="0"/>
    <m/>
    <m/>
    <m/>
    <n v="100"/>
    <n v="0"/>
    <n v="0"/>
    <n v="0"/>
    <n v="0"/>
    <n v="0"/>
    <n v="0"/>
    <n v="29.6296"/>
    <n v="370"/>
    <n v="37222"/>
    <n v="45034.797720000002"/>
    <n v="407.37040000000002"/>
    <n v="40940.725200000001"/>
    <n v="0"/>
    <n v="0"/>
    <n v="448"/>
    <n v="0"/>
    <n v="0"/>
    <n v="3718"/>
    <m/>
  </r>
  <r>
    <x v="160"/>
    <x v="9"/>
    <x v="3"/>
    <x v="1"/>
    <x v="4"/>
    <x v="11"/>
    <x v="2"/>
    <x v="3"/>
    <x v="33"/>
    <x v="6"/>
    <n v="400"/>
    <m/>
    <n v="37"/>
    <n v="60087.5"/>
    <m/>
    <m/>
    <x v="0"/>
    <x v="0"/>
    <x v="0"/>
    <x v="0"/>
    <m/>
    <m/>
    <m/>
    <n v="138"/>
    <n v="0"/>
    <n v="0"/>
    <n v="0"/>
    <n v="0"/>
    <n v="0"/>
    <n v="0"/>
    <n v="29.6296"/>
    <n v="370"/>
    <n v="50926"/>
    <n v="61614.773000000008"/>
    <n v="407.37040000000002"/>
    <n v="56013.43"/>
    <n v="0"/>
    <n v="0"/>
    <n v="448"/>
    <n v="0"/>
    <n v="0"/>
    <n v="5088"/>
    <m/>
  </r>
  <r>
    <x v="161"/>
    <x v="10"/>
    <x v="3"/>
    <x v="1"/>
    <x v="4"/>
    <x v="11"/>
    <x v="2"/>
    <x v="3"/>
    <x v="33"/>
    <x v="7"/>
    <n v="400"/>
    <m/>
    <n v="37"/>
    <n v="176329.5"/>
    <m/>
    <m/>
    <x v="0"/>
    <x v="0"/>
    <x v="0"/>
    <x v="0"/>
    <m/>
    <m/>
    <m/>
    <n v="404"/>
    <n v="0"/>
    <n v="0"/>
    <n v="0"/>
    <n v="0"/>
    <n v="0"/>
    <n v="0"/>
    <n v="29.6296"/>
    <n v="370"/>
    <n v="149444"/>
    <n v="180811.35204000003"/>
    <n v="407.37040000000002"/>
    <n v="164373.9564"/>
    <n v="0"/>
    <n v="0"/>
    <n v="448"/>
    <n v="0"/>
    <n v="0"/>
    <n v="14930"/>
    <m/>
  </r>
  <r>
    <x v="162"/>
    <x v="17"/>
    <x v="3"/>
    <x v="1"/>
    <x v="4"/>
    <x v="11"/>
    <x v="2"/>
    <x v="3"/>
    <x v="33"/>
    <x v="8"/>
    <n v="400"/>
    <m/>
    <n v="37"/>
    <n v="447400.6"/>
    <m/>
    <m/>
    <x v="0"/>
    <x v="0"/>
    <x v="0"/>
    <x v="0"/>
    <m/>
    <m/>
    <m/>
    <n v="1024"/>
    <n v="0"/>
    <n v="0"/>
    <n v="0"/>
    <n v="0"/>
    <n v="0"/>
    <n v="0"/>
    <n v="29.6296"/>
    <n v="370"/>
    <n v="379185"/>
    <n v="458772.39707200002"/>
    <n v="407.37040000000002"/>
    <n v="417065.81552"/>
    <n v="0"/>
    <n v="0"/>
    <n v="448"/>
    <n v="0"/>
    <n v="0"/>
    <n v="37881"/>
    <m/>
  </r>
  <r>
    <x v="163"/>
    <x v="12"/>
    <x v="3"/>
    <x v="1"/>
    <x v="4"/>
    <x v="11"/>
    <x v="2"/>
    <x v="3"/>
    <x v="33"/>
    <x v="9"/>
    <n v="400"/>
    <m/>
    <n v="37"/>
    <n v="495689.1"/>
    <m/>
    <m/>
    <x v="0"/>
    <x v="0"/>
    <x v="0"/>
    <x v="0"/>
    <m/>
    <m/>
    <m/>
    <n v="1134"/>
    <n v="0"/>
    <n v="0"/>
    <n v="0"/>
    <n v="0"/>
    <n v="0"/>
    <n v="0"/>
    <n v="29.6296"/>
    <n v="370"/>
    <n v="420111"/>
    <n v="508288.26919200004"/>
    <n v="407.37040000000002"/>
    <n v="462080.24472000002"/>
    <n v="0"/>
    <n v="0"/>
    <n v="448"/>
    <n v="0"/>
    <n v="0"/>
    <n v="41969"/>
    <m/>
  </r>
  <r>
    <x v="164"/>
    <x v="13"/>
    <x v="3"/>
    <x v="1"/>
    <x v="4"/>
    <x v="11"/>
    <x v="2"/>
    <x v="3"/>
    <x v="33"/>
    <x v="10"/>
    <n v="400"/>
    <m/>
    <n v="37"/>
    <n v="888377.3"/>
    <m/>
    <m/>
    <x v="0"/>
    <x v="0"/>
    <x v="0"/>
    <x v="0"/>
    <m/>
    <m/>
    <m/>
    <n v="2033"/>
    <n v="0"/>
    <n v="0"/>
    <n v="0"/>
    <n v="0"/>
    <n v="0"/>
    <n v="0"/>
    <n v="29.6296"/>
    <n v="370"/>
    <n v="752926"/>
    <n v="910957.61477600015"/>
    <n v="407.37040000000002"/>
    <n v="828143.28616000002"/>
    <n v="0"/>
    <n v="0"/>
    <n v="448"/>
    <n v="0"/>
    <n v="0"/>
    <n v="75217"/>
    <m/>
  </r>
  <r>
    <x v="165"/>
    <x v="14"/>
    <x v="3"/>
    <x v="1"/>
    <x v="4"/>
    <x v="11"/>
    <x v="2"/>
    <x v="3"/>
    <x v="33"/>
    <x v="11"/>
    <n v="400"/>
    <m/>
    <n v="37"/>
    <n v="917612.6"/>
    <m/>
    <m/>
    <x v="0"/>
    <x v="0"/>
    <x v="0"/>
    <x v="0"/>
    <m/>
    <m/>
    <m/>
    <n v="2100"/>
    <n v="0"/>
    <n v="0"/>
    <n v="0"/>
    <n v="0"/>
    <n v="0"/>
    <n v="0"/>
    <n v="29.6296"/>
    <n v="370"/>
    <n v="777704"/>
    <n v="940936.00251200015"/>
    <n v="407.37040000000002"/>
    <n v="855396.36592000013"/>
    <n v="0"/>
    <n v="0"/>
    <n v="448"/>
    <n v="0"/>
    <n v="0"/>
    <n v="77693"/>
    <m/>
  </r>
  <r>
    <x v="166"/>
    <x v="15"/>
    <x v="3"/>
    <x v="1"/>
    <x v="4"/>
    <x v="11"/>
    <x v="2"/>
    <x v="3"/>
    <x v="33"/>
    <x v="12"/>
    <n v="400"/>
    <m/>
    <n v="37"/>
    <n v="2542466"/>
    <m/>
    <m/>
    <x v="0"/>
    <x v="0"/>
    <x v="0"/>
    <x v="0"/>
    <m/>
    <m/>
    <m/>
    <n v="5818"/>
    <n v="0"/>
    <n v="0"/>
    <n v="0"/>
    <n v="0"/>
    <n v="0"/>
    <n v="0"/>
    <n v="29.6296"/>
    <n v="370"/>
    <n v="2154815"/>
    <n v="2607089.0859200004"/>
    <n v="407.37040000000002"/>
    <n v="2370080.9872000003"/>
    <n v="0"/>
    <n v="0"/>
    <n v="448"/>
    <n v="0"/>
    <n v="0"/>
    <n v="215266"/>
    <m/>
  </r>
  <r>
    <x v="167"/>
    <x v="16"/>
    <x v="3"/>
    <x v="1"/>
    <x v="4"/>
    <x v="11"/>
    <x v="2"/>
    <x v="3"/>
    <x v="33"/>
    <x v="13"/>
    <n v="400"/>
    <m/>
    <n v="37"/>
    <n v="2177964.2999999998"/>
    <m/>
    <m/>
    <x v="0"/>
    <x v="0"/>
    <x v="0"/>
    <x v="0"/>
    <m/>
    <m/>
    <m/>
    <n v="4984"/>
    <n v="0"/>
    <n v="0"/>
    <n v="0"/>
    <n v="0"/>
    <n v="0"/>
    <n v="0"/>
    <n v="29.6296"/>
    <n v="370"/>
    <n v="1845889"/>
    <n v="2233322.6702160002"/>
    <n v="407.37040000000002"/>
    <n v="2030293.33656"/>
    <n v="0"/>
    <n v="0"/>
    <n v="448"/>
    <n v="0"/>
    <n v="0"/>
    <n v="184404"/>
    <m/>
  </r>
  <r>
    <x v="168"/>
    <x v="18"/>
    <x v="3"/>
    <x v="1"/>
    <x v="4"/>
    <x v="11"/>
    <x v="2"/>
    <x v="3"/>
    <x v="33"/>
    <x v="14"/>
    <n v="400"/>
    <m/>
    <n v="37"/>
    <n v="3190449.6"/>
    <m/>
    <m/>
    <x v="0"/>
    <x v="0"/>
    <x v="0"/>
    <x v="0"/>
    <m/>
    <m/>
    <m/>
    <n v="7301"/>
    <n v="0"/>
    <n v="0"/>
    <n v="0"/>
    <n v="0"/>
    <n v="0"/>
    <n v="0"/>
    <n v="29.6296"/>
    <n v="370"/>
    <n v="2704000"/>
    <n v="3271542.7979520005"/>
    <n v="407.37040000000002"/>
    <n v="2974129.8163200002"/>
    <n v="0"/>
    <n v="0"/>
    <n v="448"/>
    <n v="0"/>
    <n v="0"/>
    <n v="270130"/>
    <m/>
  </r>
  <r>
    <x v="169"/>
    <x v="19"/>
    <x v="3"/>
    <x v="4"/>
    <x v="4"/>
    <x v="11"/>
    <x v="3"/>
    <x v="15"/>
    <x v="56"/>
    <x v="3"/>
    <m/>
    <m/>
    <m/>
    <m/>
    <m/>
    <n v="15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70"/>
    <x v="12"/>
    <x v="3"/>
    <x v="4"/>
    <x v="4"/>
    <x v="11"/>
    <x v="3"/>
    <x v="15"/>
    <x v="56"/>
    <x v="3"/>
    <m/>
    <m/>
    <m/>
    <m/>
    <m/>
    <n v="15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71"/>
    <x v="20"/>
    <x v="3"/>
    <x v="4"/>
    <x v="4"/>
    <x v="11"/>
    <x v="3"/>
    <x v="15"/>
    <x v="56"/>
    <x v="3"/>
    <m/>
    <m/>
    <m/>
    <m/>
    <m/>
    <n v="50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72"/>
    <x v="20"/>
    <x v="3"/>
    <x v="2"/>
    <x v="5"/>
    <x v="6"/>
    <x v="3"/>
    <x v="15"/>
    <x v="56"/>
    <x v="3"/>
    <m/>
    <m/>
    <m/>
    <m/>
    <m/>
    <m/>
    <x v="0"/>
    <x v="1"/>
    <x v="7"/>
    <x v="17"/>
    <n v="131265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73"/>
    <x v="20"/>
    <x v="3"/>
    <x v="2"/>
    <x v="5"/>
    <x v="6"/>
    <x v="3"/>
    <x v="15"/>
    <x v="56"/>
    <x v="3"/>
    <m/>
    <m/>
    <m/>
    <m/>
    <m/>
    <m/>
    <x v="0"/>
    <x v="1"/>
    <x v="7"/>
    <x v="7"/>
    <n v="4455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74"/>
    <x v="20"/>
    <x v="3"/>
    <x v="2"/>
    <x v="5"/>
    <x v="6"/>
    <x v="3"/>
    <x v="15"/>
    <x v="56"/>
    <x v="3"/>
    <m/>
    <m/>
    <m/>
    <m/>
    <m/>
    <m/>
    <x v="0"/>
    <x v="2"/>
    <x v="4"/>
    <x v="9"/>
    <n v="92478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75"/>
    <x v="20"/>
    <x v="3"/>
    <x v="2"/>
    <x v="5"/>
    <x v="6"/>
    <x v="3"/>
    <x v="15"/>
    <x v="56"/>
    <x v="3"/>
    <m/>
    <m/>
    <m/>
    <m/>
    <m/>
    <m/>
    <x v="0"/>
    <x v="1"/>
    <x v="4"/>
    <x v="15"/>
    <n v="35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76"/>
    <x v="20"/>
    <x v="3"/>
    <x v="2"/>
    <x v="5"/>
    <x v="6"/>
    <x v="3"/>
    <x v="15"/>
    <x v="56"/>
    <x v="3"/>
    <m/>
    <m/>
    <m/>
    <m/>
    <m/>
    <m/>
    <x v="0"/>
    <x v="1"/>
    <x v="1"/>
    <x v="16"/>
    <n v="4816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77"/>
    <x v="21"/>
    <x v="3"/>
    <x v="2"/>
    <x v="5"/>
    <x v="6"/>
    <x v="3"/>
    <x v="15"/>
    <x v="56"/>
    <x v="3"/>
    <m/>
    <m/>
    <m/>
    <m/>
    <m/>
    <m/>
    <x v="0"/>
    <x v="1"/>
    <x v="6"/>
    <x v="6"/>
    <n v="30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78"/>
    <x v="20"/>
    <x v="3"/>
    <x v="1"/>
    <x v="4"/>
    <x v="11"/>
    <x v="2"/>
    <x v="3"/>
    <x v="33"/>
    <x v="15"/>
    <n v="400"/>
    <m/>
    <n v="37"/>
    <n v="3834150.6"/>
    <m/>
    <m/>
    <x v="0"/>
    <x v="0"/>
    <x v="0"/>
    <x v="0"/>
    <m/>
    <m/>
    <m/>
    <n v="8774"/>
    <n v="0"/>
    <n v="0"/>
    <n v="0"/>
    <n v="0"/>
    <n v="0"/>
    <n v="0"/>
    <n v="29.6296"/>
    <n v="370"/>
    <n v="3249556"/>
    <n v="3931605.0570720001"/>
    <n v="407.37040000000002"/>
    <n v="3574186.4155199998"/>
    <n v="0"/>
    <n v="0"/>
    <n v="448"/>
    <n v="0"/>
    <n v="0"/>
    <n v="324631"/>
    <m/>
  </r>
  <r>
    <x v="179"/>
    <x v="21"/>
    <x v="3"/>
    <x v="4"/>
    <x v="4"/>
    <x v="11"/>
    <x v="3"/>
    <x v="15"/>
    <x v="56"/>
    <x v="3"/>
    <m/>
    <m/>
    <m/>
    <m/>
    <m/>
    <n v="40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80"/>
    <x v="21"/>
    <x v="3"/>
    <x v="2"/>
    <x v="5"/>
    <x v="6"/>
    <x v="3"/>
    <x v="15"/>
    <x v="56"/>
    <x v="3"/>
    <m/>
    <m/>
    <m/>
    <m/>
    <m/>
    <m/>
    <x v="0"/>
    <x v="1"/>
    <x v="6"/>
    <x v="18"/>
    <n v="6236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81"/>
    <x v="21"/>
    <x v="3"/>
    <x v="2"/>
    <x v="5"/>
    <x v="6"/>
    <x v="3"/>
    <x v="15"/>
    <x v="56"/>
    <x v="3"/>
    <m/>
    <m/>
    <m/>
    <m/>
    <m/>
    <m/>
    <x v="0"/>
    <x v="1"/>
    <x v="6"/>
    <x v="6"/>
    <n v="30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82"/>
    <x v="21"/>
    <x v="3"/>
    <x v="2"/>
    <x v="5"/>
    <x v="6"/>
    <x v="3"/>
    <x v="15"/>
    <x v="56"/>
    <x v="3"/>
    <m/>
    <m/>
    <m/>
    <m/>
    <m/>
    <m/>
    <x v="0"/>
    <x v="1"/>
    <x v="4"/>
    <x v="15"/>
    <n v="1062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83"/>
    <x v="21"/>
    <x v="3"/>
    <x v="1"/>
    <x v="4"/>
    <x v="11"/>
    <x v="2"/>
    <x v="3"/>
    <x v="33"/>
    <x v="16"/>
    <n v="400"/>
    <m/>
    <n v="37"/>
    <n v="4081143"/>
    <m/>
    <m/>
    <x v="0"/>
    <x v="0"/>
    <x v="0"/>
    <x v="0"/>
    <m/>
    <m/>
    <m/>
    <n v="9339"/>
    <n v="0"/>
    <n v="0"/>
    <n v="0"/>
    <n v="0"/>
    <n v="0"/>
    <n v="0"/>
    <n v="29.6296"/>
    <n v="370"/>
    <n v="3458889"/>
    <n v="4184875.3821600005"/>
    <n v="407.37040000000002"/>
    <n v="3804432.1655999999"/>
    <n v="0"/>
    <n v="0"/>
    <n v="448"/>
    <n v="0"/>
    <n v="0"/>
    <n v="345543"/>
    <m/>
  </r>
  <r>
    <x v="184"/>
    <x v="22"/>
    <x v="3"/>
    <x v="4"/>
    <x v="4"/>
    <x v="11"/>
    <x v="3"/>
    <x v="15"/>
    <x v="56"/>
    <x v="3"/>
    <m/>
    <m/>
    <m/>
    <m/>
    <m/>
    <n v="50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85"/>
    <x v="22"/>
    <x v="3"/>
    <x v="2"/>
    <x v="5"/>
    <x v="6"/>
    <x v="3"/>
    <x v="15"/>
    <x v="56"/>
    <x v="3"/>
    <m/>
    <m/>
    <m/>
    <m/>
    <m/>
    <m/>
    <x v="0"/>
    <x v="1"/>
    <x v="7"/>
    <x v="17"/>
    <n v="9117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86"/>
    <x v="22"/>
    <x v="3"/>
    <x v="4"/>
    <x v="4"/>
    <x v="11"/>
    <x v="3"/>
    <x v="15"/>
    <x v="56"/>
    <x v="3"/>
    <m/>
    <m/>
    <m/>
    <m/>
    <m/>
    <n v="50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87"/>
    <x v="22"/>
    <x v="3"/>
    <x v="2"/>
    <x v="5"/>
    <x v="6"/>
    <x v="3"/>
    <x v="15"/>
    <x v="56"/>
    <x v="3"/>
    <m/>
    <m/>
    <m/>
    <m/>
    <m/>
    <m/>
    <x v="0"/>
    <x v="1"/>
    <x v="3"/>
    <x v="3"/>
    <n v="50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88"/>
    <x v="23"/>
    <x v="3"/>
    <x v="4"/>
    <x v="4"/>
    <x v="11"/>
    <x v="3"/>
    <x v="15"/>
    <x v="56"/>
    <x v="3"/>
    <m/>
    <m/>
    <m/>
    <m/>
    <m/>
    <n v="40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89"/>
    <x v="22"/>
    <x v="3"/>
    <x v="1"/>
    <x v="4"/>
    <x v="11"/>
    <x v="2"/>
    <x v="3"/>
    <x v="33"/>
    <x v="17"/>
    <n v="400"/>
    <m/>
    <n v="37"/>
    <n v="3815665.5"/>
    <m/>
    <m/>
    <x v="0"/>
    <x v="0"/>
    <x v="0"/>
    <x v="0"/>
    <m/>
    <m/>
    <m/>
    <n v="8732"/>
    <n v="0"/>
    <n v="0"/>
    <n v="0"/>
    <n v="0"/>
    <n v="0"/>
    <n v="0"/>
    <n v="29.6296"/>
    <n v="370"/>
    <n v="3233889"/>
    <n v="3912650.1123600006"/>
    <n v="407.37040000000002"/>
    <n v="3556954.6476000003"/>
    <n v="0"/>
    <n v="0"/>
    <n v="448"/>
    <n v="0"/>
    <n v="0"/>
    <n v="323066"/>
    <m/>
  </r>
  <r>
    <x v="190"/>
    <x v="10"/>
    <x v="3"/>
    <x v="1"/>
    <x v="1"/>
    <x v="1"/>
    <x v="2"/>
    <x v="3"/>
    <x v="33"/>
    <x v="2"/>
    <n v="0"/>
    <m/>
    <n v="0"/>
    <n v="0"/>
    <m/>
    <m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91"/>
    <x v="12"/>
    <x v="3"/>
    <x v="1"/>
    <x v="1"/>
    <x v="1"/>
    <x v="2"/>
    <x v="3"/>
    <x v="33"/>
    <x v="18"/>
    <n v="405"/>
    <m/>
    <n v="0"/>
    <n v="5467.5"/>
    <m/>
    <m/>
    <x v="0"/>
    <x v="0"/>
    <x v="0"/>
    <x v="0"/>
    <m/>
    <m/>
    <m/>
    <n v="14"/>
    <n v="0"/>
    <n v="0"/>
    <n v="0"/>
    <n v="0"/>
    <n v="0"/>
    <n v="0"/>
    <n v="29.999970000000001"/>
    <n v="375"/>
    <n v="5063"/>
    <n v="5467.5"/>
    <n v="375.00002999999998"/>
    <n v="5062.5004049999998"/>
    <n v="0"/>
    <n v="0"/>
    <n v="0"/>
    <n v="405"/>
    <n v="0"/>
    <n v="0"/>
    <m/>
  </r>
  <r>
    <x v="192"/>
    <x v="16"/>
    <x v="3"/>
    <x v="1"/>
    <x v="1"/>
    <x v="1"/>
    <x v="2"/>
    <x v="3"/>
    <x v="33"/>
    <x v="19"/>
    <n v="405"/>
    <m/>
    <n v="0"/>
    <n v="7087.5"/>
    <m/>
    <m/>
    <x v="0"/>
    <x v="0"/>
    <x v="0"/>
    <x v="0"/>
    <m/>
    <m/>
    <m/>
    <n v="18"/>
    <n v="0"/>
    <n v="0"/>
    <n v="0"/>
    <n v="0"/>
    <n v="0"/>
    <n v="0"/>
    <n v="29.999970000000001"/>
    <n v="375"/>
    <n v="6563"/>
    <n v="7087.5"/>
    <n v="375.00002999999998"/>
    <n v="6562.5005249999995"/>
    <n v="0"/>
    <n v="0"/>
    <n v="0"/>
    <n v="405"/>
    <n v="0"/>
    <n v="0"/>
    <m/>
  </r>
  <r>
    <x v="193"/>
    <x v="18"/>
    <x v="3"/>
    <x v="1"/>
    <x v="1"/>
    <x v="1"/>
    <x v="2"/>
    <x v="3"/>
    <x v="33"/>
    <x v="18"/>
    <n v="405"/>
    <m/>
    <n v="0"/>
    <n v="5548.5"/>
    <m/>
    <m/>
    <x v="0"/>
    <x v="0"/>
    <x v="0"/>
    <x v="0"/>
    <m/>
    <m/>
    <m/>
    <n v="14"/>
    <n v="0"/>
    <n v="0"/>
    <n v="0"/>
    <n v="0"/>
    <n v="0"/>
    <n v="0"/>
    <n v="29.999970000000001"/>
    <n v="375"/>
    <n v="5138"/>
    <n v="5548.5"/>
    <n v="375.00002999999998"/>
    <n v="5137.5004109999991"/>
    <n v="0"/>
    <n v="0"/>
    <n v="0"/>
    <n v="405"/>
    <n v="0"/>
    <n v="0"/>
    <m/>
  </r>
  <r>
    <x v="194"/>
    <x v="21"/>
    <x v="3"/>
    <x v="4"/>
    <x v="1"/>
    <x v="13"/>
    <x v="3"/>
    <x v="15"/>
    <x v="56"/>
    <x v="3"/>
    <m/>
    <m/>
    <m/>
    <m/>
    <m/>
    <n v="9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95"/>
    <x v="23"/>
    <x v="3"/>
    <x v="4"/>
    <x v="1"/>
    <x v="13"/>
    <x v="3"/>
    <x v="15"/>
    <x v="56"/>
    <x v="3"/>
    <m/>
    <m/>
    <m/>
    <m/>
    <m/>
    <n v="10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96"/>
    <x v="23"/>
    <x v="3"/>
    <x v="1"/>
    <x v="4"/>
    <x v="11"/>
    <x v="2"/>
    <x v="3"/>
    <x v="33"/>
    <x v="20"/>
    <n v="400"/>
    <m/>
    <n v="37"/>
    <n v="2164592.1"/>
    <m/>
    <m/>
    <x v="0"/>
    <x v="0"/>
    <x v="0"/>
    <x v="0"/>
    <m/>
    <m/>
    <m/>
    <n v="4953"/>
    <n v="0"/>
    <n v="0"/>
    <n v="0"/>
    <n v="0"/>
    <n v="0"/>
    <n v="0"/>
    <n v="29.6296"/>
    <n v="370"/>
    <n v="1834556"/>
    <n v="2219610.5825520004"/>
    <n v="407.37040000000002"/>
    <n v="2017827.8023200002"/>
    <n v="0"/>
    <n v="0"/>
    <n v="448"/>
    <n v="0"/>
    <n v="0"/>
    <n v="183272"/>
    <m/>
  </r>
  <r>
    <x v="197"/>
    <x v="23"/>
    <x v="3"/>
    <x v="1"/>
    <x v="1"/>
    <x v="1"/>
    <x v="2"/>
    <x v="3"/>
    <x v="33"/>
    <x v="21"/>
    <n v="405"/>
    <m/>
    <n v="0"/>
    <n v="7897.5"/>
    <m/>
    <m/>
    <x v="0"/>
    <x v="0"/>
    <x v="0"/>
    <x v="0"/>
    <m/>
    <m/>
    <m/>
    <n v="20"/>
    <n v="0"/>
    <n v="0"/>
    <n v="0"/>
    <n v="0"/>
    <n v="0"/>
    <n v="0"/>
    <n v="29.999970000000001"/>
    <n v="375"/>
    <n v="7313"/>
    <n v="7897.5"/>
    <n v="375.00002999999998"/>
    <n v="7312.5005849999998"/>
    <n v="0"/>
    <n v="0"/>
    <n v="0"/>
    <n v="405"/>
    <n v="0"/>
    <n v="0"/>
    <m/>
  </r>
  <r>
    <x v="198"/>
    <x v="24"/>
    <x v="3"/>
    <x v="4"/>
    <x v="4"/>
    <x v="11"/>
    <x v="3"/>
    <x v="15"/>
    <x v="56"/>
    <x v="3"/>
    <m/>
    <m/>
    <m/>
    <m/>
    <m/>
    <n v="80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199"/>
    <x v="24"/>
    <x v="3"/>
    <x v="2"/>
    <x v="5"/>
    <x v="6"/>
    <x v="3"/>
    <x v="15"/>
    <x v="56"/>
    <x v="3"/>
    <m/>
    <m/>
    <m/>
    <m/>
    <m/>
    <m/>
    <x v="0"/>
    <x v="1"/>
    <x v="4"/>
    <x v="10"/>
    <n v="912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00"/>
    <x v="24"/>
    <x v="3"/>
    <x v="2"/>
    <x v="5"/>
    <x v="6"/>
    <x v="3"/>
    <x v="15"/>
    <x v="56"/>
    <x v="3"/>
    <m/>
    <m/>
    <m/>
    <m/>
    <m/>
    <m/>
    <x v="0"/>
    <x v="1"/>
    <x v="7"/>
    <x v="19"/>
    <n v="54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01"/>
    <x v="24"/>
    <x v="3"/>
    <x v="2"/>
    <x v="5"/>
    <x v="6"/>
    <x v="3"/>
    <x v="15"/>
    <x v="56"/>
    <x v="3"/>
    <m/>
    <m/>
    <m/>
    <m/>
    <m/>
    <m/>
    <x v="0"/>
    <x v="1"/>
    <x v="5"/>
    <x v="5"/>
    <n v="20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02"/>
    <x v="24"/>
    <x v="3"/>
    <x v="2"/>
    <x v="5"/>
    <x v="6"/>
    <x v="3"/>
    <x v="15"/>
    <x v="56"/>
    <x v="3"/>
    <m/>
    <m/>
    <m/>
    <m/>
    <m/>
    <m/>
    <x v="0"/>
    <x v="1"/>
    <x v="5"/>
    <x v="11"/>
    <n v="20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03"/>
    <x v="24"/>
    <x v="3"/>
    <x v="2"/>
    <x v="5"/>
    <x v="6"/>
    <x v="3"/>
    <x v="15"/>
    <x v="56"/>
    <x v="3"/>
    <m/>
    <m/>
    <m/>
    <m/>
    <m/>
    <m/>
    <x v="0"/>
    <x v="1"/>
    <x v="3"/>
    <x v="12"/>
    <n v="10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04"/>
    <x v="24"/>
    <x v="3"/>
    <x v="2"/>
    <x v="5"/>
    <x v="6"/>
    <x v="3"/>
    <x v="15"/>
    <x v="56"/>
    <x v="3"/>
    <m/>
    <m/>
    <m/>
    <m/>
    <m/>
    <m/>
    <x v="0"/>
    <x v="1"/>
    <x v="7"/>
    <x v="7"/>
    <n v="10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05"/>
    <x v="24"/>
    <x v="3"/>
    <x v="2"/>
    <x v="5"/>
    <x v="6"/>
    <x v="3"/>
    <x v="15"/>
    <x v="56"/>
    <x v="3"/>
    <m/>
    <m/>
    <m/>
    <m/>
    <m/>
    <m/>
    <x v="0"/>
    <x v="1"/>
    <x v="3"/>
    <x v="20"/>
    <n v="5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06"/>
    <x v="24"/>
    <x v="3"/>
    <x v="2"/>
    <x v="5"/>
    <x v="6"/>
    <x v="3"/>
    <x v="15"/>
    <x v="56"/>
    <x v="3"/>
    <m/>
    <m/>
    <m/>
    <m/>
    <m/>
    <m/>
    <x v="0"/>
    <x v="1"/>
    <x v="7"/>
    <x v="7"/>
    <n v="5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07"/>
    <x v="24"/>
    <x v="3"/>
    <x v="2"/>
    <x v="5"/>
    <x v="6"/>
    <x v="3"/>
    <x v="15"/>
    <x v="56"/>
    <x v="3"/>
    <m/>
    <m/>
    <m/>
    <m/>
    <m/>
    <m/>
    <x v="0"/>
    <x v="1"/>
    <x v="2"/>
    <x v="21"/>
    <n v="1869.46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08"/>
    <x v="24"/>
    <x v="3"/>
    <x v="2"/>
    <x v="5"/>
    <x v="6"/>
    <x v="3"/>
    <x v="15"/>
    <x v="56"/>
    <x v="3"/>
    <m/>
    <m/>
    <m/>
    <m/>
    <m/>
    <m/>
    <x v="0"/>
    <x v="1"/>
    <x v="2"/>
    <x v="22"/>
    <n v="1416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09"/>
    <x v="24"/>
    <x v="3"/>
    <x v="2"/>
    <x v="5"/>
    <x v="6"/>
    <x v="3"/>
    <x v="15"/>
    <x v="56"/>
    <x v="3"/>
    <m/>
    <m/>
    <m/>
    <m/>
    <m/>
    <m/>
    <x v="0"/>
    <x v="1"/>
    <x v="2"/>
    <x v="21"/>
    <n v="54203.91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10"/>
    <x v="24"/>
    <x v="3"/>
    <x v="2"/>
    <x v="5"/>
    <x v="6"/>
    <x v="3"/>
    <x v="15"/>
    <x v="56"/>
    <x v="3"/>
    <m/>
    <m/>
    <m/>
    <m/>
    <m/>
    <m/>
    <x v="0"/>
    <x v="1"/>
    <x v="7"/>
    <x v="7"/>
    <n v="2124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11"/>
    <x v="24"/>
    <x v="3"/>
    <x v="2"/>
    <x v="5"/>
    <x v="6"/>
    <x v="3"/>
    <x v="15"/>
    <x v="56"/>
    <x v="3"/>
    <m/>
    <m/>
    <m/>
    <m/>
    <m/>
    <m/>
    <x v="0"/>
    <x v="1"/>
    <x v="4"/>
    <x v="9"/>
    <n v="144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12"/>
    <x v="24"/>
    <x v="3"/>
    <x v="2"/>
    <x v="5"/>
    <x v="6"/>
    <x v="3"/>
    <x v="15"/>
    <x v="56"/>
    <x v="3"/>
    <m/>
    <m/>
    <m/>
    <m/>
    <m/>
    <m/>
    <x v="0"/>
    <x v="1"/>
    <x v="5"/>
    <x v="11"/>
    <n v="10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13"/>
    <x v="24"/>
    <x v="3"/>
    <x v="1"/>
    <x v="4"/>
    <x v="11"/>
    <x v="2"/>
    <x v="3"/>
    <x v="33"/>
    <x v="22"/>
    <n v="420"/>
    <m/>
    <n v="37"/>
    <n v="6175166.7999999998"/>
    <m/>
    <m/>
    <x v="0"/>
    <x v="0"/>
    <x v="0"/>
    <x v="0"/>
    <m/>
    <m/>
    <m/>
    <n v="13512"/>
    <n v="0"/>
    <n v="0"/>
    <n v="0"/>
    <n v="0"/>
    <n v="0"/>
    <n v="0"/>
    <n v="31.111080000000001"/>
    <n v="389"/>
    <n v="5254823"/>
    <n v="6330259.5868688002"/>
    <n v="425.88891999999998"/>
    <n v="5754781.4426079998"/>
    <n v="0"/>
    <n v="0"/>
    <n v="468"/>
    <n v="0"/>
    <n v="0"/>
    <n v="499959"/>
    <m/>
  </r>
  <r>
    <x v="214"/>
    <x v="25"/>
    <x v="3"/>
    <x v="1"/>
    <x v="4"/>
    <x v="11"/>
    <x v="2"/>
    <x v="3"/>
    <x v="33"/>
    <x v="23"/>
    <n v="450"/>
    <m/>
    <n v="37"/>
    <n v="8119751"/>
    <m/>
    <m/>
    <x v="0"/>
    <x v="0"/>
    <x v="0"/>
    <x v="0"/>
    <m/>
    <m/>
    <m/>
    <n v="16673"/>
    <n v="0"/>
    <n v="0"/>
    <n v="0"/>
    <n v="0"/>
    <n v="0"/>
    <n v="0"/>
    <n v="33.333300000000001"/>
    <n v="417"/>
    <n v="6947084"/>
    <n v="8320383.378010001"/>
    <n v="453.66669999999999"/>
    <n v="7563984.8891000003"/>
    <n v="0"/>
    <n v="0"/>
    <n v="499"/>
    <n v="0"/>
    <n v="0"/>
    <n v="616901"/>
    <m/>
  </r>
  <r>
    <x v="215"/>
    <x v="26"/>
    <x v="3"/>
    <x v="4"/>
    <x v="4"/>
    <x v="11"/>
    <x v="3"/>
    <x v="15"/>
    <x v="56"/>
    <x v="3"/>
    <m/>
    <m/>
    <m/>
    <m/>
    <m/>
    <n v="50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16"/>
    <x v="27"/>
    <x v="3"/>
    <x v="1"/>
    <x v="4"/>
    <x v="11"/>
    <x v="2"/>
    <x v="3"/>
    <x v="33"/>
    <x v="24"/>
    <n v="450"/>
    <m/>
    <n v="37"/>
    <n v="8535795.0999999996"/>
    <m/>
    <m/>
    <x v="0"/>
    <x v="0"/>
    <x v="0"/>
    <x v="0"/>
    <m/>
    <m/>
    <m/>
    <n v="17527"/>
    <n v="0"/>
    <n v="0"/>
    <n v="0"/>
    <n v="0"/>
    <n v="0"/>
    <n v="0"/>
    <n v="33.333300000000001"/>
    <n v="417"/>
    <n v="7303042"/>
    <n v="8746707.5860010013"/>
    <n v="453.66669999999999"/>
    <n v="7951552.3509099996"/>
    <n v="0"/>
    <n v="0"/>
    <n v="499"/>
    <n v="0"/>
    <n v="0"/>
    <n v="648510"/>
    <m/>
  </r>
  <r>
    <x v="217"/>
    <x v="27"/>
    <x v="3"/>
    <x v="1"/>
    <x v="1"/>
    <x v="1"/>
    <x v="2"/>
    <x v="3"/>
    <x v="33"/>
    <x v="25"/>
    <n v="405"/>
    <m/>
    <n v="0"/>
    <n v="7695"/>
    <m/>
    <m/>
    <x v="0"/>
    <x v="0"/>
    <x v="0"/>
    <x v="0"/>
    <m/>
    <m/>
    <m/>
    <n v="19"/>
    <n v="0"/>
    <n v="0"/>
    <n v="0"/>
    <n v="0"/>
    <n v="0"/>
    <n v="0"/>
    <n v="29.999970000000001"/>
    <n v="375"/>
    <n v="7125"/>
    <n v="7695"/>
    <n v="375.00002999999998"/>
    <n v="7125.0005699999992"/>
    <n v="0"/>
    <n v="0"/>
    <n v="0"/>
    <n v="405"/>
    <n v="0"/>
    <n v="0"/>
    <m/>
  </r>
  <r>
    <x v="218"/>
    <x v="26"/>
    <x v="3"/>
    <x v="4"/>
    <x v="1"/>
    <x v="13"/>
    <x v="3"/>
    <x v="15"/>
    <x v="56"/>
    <x v="3"/>
    <m/>
    <m/>
    <m/>
    <m/>
    <m/>
    <n v="10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19"/>
    <x v="25"/>
    <x v="3"/>
    <x v="1"/>
    <x v="1"/>
    <x v="1"/>
    <x v="2"/>
    <x v="3"/>
    <x v="33"/>
    <x v="26"/>
    <n v="405"/>
    <m/>
    <n v="0"/>
    <n v="6439.5"/>
    <m/>
    <m/>
    <x v="0"/>
    <x v="0"/>
    <x v="0"/>
    <x v="0"/>
    <m/>
    <m/>
    <m/>
    <n v="16"/>
    <n v="0"/>
    <n v="0"/>
    <n v="0"/>
    <n v="0"/>
    <n v="0"/>
    <n v="0"/>
    <n v="29.999970000000001"/>
    <n v="375"/>
    <n v="5963"/>
    <n v="6439.5"/>
    <n v="375.00002999999998"/>
    <n v="5962.5004769999996"/>
    <n v="0"/>
    <n v="0"/>
    <n v="0"/>
    <n v="405"/>
    <n v="0"/>
    <n v="0"/>
    <m/>
  </r>
  <r>
    <x v="220"/>
    <x v="25"/>
    <x v="3"/>
    <x v="2"/>
    <x v="5"/>
    <x v="6"/>
    <x v="3"/>
    <x v="15"/>
    <x v="56"/>
    <x v="3"/>
    <m/>
    <m/>
    <m/>
    <m/>
    <m/>
    <m/>
    <x v="0"/>
    <x v="1"/>
    <x v="1"/>
    <x v="16"/>
    <n v="116233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21"/>
    <x v="26"/>
    <x v="3"/>
    <x v="2"/>
    <x v="5"/>
    <x v="6"/>
    <x v="3"/>
    <x v="15"/>
    <x v="56"/>
    <x v="3"/>
    <m/>
    <m/>
    <m/>
    <m/>
    <m/>
    <m/>
    <x v="0"/>
    <x v="1"/>
    <x v="1"/>
    <x v="16"/>
    <n v="42577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22"/>
    <x v="26"/>
    <x v="3"/>
    <x v="1"/>
    <x v="4"/>
    <x v="11"/>
    <x v="2"/>
    <x v="3"/>
    <x v="33"/>
    <x v="27"/>
    <n v="450"/>
    <m/>
    <n v="37"/>
    <n v="6105032"/>
    <m/>
    <m/>
    <x v="0"/>
    <x v="0"/>
    <x v="0"/>
    <x v="0"/>
    <m/>
    <m/>
    <m/>
    <n v="12536"/>
    <n v="0"/>
    <n v="0"/>
    <n v="0"/>
    <n v="0"/>
    <n v="0"/>
    <n v="0"/>
    <n v="33.333300000000001"/>
    <n v="417"/>
    <n v="5223334"/>
    <n v="6255882.3263200009"/>
    <n v="453.66669999999999"/>
    <n v="5687165.7511999998"/>
    <n v="0"/>
    <n v="0"/>
    <n v="499"/>
    <n v="0"/>
    <n v="0"/>
    <n v="463832"/>
    <m/>
  </r>
  <r>
    <x v="223"/>
    <x v="26"/>
    <x v="3"/>
    <x v="1"/>
    <x v="4"/>
    <x v="11"/>
    <x v="2"/>
    <x v="7"/>
    <x v="11"/>
    <x v="28"/>
    <n v="0"/>
    <m/>
    <n v="0"/>
    <n v="0"/>
    <m/>
    <m/>
    <x v="0"/>
    <x v="0"/>
    <x v="0"/>
    <x v="0"/>
    <m/>
    <m/>
    <m/>
    <n v="0"/>
    <n v="0"/>
    <n v="0"/>
    <n v="125"/>
    <n v="0"/>
    <n v="0"/>
    <n v="0"/>
    <n v="0"/>
    <n v="0"/>
    <n v="0"/>
    <n v="0"/>
    <n v="0"/>
    <n v="0"/>
    <n v="0"/>
    <n v="0"/>
    <n v="0"/>
    <n v="0"/>
    <n v="0"/>
    <n v="0"/>
    <m/>
  </r>
  <r>
    <x v="224"/>
    <x v="28"/>
    <x v="3"/>
    <x v="4"/>
    <x v="4"/>
    <x v="11"/>
    <x v="3"/>
    <x v="15"/>
    <x v="56"/>
    <x v="3"/>
    <m/>
    <m/>
    <m/>
    <m/>
    <m/>
    <n v="50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25"/>
    <x v="26"/>
    <x v="3"/>
    <x v="2"/>
    <x v="5"/>
    <x v="6"/>
    <x v="3"/>
    <x v="15"/>
    <x v="56"/>
    <x v="3"/>
    <m/>
    <m/>
    <m/>
    <m/>
    <m/>
    <m/>
    <x v="0"/>
    <x v="1"/>
    <x v="4"/>
    <x v="4"/>
    <n v="25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26"/>
    <x v="26"/>
    <x v="3"/>
    <x v="2"/>
    <x v="5"/>
    <x v="6"/>
    <x v="3"/>
    <x v="15"/>
    <x v="56"/>
    <x v="3"/>
    <m/>
    <m/>
    <m/>
    <m/>
    <m/>
    <m/>
    <x v="0"/>
    <x v="1"/>
    <x v="4"/>
    <x v="10"/>
    <n v="5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27"/>
    <x v="28"/>
    <x v="3"/>
    <x v="2"/>
    <x v="5"/>
    <x v="6"/>
    <x v="3"/>
    <x v="15"/>
    <x v="56"/>
    <x v="3"/>
    <m/>
    <m/>
    <m/>
    <m/>
    <m/>
    <m/>
    <x v="0"/>
    <x v="1"/>
    <x v="7"/>
    <x v="7"/>
    <n v="10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28"/>
    <x v="28"/>
    <x v="3"/>
    <x v="2"/>
    <x v="5"/>
    <x v="6"/>
    <x v="3"/>
    <x v="15"/>
    <x v="56"/>
    <x v="3"/>
    <m/>
    <m/>
    <m/>
    <m/>
    <m/>
    <m/>
    <x v="0"/>
    <x v="1"/>
    <x v="7"/>
    <x v="7"/>
    <n v="354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29"/>
    <x v="28"/>
    <x v="3"/>
    <x v="1"/>
    <x v="4"/>
    <x v="11"/>
    <x v="2"/>
    <x v="3"/>
    <x v="33"/>
    <x v="29"/>
    <n v="450"/>
    <m/>
    <n v="37"/>
    <n v="4914073.5"/>
    <m/>
    <m/>
    <x v="0"/>
    <x v="0"/>
    <x v="0"/>
    <x v="0"/>
    <m/>
    <m/>
    <m/>
    <n v="10090"/>
    <n v="0"/>
    <n v="0"/>
    <n v="0"/>
    <n v="0"/>
    <n v="0"/>
    <n v="0"/>
    <n v="33.333300000000001"/>
    <n v="417"/>
    <n v="4204375"/>
    <n v="5035496.2199850008"/>
    <n v="453.66669999999999"/>
    <n v="4577723.8363499995"/>
    <n v="0"/>
    <n v="0"/>
    <n v="499"/>
    <n v="0"/>
    <n v="0"/>
    <n v="373348"/>
    <m/>
  </r>
  <r>
    <x v="230"/>
    <x v="28"/>
    <x v="3"/>
    <x v="1"/>
    <x v="4"/>
    <x v="11"/>
    <x v="2"/>
    <x v="7"/>
    <x v="11"/>
    <x v="30"/>
    <n v="0"/>
    <m/>
    <n v="0"/>
    <n v="0"/>
    <m/>
    <m/>
    <x v="0"/>
    <x v="0"/>
    <x v="0"/>
    <x v="0"/>
    <m/>
    <m/>
    <m/>
    <n v="0"/>
    <n v="0"/>
    <n v="0"/>
    <n v="215"/>
    <n v="0"/>
    <n v="0"/>
    <n v="0"/>
    <n v="0"/>
    <n v="0"/>
    <n v="0"/>
    <n v="0"/>
    <n v="0"/>
    <n v="0"/>
    <n v="0"/>
    <n v="0"/>
    <n v="0"/>
    <n v="0"/>
    <n v="0"/>
    <n v="0"/>
    <m/>
  </r>
  <r>
    <x v="231"/>
    <x v="29"/>
    <x v="3"/>
    <x v="4"/>
    <x v="4"/>
    <x v="11"/>
    <x v="3"/>
    <x v="15"/>
    <x v="56"/>
    <x v="3"/>
    <m/>
    <m/>
    <m/>
    <m/>
    <m/>
    <n v="50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32"/>
    <x v="29"/>
    <x v="3"/>
    <x v="4"/>
    <x v="1"/>
    <x v="13"/>
    <x v="3"/>
    <x v="15"/>
    <x v="56"/>
    <x v="3"/>
    <m/>
    <m/>
    <m/>
    <m/>
    <m/>
    <n v="20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33"/>
    <x v="29"/>
    <x v="3"/>
    <x v="2"/>
    <x v="5"/>
    <x v="6"/>
    <x v="3"/>
    <x v="15"/>
    <x v="56"/>
    <x v="3"/>
    <m/>
    <m/>
    <m/>
    <m/>
    <m/>
    <m/>
    <x v="0"/>
    <x v="1"/>
    <x v="7"/>
    <x v="19"/>
    <n v="79638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34"/>
    <x v="29"/>
    <x v="3"/>
    <x v="2"/>
    <x v="5"/>
    <x v="6"/>
    <x v="3"/>
    <x v="15"/>
    <x v="56"/>
    <x v="3"/>
    <m/>
    <m/>
    <m/>
    <m/>
    <m/>
    <m/>
    <x v="0"/>
    <x v="1"/>
    <x v="3"/>
    <x v="3"/>
    <n v="50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35"/>
    <x v="29"/>
    <x v="3"/>
    <x v="2"/>
    <x v="5"/>
    <x v="6"/>
    <x v="3"/>
    <x v="15"/>
    <x v="56"/>
    <x v="3"/>
    <m/>
    <m/>
    <m/>
    <m/>
    <m/>
    <m/>
    <x v="0"/>
    <x v="1"/>
    <x v="4"/>
    <x v="15"/>
    <n v="5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36"/>
    <x v="29"/>
    <x v="3"/>
    <x v="2"/>
    <x v="5"/>
    <x v="6"/>
    <x v="3"/>
    <x v="15"/>
    <x v="56"/>
    <x v="3"/>
    <m/>
    <m/>
    <m/>
    <m/>
    <m/>
    <m/>
    <x v="0"/>
    <x v="1"/>
    <x v="7"/>
    <x v="17"/>
    <n v="197250.34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37"/>
    <x v="29"/>
    <x v="3"/>
    <x v="2"/>
    <x v="5"/>
    <x v="6"/>
    <x v="3"/>
    <x v="15"/>
    <x v="56"/>
    <x v="3"/>
    <m/>
    <m/>
    <m/>
    <m/>
    <m/>
    <m/>
    <x v="0"/>
    <x v="1"/>
    <x v="7"/>
    <x v="7"/>
    <n v="9408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38"/>
    <x v="29"/>
    <x v="3"/>
    <x v="2"/>
    <x v="5"/>
    <x v="6"/>
    <x v="3"/>
    <x v="15"/>
    <x v="56"/>
    <x v="3"/>
    <m/>
    <m/>
    <m/>
    <m/>
    <m/>
    <m/>
    <x v="0"/>
    <x v="1"/>
    <x v="2"/>
    <x v="2"/>
    <n v="66606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39"/>
    <x v="30"/>
    <x v="3"/>
    <x v="4"/>
    <x v="4"/>
    <x v="11"/>
    <x v="3"/>
    <x v="15"/>
    <x v="56"/>
    <x v="3"/>
    <m/>
    <m/>
    <m/>
    <m/>
    <m/>
    <n v="50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40"/>
    <x v="29"/>
    <x v="3"/>
    <x v="1"/>
    <x v="4"/>
    <x v="11"/>
    <x v="2"/>
    <x v="3"/>
    <x v="33"/>
    <x v="31"/>
    <n v="450"/>
    <m/>
    <n v="37"/>
    <n v="5883641.7999999998"/>
    <m/>
    <m/>
    <x v="0"/>
    <x v="0"/>
    <x v="0"/>
    <x v="0"/>
    <m/>
    <m/>
    <m/>
    <n v="12081"/>
    <n v="0"/>
    <n v="0"/>
    <n v="0"/>
    <n v="0"/>
    <n v="0"/>
    <n v="0"/>
    <n v="33.333300000000001"/>
    <n v="417"/>
    <n v="5033917"/>
    <n v="6029021.7563180001"/>
    <n v="453.66669999999999"/>
    <n v="5480928.86938"/>
    <n v="0"/>
    <n v="0"/>
    <n v="499"/>
    <n v="0"/>
    <n v="0"/>
    <n v="447012"/>
    <m/>
  </r>
  <r>
    <x v="241"/>
    <x v="29"/>
    <x v="3"/>
    <x v="1"/>
    <x v="1"/>
    <x v="1"/>
    <x v="2"/>
    <x v="3"/>
    <x v="33"/>
    <x v="32"/>
    <n v="405"/>
    <m/>
    <n v="0"/>
    <n v="24462"/>
    <m/>
    <m/>
    <x v="0"/>
    <x v="0"/>
    <x v="0"/>
    <x v="0"/>
    <m/>
    <m/>
    <m/>
    <n v="60"/>
    <n v="0"/>
    <n v="0"/>
    <n v="0"/>
    <n v="0"/>
    <n v="0"/>
    <n v="0"/>
    <n v="29.999970000000001"/>
    <n v="375"/>
    <n v="22650"/>
    <n v="24462"/>
    <n v="375.00002999999998"/>
    <n v="22650.001811999999"/>
    <n v="0"/>
    <n v="0"/>
    <n v="0"/>
    <n v="405"/>
    <n v="0"/>
    <n v="0"/>
    <m/>
  </r>
  <r>
    <x v="242"/>
    <x v="29"/>
    <x v="3"/>
    <x v="1"/>
    <x v="4"/>
    <x v="11"/>
    <x v="2"/>
    <x v="7"/>
    <x v="11"/>
    <x v="33"/>
    <n v="0"/>
    <m/>
    <n v="0"/>
    <n v="0"/>
    <m/>
    <m/>
    <x v="0"/>
    <x v="0"/>
    <x v="0"/>
    <x v="0"/>
    <m/>
    <m/>
    <m/>
    <n v="0"/>
    <n v="0"/>
    <n v="0"/>
    <n v="451"/>
    <n v="0"/>
    <n v="0"/>
    <n v="0"/>
    <n v="0"/>
    <n v="0"/>
    <n v="0"/>
    <n v="0"/>
    <n v="0"/>
    <n v="0"/>
    <n v="0"/>
    <n v="0"/>
    <n v="0"/>
    <n v="0"/>
    <n v="0"/>
    <n v="0"/>
    <m/>
  </r>
  <r>
    <x v="243"/>
    <x v="29"/>
    <x v="3"/>
    <x v="2"/>
    <x v="5"/>
    <x v="6"/>
    <x v="3"/>
    <x v="15"/>
    <x v="56"/>
    <x v="3"/>
    <m/>
    <m/>
    <m/>
    <m/>
    <m/>
    <m/>
    <x v="0"/>
    <x v="1"/>
    <x v="7"/>
    <x v="7"/>
    <n v="59472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44"/>
    <x v="30"/>
    <x v="3"/>
    <x v="2"/>
    <x v="5"/>
    <x v="6"/>
    <x v="3"/>
    <x v="15"/>
    <x v="56"/>
    <x v="3"/>
    <m/>
    <m/>
    <m/>
    <m/>
    <m/>
    <m/>
    <x v="0"/>
    <x v="1"/>
    <x v="7"/>
    <x v="7"/>
    <n v="17982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45"/>
    <x v="31"/>
    <x v="3"/>
    <x v="4"/>
    <x v="4"/>
    <x v="11"/>
    <x v="3"/>
    <x v="15"/>
    <x v="56"/>
    <x v="3"/>
    <m/>
    <m/>
    <m/>
    <m/>
    <m/>
    <n v="100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46"/>
    <x v="30"/>
    <x v="3"/>
    <x v="1"/>
    <x v="4"/>
    <x v="11"/>
    <x v="2"/>
    <x v="3"/>
    <x v="33"/>
    <x v="34"/>
    <n v="450"/>
    <m/>
    <n v="37"/>
    <n v="6585847.0999999996"/>
    <m/>
    <m/>
    <x v="0"/>
    <x v="0"/>
    <x v="0"/>
    <x v="0"/>
    <m/>
    <m/>
    <m/>
    <n v="13523"/>
    <n v="0"/>
    <n v="0"/>
    <n v="0"/>
    <n v="0"/>
    <n v="0"/>
    <n v="0"/>
    <n v="33.333300000000001"/>
    <n v="417"/>
    <n v="5634709"/>
    <n v="6748577.9725210005"/>
    <n v="453.66669999999999"/>
    <n v="6135070.88411"/>
    <n v="0"/>
    <n v="0"/>
    <n v="499"/>
    <n v="0"/>
    <n v="0"/>
    <n v="500362"/>
    <m/>
  </r>
  <r>
    <x v="247"/>
    <x v="30"/>
    <x v="3"/>
    <x v="1"/>
    <x v="4"/>
    <x v="11"/>
    <x v="2"/>
    <x v="7"/>
    <x v="11"/>
    <x v="30"/>
    <n v="0"/>
    <m/>
    <n v="0"/>
    <n v="0"/>
    <m/>
    <m/>
    <x v="0"/>
    <x v="0"/>
    <x v="0"/>
    <x v="0"/>
    <m/>
    <m/>
    <m/>
    <n v="0"/>
    <n v="0"/>
    <n v="0"/>
    <n v="215"/>
    <n v="0"/>
    <n v="0"/>
    <n v="0"/>
    <n v="0"/>
    <n v="0"/>
    <n v="0"/>
    <n v="0"/>
    <n v="0"/>
    <n v="0"/>
    <n v="0"/>
    <n v="0"/>
    <n v="0"/>
    <n v="0"/>
    <n v="0"/>
    <n v="0"/>
    <m/>
  </r>
  <r>
    <x v="248"/>
    <x v="30"/>
    <x v="3"/>
    <x v="4"/>
    <x v="1"/>
    <x v="13"/>
    <x v="3"/>
    <x v="15"/>
    <x v="56"/>
    <x v="3"/>
    <m/>
    <m/>
    <m/>
    <m/>
    <m/>
    <n v="1000000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49"/>
    <x v="31"/>
    <x v="3"/>
    <x v="2"/>
    <x v="5"/>
    <x v="6"/>
    <x v="3"/>
    <x v="15"/>
    <x v="56"/>
    <x v="3"/>
    <m/>
    <m/>
    <m/>
    <m/>
    <m/>
    <m/>
    <x v="0"/>
    <x v="1"/>
    <x v="6"/>
    <x v="18"/>
    <n v="13776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50"/>
    <x v="31"/>
    <x v="3"/>
    <x v="2"/>
    <x v="5"/>
    <x v="6"/>
    <x v="3"/>
    <x v="15"/>
    <x v="56"/>
    <x v="3"/>
    <m/>
    <m/>
    <m/>
    <m/>
    <m/>
    <m/>
    <x v="0"/>
    <x v="1"/>
    <x v="6"/>
    <x v="6"/>
    <n v="4293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51"/>
    <x v="31"/>
    <x v="3"/>
    <x v="2"/>
    <x v="5"/>
    <x v="6"/>
    <x v="3"/>
    <x v="15"/>
    <x v="56"/>
    <x v="3"/>
    <m/>
    <m/>
    <m/>
    <m/>
    <m/>
    <m/>
    <x v="0"/>
    <x v="1"/>
    <x v="7"/>
    <x v="7"/>
    <n v="61032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52"/>
    <x v="31"/>
    <x v="3"/>
    <x v="2"/>
    <x v="5"/>
    <x v="6"/>
    <x v="3"/>
    <x v="15"/>
    <x v="56"/>
    <x v="3"/>
    <m/>
    <m/>
    <m/>
    <m/>
    <m/>
    <m/>
    <x v="0"/>
    <x v="1"/>
    <x v="5"/>
    <x v="5"/>
    <n v="20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53"/>
    <x v="31"/>
    <x v="3"/>
    <x v="2"/>
    <x v="5"/>
    <x v="6"/>
    <x v="3"/>
    <x v="15"/>
    <x v="56"/>
    <x v="3"/>
    <m/>
    <m/>
    <m/>
    <m/>
    <m/>
    <m/>
    <x v="0"/>
    <x v="1"/>
    <x v="5"/>
    <x v="11"/>
    <n v="20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54"/>
    <x v="31"/>
    <x v="3"/>
    <x v="2"/>
    <x v="5"/>
    <x v="6"/>
    <x v="3"/>
    <x v="15"/>
    <x v="56"/>
    <x v="3"/>
    <m/>
    <m/>
    <m/>
    <m/>
    <m/>
    <m/>
    <x v="0"/>
    <x v="1"/>
    <x v="5"/>
    <x v="13"/>
    <n v="68860.820000000007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55"/>
    <x v="31"/>
    <x v="3"/>
    <x v="2"/>
    <x v="5"/>
    <x v="6"/>
    <x v="3"/>
    <x v="15"/>
    <x v="56"/>
    <x v="3"/>
    <m/>
    <m/>
    <m/>
    <m/>
    <m/>
    <m/>
    <x v="0"/>
    <x v="1"/>
    <x v="5"/>
    <x v="13"/>
    <n v="288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56"/>
    <x v="31"/>
    <x v="3"/>
    <x v="2"/>
    <x v="5"/>
    <x v="6"/>
    <x v="3"/>
    <x v="15"/>
    <x v="56"/>
    <x v="3"/>
    <m/>
    <m/>
    <m/>
    <m/>
    <m/>
    <m/>
    <x v="0"/>
    <x v="1"/>
    <x v="7"/>
    <x v="7"/>
    <n v="8240.15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57"/>
    <x v="31"/>
    <x v="3"/>
    <x v="2"/>
    <x v="5"/>
    <x v="6"/>
    <x v="3"/>
    <x v="15"/>
    <x v="56"/>
    <x v="3"/>
    <m/>
    <m/>
    <m/>
    <m/>
    <m/>
    <m/>
    <x v="0"/>
    <x v="1"/>
    <x v="3"/>
    <x v="20"/>
    <n v="3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58"/>
    <x v="31"/>
    <x v="3"/>
    <x v="2"/>
    <x v="5"/>
    <x v="6"/>
    <x v="3"/>
    <x v="15"/>
    <x v="56"/>
    <x v="3"/>
    <m/>
    <m/>
    <m/>
    <m/>
    <m/>
    <m/>
    <x v="0"/>
    <x v="1"/>
    <x v="7"/>
    <x v="7"/>
    <n v="42785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59"/>
    <x v="31"/>
    <x v="3"/>
    <x v="2"/>
    <x v="5"/>
    <x v="6"/>
    <x v="3"/>
    <x v="15"/>
    <x v="56"/>
    <x v="3"/>
    <m/>
    <m/>
    <m/>
    <m/>
    <m/>
    <m/>
    <x v="0"/>
    <x v="1"/>
    <x v="7"/>
    <x v="7"/>
    <n v="3000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60"/>
    <x v="31"/>
    <x v="3"/>
    <x v="4"/>
    <x v="1"/>
    <x v="1"/>
    <x v="3"/>
    <x v="15"/>
    <x v="56"/>
    <x v="3"/>
    <m/>
    <m/>
    <m/>
    <m/>
    <m/>
    <n v="97658"/>
    <x v="0"/>
    <x v="0"/>
    <x v="0"/>
    <x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61"/>
    <x v="31"/>
    <x v="3"/>
    <x v="2"/>
    <x v="5"/>
    <x v="6"/>
    <x v="3"/>
    <x v="15"/>
    <x v="56"/>
    <x v="3"/>
    <m/>
    <m/>
    <m/>
    <m/>
    <m/>
    <m/>
    <x v="0"/>
    <x v="1"/>
    <x v="4"/>
    <x v="9"/>
    <n v="111660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</r>
  <r>
    <x v="262"/>
    <x v="31"/>
    <x v="3"/>
    <x v="1"/>
    <x v="4"/>
    <x v="11"/>
    <x v="2"/>
    <x v="3"/>
    <x v="33"/>
    <x v="35"/>
    <n v="450"/>
    <m/>
    <n v="37"/>
    <n v="5904485.4000000004"/>
    <m/>
    <m/>
    <x v="0"/>
    <x v="0"/>
    <x v="0"/>
    <x v="0"/>
    <m/>
    <m/>
    <m/>
    <n v="12124"/>
    <n v="0"/>
    <n v="0"/>
    <n v="0"/>
    <n v="0"/>
    <n v="0"/>
    <n v="0"/>
    <n v="33.333300000000001"/>
    <n v="417"/>
    <n v="5051750"/>
    <n v="6050380.3845540006"/>
    <n v="453.66669999999999"/>
    <n v="5500345.8041400006"/>
    <n v="0"/>
    <n v="0"/>
    <n v="499"/>
    <n v="0"/>
    <n v="0"/>
    <n v="448595"/>
    <m/>
  </r>
  <r>
    <x v="263"/>
    <x v="31"/>
    <x v="3"/>
    <x v="1"/>
    <x v="4"/>
    <x v="11"/>
    <x v="2"/>
    <x v="7"/>
    <x v="11"/>
    <x v="36"/>
    <n v="0"/>
    <m/>
    <n v="0"/>
    <n v="0"/>
    <m/>
    <m/>
    <x v="0"/>
    <x v="0"/>
    <x v="0"/>
    <x v="0"/>
    <m/>
    <m/>
    <m/>
    <n v="0"/>
    <n v="0"/>
    <n v="0"/>
    <n v="444"/>
    <n v="0"/>
    <n v="0"/>
    <n v="0"/>
    <n v="0"/>
    <n v="0"/>
    <n v="0"/>
    <n v="0"/>
    <n v="0"/>
    <n v="0"/>
    <n v="0"/>
    <n v="0"/>
    <n v="0"/>
    <n v="0"/>
    <n v="0"/>
    <n v="0"/>
    <m/>
  </r>
  <r>
    <x v="264"/>
    <x v="31"/>
    <x v="3"/>
    <x v="1"/>
    <x v="1"/>
    <x v="1"/>
    <x v="2"/>
    <x v="3"/>
    <x v="33"/>
    <x v="37"/>
    <n v="405"/>
    <m/>
    <n v="0"/>
    <n v="15228"/>
    <m/>
    <m/>
    <x v="0"/>
    <x v="0"/>
    <x v="0"/>
    <x v="0"/>
    <m/>
    <m/>
    <m/>
    <n v="38"/>
    <n v="0"/>
    <n v="0"/>
    <n v="0"/>
    <n v="0"/>
    <n v="0"/>
    <n v="0"/>
    <n v="29.999970000000001"/>
    <n v="375"/>
    <n v="14100"/>
    <n v="15228"/>
    <n v="375.00002999999998"/>
    <n v="14100.001128"/>
    <n v="0"/>
    <n v="0"/>
    <n v="0"/>
    <n v="405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Izvedena tabela10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R27:S28" firstHeaderRow="0" firstDataRow="1" firstDataCol="0" rowPageCount="3" colPageCount="1"/>
  <pivotFields count="48">
    <pivotField showAll="0" defaultSubtotal="0"/>
    <pivotField numFmtId="167" showAll="0" insertPageBreak="1" includeNewItemsInFilter="1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multipleItemSelectionAllowed="1" showAll="0"/>
    <pivotField showAll="0"/>
    <pivotField multipleItemSelectionAllowed="1" showAll="0"/>
    <pivotField axis="axisPage" multipleItemSelectionAllowed="1" showAll="0">
      <items count="21">
        <item h="1" x="8"/>
        <item h="1" x="12"/>
        <item h="1" sd="0" x="0"/>
        <item h="1" sd="0" x="2"/>
        <item h="1" sd="0" x="9"/>
        <item h="1" sd="0" x="1"/>
        <item h="1" sd="0" x="4"/>
        <item sd="0" x="11"/>
        <item h="1" sd="0" x="5"/>
        <item h="1" sd="0" x="3"/>
        <item sd="0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showAll="0"/>
    <pivotField axis="axisPage" dataField="1" showAll="0">
      <items count="1613">
        <item x="2"/>
        <item x="0"/>
        <item x="1"/>
        <item x="3"/>
        <item m="1" x="439"/>
        <item m="1" x="1086"/>
        <item m="1" x="594"/>
        <item m="1" x="1057"/>
        <item m="1" x="1242"/>
        <item m="1" x="969"/>
        <item x="18"/>
        <item m="1" x="476"/>
        <item m="1" x="1170"/>
        <item m="1" x="287"/>
        <item m="1" x="466"/>
        <item m="1" x="177"/>
        <item m="1" x="1460"/>
        <item m="1" x="1309"/>
        <item m="1" x="996"/>
        <item m="1" x="1352"/>
        <item m="1" x="1316"/>
        <item m="1" x="269"/>
        <item m="1" x="1270"/>
        <item m="1" x="41"/>
        <item m="1" x="1258"/>
        <item m="1" x="1046"/>
        <item m="1" x="1012"/>
        <item m="1" x="1093"/>
        <item m="1" x="262"/>
        <item m="1" x="1000"/>
        <item m="1" x="1586"/>
        <item x="21"/>
        <item m="1" x="1523"/>
        <item m="1" x="1251"/>
        <item m="1" x="316"/>
        <item m="1" x="1161"/>
        <item m="1" x="1335"/>
        <item m="1" x="590"/>
        <item m="1" x="235"/>
        <item m="1" x="1124"/>
        <item m="1" x="1327"/>
        <item m="1" x="1183"/>
        <item m="1" x="1400"/>
        <item m="1" x="1156"/>
        <item m="1" x="146"/>
        <item m="1" x="667"/>
        <item m="1" x="247"/>
        <item m="1" x="989"/>
        <item m="1" x="1182"/>
        <item m="1" x="1029"/>
        <item x="32"/>
        <item m="1" x="1373"/>
        <item m="1" x="44"/>
        <item m="1" x="1609"/>
        <item m="1" x="1021"/>
        <item m="1" x="1259"/>
        <item m="1" x="268"/>
        <item m="1" x="1284"/>
        <item m="1" x="1478"/>
        <item m="1" x="1445"/>
        <item m="1" x="1064"/>
        <item m="1" x="1452"/>
        <item m="1" x="1035"/>
        <item m="1" x="1162"/>
        <item m="1" x="278"/>
        <item m="1" x="140"/>
        <item m="1" x="1210"/>
        <item m="1" x="1430"/>
        <item m="1" x="1044"/>
        <item m="1" x="188"/>
        <item m="1" x="1265"/>
        <item m="1" x="1493"/>
        <item m="1" x="239"/>
        <item m="1" x="1056"/>
        <item m="1" x="966"/>
        <item m="1" x="935"/>
        <item m="1" x="1192"/>
        <item m="1" x="1092"/>
        <item m="1" x="1163"/>
        <item m="1" x="453"/>
        <item m="1" x="1205"/>
        <item m="1" x="1085"/>
        <item m="1" x="501"/>
        <item m="1" x="1520"/>
        <item m="1" x="1247"/>
        <item m="1" x="1404"/>
        <item m="1" x="1083"/>
        <item m="1" x="1204"/>
        <item m="1" x="1394"/>
        <item m="1" x="1409"/>
        <item m="1" x="1351"/>
        <item m="1" x="1218"/>
        <item m="1" x="1470"/>
        <item m="1" x="1188"/>
        <item m="1" x="1387"/>
        <item m="1" x="1436"/>
        <item m="1" x="1129"/>
        <item m="1" x="1246"/>
        <item m="1" x="1261"/>
        <item m="1" x="953"/>
        <item m="1" x="1111"/>
        <item m="1" x="1299"/>
        <item m="1" x="1526"/>
        <item m="1" x="1502"/>
        <item m="1" x="1042"/>
        <item m="1" x="1545"/>
        <item m="1" x="993"/>
        <item m="1" x="1139"/>
        <item m="1" x="1467"/>
        <item m="1" x="750"/>
        <item m="1" x="581"/>
        <item m="1" x="1385"/>
        <item m="1" x="1104"/>
        <item m="1" x="596"/>
        <item m="1" x="1233"/>
        <item m="1" x="1018"/>
        <item m="1" x="1382"/>
        <item m="1" x="975"/>
        <item m="1" x="65"/>
        <item m="1" x="1424"/>
        <item m="1" x="1143"/>
        <item m="1" x="236"/>
        <item m="1" x="360"/>
        <item m="1" x="181"/>
        <item m="1" x="1458"/>
        <item m="1" x="1076"/>
        <item m="1" x="1290"/>
        <item m="1" x="1173"/>
        <item m="1" x="981"/>
        <item m="1" x="1325"/>
        <item m="1" x="242"/>
        <item m="1" x="660"/>
        <item m="1" x="1428"/>
        <item m="1" x="1128"/>
        <item m="1" x="1425"/>
        <item m="1" x="620"/>
        <item m="1" x="1571"/>
        <item m="1" x="1027"/>
        <item m="1" x="1168"/>
        <item m="1" x="712"/>
        <item m="1" x="957"/>
        <item m="1" x="741"/>
        <item m="1" x="1004"/>
        <item m="1" x="1499"/>
        <item m="1" x="455"/>
        <item m="1" x="1466"/>
        <item m="1" x="1488"/>
        <item m="1" x="1067"/>
        <item m="1" x="1582"/>
        <item m="1" x="202"/>
        <item m="1" x="502"/>
        <item m="1" x="662"/>
        <item m="1" x="1506"/>
        <item m="1" x="1579"/>
        <item m="1" x="1302"/>
        <item m="1" x="1003"/>
        <item m="1" x="1225"/>
        <item m="1" x="1512"/>
        <item m="1" x="555"/>
        <item m="1" x="1379"/>
        <item m="1" x="409"/>
        <item m="1" x="1266"/>
        <item m="1" x="1473"/>
        <item m="1" x="955"/>
        <item m="1" x="78"/>
        <item m="1" x="1472"/>
        <item m="1" x="405"/>
        <item m="1" x="1020"/>
        <item m="1" x="1159"/>
        <item m="1" x="1295"/>
        <item m="1" x="1476"/>
        <item m="1" x="510"/>
        <item m="1" x="714"/>
        <item m="1" x="1313"/>
        <item m="1" x="1187"/>
        <item m="1" x="731"/>
        <item m="1" x="1240"/>
        <item m="1" x="1191"/>
        <item m="1" x="1019"/>
        <item m="1" x="1361"/>
        <item m="1" x="1434"/>
        <item m="1" x="967"/>
        <item m="1" x="1068"/>
        <item m="1" x="1078"/>
        <item m="1" x="1269"/>
        <item m="1" x="787"/>
        <item m="1" x="1482"/>
        <item m="1" x="995"/>
        <item m="1" x="1567"/>
        <item m="1" x="1241"/>
        <item m="1" x="791"/>
        <item m="1" x="1574"/>
        <item m="1" x="1524"/>
        <item m="1" x="1200"/>
        <item m="1" x="1353"/>
        <item m="1" x="1123"/>
        <item m="1" x="688"/>
        <item m="1" x="1213"/>
        <item m="1" x="1386"/>
        <item m="1" x="997"/>
        <item x="37"/>
        <item m="1" x="954"/>
        <item m="1" x="1120"/>
        <item m="1" x="1283"/>
        <item m="1" x="1584"/>
        <item m="1" x="1509"/>
        <item m="1" x="1342"/>
        <item m="1" x="77"/>
        <item m="1" x="1147"/>
        <item m="1" x="1303"/>
        <item m="1" x="1446"/>
        <item m="1" x="1321"/>
        <item m="1" x="1333"/>
        <item m="1" x="633"/>
        <item m="1" x="1496"/>
        <item m="1" x="1026"/>
        <item m="1" x="1107"/>
        <item m="1" x="1154"/>
        <item m="1" x="1150"/>
        <item m="1" x="1179"/>
        <item m="1" x="1190"/>
        <item m="1" x="1061"/>
        <item m="1" x="994"/>
        <item m="1" x="1227"/>
        <item m="1" x="1100"/>
        <item m="1" x="1471"/>
        <item m="1" x="429"/>
        <item m="1" x="764"/>
        <item m="1" x="755"/>
        <item m="1" x="1468"/>
        <item m="1" x="1553"/>
        <item m="1" x="1257"/>
        <item m="1" x="1110"/>
        <item m="1" x="201"/>
        <item m="1" x="1435"/>
        <item m="1" x="1237"/>
        <item m="1" x="1438"/>
        <item m="1" x="606"/>
        <item m="1" x="1402"/>
        <item m="1" x="795"/>
        <item m="1" x="1300"/>
        <item x="6"/>
        <item m="1" x="1433"/>
        <item m="1" x="105"/>
        <item m="1" x="1529"/>
        <item m="1" x="1032"/>
        <item m="1" x="1431"/>
        <item m="1" x="1312"/>
        <item m="1" x="1275"/>
        <item m="1" x="1541"/>
        <item m="1" x="711"/>
        <item m="1" x="1307"/>
        <item m="1" x="1576"/>
        <item m="1" x="1340"/>
        <item m="1" x="1407"/>
        <item m="1" x="1565"/>
        <item m="1" x="1411"/>
        <item m="1" x="1419"/>
        <item m="1" x="1244"/>
        <item m="1" x="1440"/>
        <item m="1" x="1193"/>
        <item m="1" x="991"/>
        <item x="26"/>
        <item m="1" x="91"/>
        <item m="1" x="987"/>
        <item m="1" x="1011"/>
        <item m="1" x="1196"/>
        <item m="1" x="1603"/>
        <item m="1" x="1511"/>
        <item m="1" x="1389"/>
        <item m="1" x="1090"/>
        <item m="1" x="1117"/>
        <item m="1" x="302"/>
        <item m="1" x="1350"/>
        <item m="1" x="979"/>
        <item m="1" x="481"/>
        <item m="1" x="1338"/>
        <item m="1" x="1230"/>
        <item m="1" x="1461"/>
        <item m="1" x="1355"/>
        <item m="1" x="1380"/>
        <item m="1" x="1561"/>
        <item m="1" x="1505"/>
        <item m="1" x="1106"/>
        <item m="1" x="1252"/>
        <item m="1" x="1547"/>
        <item m="1" x="1537"/>
        <item m="1" x="1008"/>
        <item m="1" x="305"/>
        <item m="1" x="1047"/>
        <item m="1" x="1305"/>
        <item m="1" x="1054"/>
        <item m="1" x="615"/>
        <item m="1" x="171"/>
        <item m="1" x="1522"/>
        <item m="1" x="1070"/>
        <item m="1" x="1556"/>
        <item m="1" x="1040"/>
        <item m="1" x="1322"/>
        <item m="1" x="1611"/>
        <item m="1" x="1420"/>
        <item m="1" x="992"/>
        <item m="1" x="1314"/>
        <item m="1" x="1288"/>
        <item m="1" x="952"/>
        <item m="1" x="1494"/>
        <item m="1" x="1157"/>
        <item m="1" x="1096"/>
        <item m="1" x="1010"/>
        <item m="1" x="1474"/>
        <item m="1" x="109"/>
        <item m="1" x="1432"/>
        <item m="1" x="1444"/>
        <item m="1" x="1013"/>
        <item m="1" x="104"/>
        <item m="1" x="1254"/>
        <item m="1" x="119"/>
        <item m="1" x="1334"/>
        <item m="1" x="1238"/>
        <item m="1" x="1256"/>
        <item m="1" x="726"/>
        <item m="1" x="1564"/>
        <item m="1" x="1362"/>
        <item m="1" x="286"/>
        <item m="1" x="1393"/>
        <item m="1" x="1119"/>
        <item m="1" x="1575"/>
        <item m="1" x="1405"/>
        <item m="1" x="1600"/>
        <item m="1" x="389"/>
        <item m="1" x="1135"/>
        <item m="1" x="950"/>
        <item m="1" x="1525"/>
        <item m="1" x="1336"/>
        <item m="1" x="1587"/>
        <item m="1" x="1103"/>
        <item m="1" x="1024"/>
        <item m="1" x="1073"/>
        <item m="1" x="443"/>
        <item m="1" x="1105"/>
        <item m="1" x="1554"/>
        <item m="1" x="1138"/>
        <item m="1" x="965"/>
        <item m="1" x="1583"/>
        <item m="1" x="1080"/>
        <item m="1" x="1601"/>
        <item m="1" x="1412"/>
        <item m="1" x="1116"/>
        <item m="1" x="107"/>
        <item m="1" x="1311"/>
        <item m="1" x="974"/>
        <item m="1" x="289"/>
        <item m="1" x="675"/>
        <item m="1" x="1588"/>
        <item m="1" x="1596"/>
        <item m="1" x="106"/>
        <item m="1" x="1500"/>
        <item m="1" x="1037"/>
        <item m="1" x="1112"/>
        <item m="1" x="1390"/>
        <item m="1" x="1486"/>
        <item m="1" x="943"/>
        <item m="1" x="958"/>
        <item m="1" x="1226"/>
        <item m="1" x="1175"/>
        <item m="1" x="951"/>
        <item m="1" x="1507"/>
        <item m="1" x="1408"/>
        <item m="1" x="1403"/>
        <item m="1" x="1206"/>
        <item m="1" x="1363"/>
        <item m="1" x="1171"/>
        <item m="1" x="1243"/>
        <item m="1" x="1194"/>
        <item m="1" x="1423"/>
        <item m="1" x="1087"/>
        <item m="1" x="1186"/>
        <item m="1" x="1236"/>
        <item m="1" x="984"/>
        <item m="1" x="326"/>
        <item m="1" x="48"/>
        <item m="1" x="1508"/>
        <item m="1" x="1144"/>
        <item m="1" x="1443"/>
        <item m="1" x="1289"/>
        <item m="1" x="990"/>
        <item m="1" x="1145"/>
        <item m="1" x="1477"/>
        <item m="1" x="1531"/>
        <item m="1" x="1223"/>
        <item m="1" x="749"/>
        <item m="1" x="1345"/>
        <item m="1" x="1344"/>
        <item m="1" x="1292"/>
        <item m="1" x="1153"/>
        <item m="1" x="1459"/>
        <item m="1" x="1484"/>
        <item m="1" x="1356"/>
        <item m="1" x="1580"/>
        <item m="1" x="95"/>
        <item x="19"/>
        <item m="1" x="1510"/>
        <item m="1" x="39"/>
        <item m="1" x="1429"/>
        <item m="1" x="68"/>
        <item m="1" x="185"/>
        <item m="1" x="1293"/>
        <item m="1" x="1301"/>
        <item m="1" x="1286"/>
        <item m="1" x="1199"/>
        <item m="1" x="855"/>
        <item m="1" x="1208"/>
        <item m="1" x="1375"/>
        <item m="1" x="1339"/>
        <item m="1" x="1221"/>
        <item m="1" x="988"/>
        <item m="1" x="534"/>
        <item m="1" x="1228"/>
        <item m="1" x="1297"/>
        <item m="1" x="210"/>
        <item m="1" x="1542"/>
        <item m="1" x="1158"/>
        <item m="1" x="1276"/>
        <item m="1" x="1480"/>
        <item m="1" x="778"/>
        <item m="1" x="1378"/>
        <item m="1" x="1364"/>
        <item m="1" x="745"/>
        <item m="1" x="1527"/>
        <item m="1" x="1017"/>
        <item m="1" x="1329"/>
        <item m="1" x="1264"/>
        <item m="1" x="276"/>
        <item m="1" x="1558"/>
        <item m="1" x="1184"/>
        <item m="1" x="1519"/>
        <item x="5"/>
        <item m="1" x="410"/>
        <item m="1" x="1287"/>
        <item m="1" x="195"/>
        <item m="1" x="744"/>
        <item m="1" x="638"/>
        <item m="1" x="421"/>
        <item m="1" x="1464"/>
        <item m="1" x="436"/>
        <item m="1" x="138"/>
        <item m="1" x="1398"/>
        <item m="1" x="1146"/>
        <item m="1" x="1152"/>
        <item m="1" x="1214"/>
        <item m="1" x="1371"/>
        <item m="1" x="1142"/>
        <item m="1" x="846"/>
        <item m="1" x="839"/>
        <item m="1" x="1232"/>
        <item m="1" x="1062"/>
        <item m="1" x="986"/>
        <item m="1" x="1376"/>
        <item m="1" x="1094"/>
        <item m="1" x="1005"/>
        <item m="1" x="1610"/>
        <item m="1" x="1166"/>
        <item m="1" x="887"/>
        <item m="1" x="1552"/>
        <item m="1" x="1023"/>
        <item m="1" x="72"/>
        <item m="1" x="786"/>
        <item m="1" x="1306"/>
        <item m="1" x="1291"/>
        <item m="1" x="1395"/>
        <item m="1" x="1121"/>
        <item m="1" x="1317"/>
        <item m="1" x="1045"/>
        <item m="1" x="1369"/>
        <item m="1" x="263"/>
        <item m="1" x="1137"/>
        <item m="1" x="1239"/>
        <item m="1" x="203"/>
        <item m="1" x="1465"/>
        <item m="1" x="1222"/>
        <item m="1" x="1212"/>
        <item m="1" x="1267"/>
        <item m="1" x="968"/>
        <item m="1" x="1022"/>
        <item m="1" x="1298"/>
        <item m="1" x="1324"/>
        <item m="1" x="970"/>
        <item m="1" x="169"/>
        <item m="1" x="1377"/>
        <item m="1" x="1451"/>
        <item m="1" x="1048"/>
        <item m="1" x="319"/>
        <item m="1" x="277"/>
        <item m="1" x="1220"/>
        <item m="1" x="1497"/>
        <item m="1" x="1130"/>
        <item m="1" x="1209"/>
        <item m="1" x="1052"/>
        <item m="1" x="1399"/>
        <item m="1" x="1417"/>
        <item m="1" x="1406"/>
        <item m="1" x="1347"/>
        <item m="1" x="1449"/>
        <item x="8"/>
        <item m="1" x="1532"/>
        <item m="1" x="1310"/>
        <item m="1" x="1590"/>
        <item m="1" x="1540"/>
        <item m="1" x="1097"/>
        <item m="1" x="1006"/>
        <item m="1" x="1448"/>
        <item m="1" x="1069"/>
        <item m="1" x="1418"/>
        <item m="1" x="1031"/>
        <item m="1" x="998"/>
        <item m="1" x="1189"/>
        <item m="1" x="1091"/>
        <item m="1" x="1462"/>
        <item m="1" x="1084"/>
        <item m="1" x="1059"/>
        <item m="1" x="1450"/>
        <item m="1" x="1463"/>
        <item x="25"/>
        <item m="1" x="1605"/>
        <item m="1" x="1384"/>
        <item m="1" x="695"/>
        <item m="1" x="1195"/>
        <item m="1" x="1383"/>
        <item m="1" x="1513"/>
        <item m="1" x="1095"/>
        <item m="1" x="1178"/>
        <item m="1" x="1447"/>
        <item m="1" x="261"/>
        <item m="1" x="1535"/>
        <item m="1" x="1481"/>
        <item m="1" x="1245"/>
        <item m="1" x="1014"/>
        <item m="1" x="1172"/>
        <item m="1" x="1009"/>
        <item m="1" x="882"/>
        <item m="1" x="1401"/>
        <item m="1" x="1543"/>
        <item m="1" x="1546"/>
        <item m="1" x="1566"/>
        <item m="1" x="1315"/>
        <item m="1" x="1071"/>
        <item m="1" x="1169"/>
        <item m="1" x="1492"/>
        <item m="1" x="1563"/>
        <item m="1" x="1453"/>
        <item m="1" x="1079"/>
        <item m="1" x="1489"/>
        <item m="1" x="1098"/>
        <item m="1" x="102"/>
        <item m="1" x="1134"/>
        <item m="1" x="1572"/>
        <item m="1" x="1148"/>
        <item m="1" x="1164"/>
        <item x="28"/>
        <item m="1" x="1177"/>
        <item m="1" x="1155"/>
        <item m="1" x="973"/>
        <item m="1" x="1039"/>
        <item m="1" x="1181"/>
        <item m="1" x="1216"/>
        <item m="1" x="977"/>
        <item m="1" x="1279"/>
        <item m="1" x="1332"/>
        <item m="1" x="1559"/>
        <item m="1" x="1131"/>
        <item m="1" x="1560"/>
        <item m="1" x="1413"/>
        <item m="1" x="1331"/>
        <item m="1" x="1570"/>
        <item m="1" x="872"/>
        <item m="1" x="1562"/>
        <item m="1" x="1273"/>
        <item m="1" x="1149"/>
        <item m="1" x="1551"/>
        <item m="1" x="1211"/>
        <item m="1" x="1602"/>
        <item m="1" x="1491"/>
        <item m="1" x="1454"/>
        <item m="1" x="1328"/>
        <item m="1" x="1456"/>
        <item m="1" x="1483"/>
        <item m="1" x="1081"/>
        <item m="1" x="1422"/>
        <item m="1" x="1101"/>
        <item m="1" x="980"/>
        <item m="1" x="1354"/>
        <item m="1" x="1530"/>
        <item m="1" x="804"/>
        <item m="1" x="547"/>
        <item m="1" x="1538"/>
        <item m="1" x="1058"/>
        <item m="1" x="1102"/>
        <item m="1" x="1343"/>
        <item m="1" x="1349"/>
        <item m="1" x="1359"/>
        <item m="1" x="1604"/>
        <item m="1" x="1599"/>
        <item m="1" x="1594"/>
        <item m="1" x="1521"/>
        <item m="1" x="155"/>
        <item m="1" x="208"/>
        <item m="1" x="1514"/>
        <item m="1" x="1033"/>
        <item m="1" x="1099"/>
        <item m="1" x="1534"/>
        <item m="1" x="999"/>
        <item m="1" x="1365"/>
        <item m="1" x="1504"/>
        <item m="1" x="1437"/>
        <item m="1" x="1028"/>
        <item m="1" x="1043"/>
        <item m="1" x="1557"/>
        <item m="1" x="1595"/>
        <item m="1" x="1088"/>
        <item m="1" x="1592"/>
        <item m="1" x="1235"/>
        <item m="1" x="517"/>
        <item m="1" x="1282"/>
        <item m="1" x="1501"/>
        <item m="1" x="1479"/>
        <item m="1" x="1544"/>
        <item m="1" x="962"/>
        <item m="1" x="1125"/>
        <item m="1" x="1426"/>
        <item m="1" x="1392"/>
        <item m="1" x="976"/>
        <item m="1" x="1231"/>
        <item m="1" x="1589"/>
        <item m="1" x="1475"/>
        <item m="1" x="1165"/>
        <item m="1" x="1319"/>
        <item m="1" x="1271"/>
        <item m="1" x="982"/>
        <item m="1" x="1274"/>
        <item m="1" x="1167"/>
        <item m="1" x="1060"/>
        <item m="1" x="1539"/>
        <item m="1" x="1490"/>
        <item m="1" x="680"/>
        <item m="1" x="762"/>
        <item m="1" x="1113"/>
        <item m="1" x="1410"/>
        <item m="1" x="1396"/>
        <item m="1" x="1515"/>
        <item m="1" x="1597"/>
        <item m="1" x="1198"/>
        <item m="1" x="1427"/>
        <item m="1" x="1001"/>
        <item m="1" x="1568"/>
        <item m="1" x="1077"/>
        <item m="1" x="1391"/>
        <item m="1" x="454"/>
        <item m="1" x="686"/>
        <item m="1" x="1108"/>
        <item m="1" x="1581"/>
        <item m="1" x="1442"/>
        <item m="1" x="1038"/>
        <item m="1" x="1255"/>
        <item m="1" x="971"/>
        <item m="1" x="1439"/>
        <item m="1" x="1415"/>
        <item m="1" x="1075"/>
        <item m="1" x="515"/>
        <item m="1" x="1215"/>
        <item m="1" x="1593"/>
        <item m="1" x="1025"/>
        <item m="1" x="1367"/>
        <item m="1" x="1229"/>
        <item m="1" x="1536"/>
        <item m="1" x="1318"/>
        <item m="1" x="1608"/>
        <item m="1" x="1372"/>
        <item m="1" x="1030"/>
        <item m="1" x="592"/>
        <item m="1" x="1280"/>
        <item m="1" x="862"/>
        <item m="1" x="1517"/>
        <item m="1" x="1201"/>
        <item m="1" x="1272"/>
        <item m="1" x="1281"/>
        <item m="1" x="1253"/>
        <item m="1" x="960"/>
        <item m="1" x="1034"/>
        <item m="1" x="1469"/>
        <item m="1" x="1516"/>
        <item m="1" x="1326"/>
        <item m="1" x="1132"/>
        <item m="1" x="1262"/>
        <item m="1" x="1388"/>
        <item m="1" x="1337"/>
        <item m="1" x="1368"/>
        <item m="1" x="324"/>
        <item m="1" x="1126"/>
        <item m="1" x="705"/>
        <item m="1" x="132"/>
        <item m="1" x="927"/>
        <item m="1" x="1416"/>
        <item m="1" x="1224"/>
        <item m="1" x="1234"/>
        <item m="1" x="956"/>
        <item m="1" x="1036"/>
        <item m="1" x="1277"/>
        <item m="1" x="1115"/>
        <item m="1" x="1203"/>
        <item m="1" x="1578"/>
        <item m="1" x="1207"/>
        <item m="1" x="1114"/>
        <item m="1" x="1487"/>
        <item m="1" x="1495"/>
        <item m="1" x="1606"/>
        <item m="1" x="1185"/>
        <item m="1" x="1357"/>
        <item m="1" x="1065"/>
        <item m="1" x="1296"/>
        <item m="1" x="1573"/>
        <item m="1" x="1498"/>
        <item m="1" x="1160"/>
        <item m="1" x="1250"/>
        <item m="1" x="1569"/>
        <item m="1" x="1007"/>
        <item m="1" x="1015"/>
        <item m="1" x="1550"/>
        <item m="1" x="1260"/>
        <item m="1" x="70"/>
        <item m="1" x="1457"/>
        <item m="1" x="1066"/>
        <item m="1" x="963"/>
        <item m="1" x="961"/>
        <item m="1" x="1072"/>
        <item m="1" x="1109"/>
        <item m="1" x="1141"/>
        <item m="1" x="1063"/>
        <item m="1" x="1598"/>
        <item m="1" x="1549"/>
        <item m="1" x="1348"/>
        <item m="1" x="1217"/>
        <item m="1" x="978"/>
        <item m="1" x="1397"/>
        <item m="1" x="1197"/>
        <item m="1" x="1202"/>
        <item m="1" x="1127"/>
        <item m="1" x="1118"/>
        <item m="1" x="1268"/>
        <item m="1" x="1055"/>
        <item m="1" x="1053"/>
        <item m="1" x="1285"/>
        <item m="1" x="1503"/>
        <item m="1" x="1374"/>
        <item m="1" x="1304"/>
        <item m="1" x="1089"/>
        <item m="1" x="1308"/>
        <item m="1" x="1455"/>
        <item m="1" x="425"/>
        <item m="1" x="1366"/>
        <item m="1" x="1248"/>
        <item m="1" x="1607"/>
        <item m="1" x="829"/>
        <item m="1" x="1140"/>
        <item m="1" x="1074"/>
        <item m="1" x="1555"/>
        <item m="1" x="1122"/>
        <item m="1" x="1441"/>
        <item m="1" x="256"/>
        <item m="1" x="1174"/>
        <item m="1" x="1263"/>
        <item m="1" x="1358"/>
        <item m="1" x="528"/>
        <item m="1" x="1414"/>
        <item m="1" x="1421"/>
        <item m="1" x="972"/>
        <item m="1" x="1548"/>
        <item m="1" x="1485"/>
        <item m="1" x="1381"/>
        <item m="1" x="914"/>
        <item m="1" x="508"/>
        <item m="1" x="725"/>
        <item m="1" x="46"/>
        <item m="1" x="448"/>
        <item m="1" x="1180"/>
        <item m="1" x="1577"/>
        <item m="1" x="1002"/>
        <item m="1" x="1278"/>
        <item m="1" x="1323"/>
        <item m="1" x="983"/>
        <item m="1" x="1051"/>
        <item m="1" x="1591"/>
        <item m="1" x="1320"/>
        <item m="1" x="1151"/>
        <item m="1" x="923"/>
        <item m="1" x="1370"/>
        <item m="1" x="964"/>
        <item m="1" x="916"/>
        <item m="1" x="1133"/>
        <item m="1" x="1330"/>
        <item m="1" x="1533"/>
        <item m="1" x="1360"/>
        <item m="1" x="1049"/>
        <item m="1" x="1136"/>
        <item m="1" x="1219"/>
        <item m="1" x="985"/>
        <item m="1" x="1341"/>
        <item x="11"/>
        <item m="1" x="1016"/>
        <item m="1" x="1585"/>
        <item m="1" x="1518"/>
        <item m="1" x="777"/>
        <item m="1" x="1041"/>
        <item m="1" x="1249"/>
        <item m="1" x="959"/>
        <item m="1" x="583"/>
        <item m="1" x="204"/>
        <item m="1" x="584"/>
        <item m="1" x="585"/>
        <item m="1" x="586"/>
        <item m="1" x="587"/>
        <item m="1" x="588"/>
        <item m="1" x="589"/>
        <item m="1" x="591"/>
        <item m="1" x="593"/>
        <item m="1" x="595"/>
        <item m="1" x="597"/>
        <item m="1" x="598"/>
        <item m="1" x="599"/>
        <item m="1" x="600"/>
        <item m="1" x="601"/>
        <item m="1" x="742"/>
        <item m="1" x="602"/>
        <item m="1" x="603"/>
        <item m="1" x="604"/>
        <item m="1" x="605"/>
        <item m="1" x="607"/>
        <item m="1" x="519"/>
        <item m="1" x="608"/>
        <item m="1" x="609"/>
        <item m="1" x="610"/>
        <item m="1" x="611"/>
        <item m="1" x="612"/>
        <item m="1" x="613"/>
        <item m="1" x="614"/>
        <item m="1" x="616"/>
        <item m="1" x="617"/>
        <item m="1" x="618"/>
        <item m="1" x="619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4"/>
        <item m="1" x="635"/>
        <item m="1" x="636"/>
        <item m="1" x="637"/>
        <item m="1" x="639"/>
        <item m="1" x="640"/>
        <item m="1" x="641"/>
        <item m="1" x="642"/>
        <item m="1" x="1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435"/>
        <item m="1" x="655"/>
        <item m="1" x="656"/>
        <item m="1" x="657"/>
        <item m="1" x="658"/>
        <item x="13"/>
        <item m="1" x="659"/>
        <item m="1" x="661"/>
        <item m="1" x="663"/>
        <item m="1" x="664"/>
        <item m="1" x="665"/>
        <item m="1" x="666"/>
        <item m="1" x="668"/>
        <item m="1" x="669"/>
        <item m="1" x="670"/>
        <item m="1" x="671"/>
        <item m="1" x="672"/>
        <item m="1" x="673"/>
        <item m="1" x="674"/>
        <item m="1" x="221"/>
        <item m="1" x="676"/>
        <item m="1" x="677"/>
        <item m="1" x="678"/>
        <item m="1" x="679"/>
        <item m="1" x="681"/>
        <item m="1" x="682"/>
        <item m="1" x="683"/>
        <item m="1" x="684"/>
        <item m="1" x="685"/>
        <item m="1" x="687"/>
        <item m="1" x="689"/>
        <item m="1" x="690"/>
        <item m="1" x="1528"/>
        <item m="1" x="691"/>
        <item m="1" x="692"/>
        <item m="1" x="693"/>
        <item m="1" x="694"/>
        <item m="1" x="1050"/>
        <item m="1" x="698"/>
        <item m="1" x="470"/>
        <item m="1" x="699"/>
        <item m="1" x="1294"/>
        <item m="1" x="700"/>
        <item m="1" x="701"/>
        <item m="1" x="702"/>
        <item m="1" x="703"/>
        <item m="1" x="704"/>
        <item m="1" x="288"/>
        <item m="1" x="706"/>
        <item m="1" x="707"/>
        <item m="1" x="708"/>
        <item m="1" x="709"/>
        <item m="1" x="99"/>
        <item m="1" x="710"/>
        <item m="1" x="713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7"/>
        <item m="1" x="728"/>
        <item m="1" x="729"/>
        <item m="1" x="337"/>
        <item m="1" x="730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3"/>
        <item m="1" x="404"/>
        <item m="1" x="746"/>
        <item m="1" x="747"/>
        <item m="1" x="748"/>
        <item m="1" x="751"/>
        <item m="1" x="752"/>
        <item m="1" x="753"/>
        <item m="1" x="754"/>
        <item m="1" x="756"/>
        <item m="1" x="757"/>
        <item m="1" x="758"/>
        <item m="1" x="759"/>
        <item m="1" x="760"/>
        <item m="1" x="761"/>
        <item m="1" x="763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498"/>
        <item m="1" x="779"/>
        <item m="1" x="780"/>
        <item m="1" x="781"/>
        <item m="1" x="782"/>
        <item x="4"/>
        <item m="1" x="783"/>
        <item m="1" x="784"/>
        <item m="1" x="785"/>
        <item m="1" x="788"/>
        <item m="1" x="574"/>
        <item m="1" x="789"/>
        <item m="1" x="790"/>
        <item m="1" x="792"/>
        <item m="1" x="793"/>
        <item m="1" x="794"/>
        <item m="1" x="796"/>
        <item m="1" x="797"/>
        <item m="1" x="798"/>
        <item m="1" x="799"/>
        <item m="1" x="800"/>
        <item m="1" x="801"/>
        <item m="1" x="802"/>
        <item m="1" x="803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232"/>
        <item m="1" x="822"/>
        <item m="1" x="264"/>
        <item m="1" x="823"/>
        <item m="1" x="300"/>
        <item m="1" x="824"/>
        <item m="1" x="825"/>
        <item m="1" x="826"/>
        <item m="1" x="827"/>
        <item m="1" x="1346"/>
        <item m="1" x="697"/>
        <item m="1" x="696"/>
        <item m="1" x="828"/>
        <item m="1" x="830"/>
        <item m="1" x="831"/>
        <item m="1" x="833"/>
        <item m="1" x="832"/>
        <item m="1" x="1082"/>
        <item m="1" x="834"/>
        <item m="1" x="538"/>
        <item m="1" x="835"/>
        <item m="1" x="836"/>
        <item m="1" x="837"/>
        <item m="1" x="838"/>
        <item m="1" x="840"/>
        <item m="1" x="841"/>
        <item m="1" x="842"/>
        <item m="1" x="843"/>
        <item m="1" x="844"/>
        <item m="1" x="845"/>
        <item m="1" x="848"/>
        <item m="1" x="847"/>
        <item m="1" x="849"/>
        <item m="1" x="850"/>
        <item m="1" x="851"/>
        <item m="1" x="852"/>
        <item m="1" x="853"/>
        <item m="1" x="854"/>
        <item m="1" x="856"/>
        <item m="1" x="857"/>
        <item m="1" x="858"/>
        <item m="1" x="859"/>
        <item m="1" x="860"/>
        <item m="1" x="861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3"/>
        <item m="1" x="884"/>
        <item m="1" x="885"/>
        <item m="1" x="886"/>
        <item m="1" x="1176"/>
        <item m="1" x="888"/>
        <item m="1" x="889"/>
        <item m="1" x="890"/>
        <item m="1" x="485"/>
        <item m="1" x="891"/>
        <item m="1" x="893"/>
        <item m="1" x="894"/>
        <item m="1" x="895"/>
        <item m="1" x="896"/>
        <item m="1" x="897"/>
        <item m="1" x="892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231"/>
        <item m="1" x="907"/>
        <item m="1" x="908"/>
        <item m="1" x="909"/>
        <item m="1" x="910"/>
        <item m="1" x="911"/>
        <item m="1" x="156"/>
        <item m="1" x="912"/>
        <item m="1" x="913"/>
        <item m="1" x="473"/>
        <item m="1" x="915"/>
        <item m="1" x="917"/>
        <item m="1" x="918"/>
        <item m="1" x="919"/>
        <item m="1" x="920"/>
        <item m="1" x="921"/>
        <item m="1" x="922"/>
        <item m="1" x="924"/>
        <item m="1" x="925"/>
        <item m="1" x="926"/>
        <item m="1" x="928"/>
        <item m="1" x="929"/>
        <item m="1" x="930"/>
        <item m="1" x="931"/>
        <item m="1" x="932"/>
        <item m="1" x="933"/>
        <item m="1" x="934"/>
        <item m="1" x="936"/>
        <item m="1" x="937"/>
        <item m="1" x="938"/>
        <item m="1" x="939"/>
        <item m="1" x="940"/>
        <item m="1" x="941"/>
        <item m="1" x="942"/>
        <item m="1" x="255"/>
        <item m="1" x="944"/>
        <item m="1" x="949"/>
        <item m="1" x="945"/>
        <item m="1" x="946"/>
        <item m="1" x="111"/>
        <item m="1" x="947"/>
        <item m="1" x="948"/>
        <item m="1" x="40"/>
        <item m="1" x="42"/>
        <item m="1" x="43"/>
        <item m="1" x="45"/>
        <item m="1" x="582"/>
        <item m="1" x="49"/>
        <item m="1" x="50"/>
        <item m="1" x="47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6"/>
        <item m="1" x="67"/>
        <item m="1" x="69"/>
        <item m="1" x="71"/>
        <item m="1" x="73"/>
        <item m="1" x="74"/>
        <item m="1" x="75"/>
        <item m="1" x="580"/>
        <item m="1" x="76"/>
        <item m="1" x="79"/>
        <item m="1" x="80"/>
        <item m="1" x="81"/>
        <item m="1" x="82"/>
        <item m="1" x="83"/>
        <item m="1" x="84"/>
        <item m="1" x="85"/>
        <item m="1" x="579"/>
        <item m="1" x="87"/>
        <item m="1" x="88"/>
        <item m="1" x="89"/>
        <item m="1" x="86"/>
        <item m="1" x="90"/>
        <item m="1" x="92"/>
        <item m="1" x="93"/>
        <item m="1" x="94"/>
        <item m="1" x="96"/>
        <item m="1" x="97"/>
        <item m="1" x="98"/>
        <item m="1" x="578"/>
        <item m="1" x="101"/>
        <item m="1" x="103"/>
        <item m="1" x="108"/>
        <item m="1" x="110"/>
        <item m="1" x="112"/>
        <item m="1" x="113"/>
        <item m="1" x="114"/>
        <item m="1" x="115"/>
        <item m="1" x="116"/>
        <item m="1" x="117"/>
        <item m="1" x="118"/>
        <item m="1" x="100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3"/>
        <item m="1" x="134"/>
        <item m="1" x="135"/>
        <item m="1" x="136"/>
        <item m="1" x="137"/>
        <item m="1" x="139"/>
        <item m="1" x="142"/>
        <item m="1" x="143"/>
        <item m="1" x="144"/>
        <item m="1" x="145"/>
        <item m="1" x="147"/>
        <item m="1" x="148"/>
        <item m="1" x="149"/>
        <item m="1" x="150"/>
        <item m="1" x="151"/>
        <item m="1" x="152"/>
        <item m="1" x="575"/>
        <item m="1" x="154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70"/>
        <item m="1" x="172"/>
        <item m="1" x="173"/>
        <item m="1" x="174"/>
        <item m="1" x="175"/>
        <item m="1" x="176"/>
        <item m="1" x="178"/>
        <item m="1" x="179"/>
        <item m="1" x="180"/>
        <item m="1" x="182"/>
        <item m="1" x="183"/>
        <item m="1" x="184"/>
        <item m="1" x="186"/>
        <item m="1" x="187"/>
        <item m="1" x="189"/>
        <item m="1" x="190"/>
        <item m="1" x="191"/>
        <item m="1" x="192"/>
        <item m="1" x="193"/>
        <item m="1" x="194"/>
        <item m="1" x="196"/>
        <item m="1" x="197"/>
        <item m="1" x="198"/>
        <item m="1" x="199"/>
        <item m="1" x="200"/>
        <item m="1" x="205"/>
        <item m="1" x="206"/>
        <item m="1" x="207"/>
        <item m="1" x="209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9"/>
        <item m="1" x="230"/>
        <item m="1" x="220"/>
        <item m="1" x="222"/>
        <item m="1" x="223"/>
        <item m="1" x="224"/>
        <item m="1" x="225"/>
        <item m="1" x="226"/>
        <item m="1" x="227"/>
        <item m="1" x="228"/>
        <item m="1" x="233"/>
        <item m="1" x="234"/>
        <item m="1" x="237"/>
        <item m="1" x="238"/>
        <item m="1" x="240"/>
        <item m="1" x="241"/>
        <item m="1" x="243"/>
        <item m="1" x="244"/>
        <item m="1" x="245"/>
        <item m="1" x="246"/>
        <item m="1" x="248"/>
        <item m="1" x="249"/>
        <item m="1" x="250"/>
        <item m="1" x="251"/>
        <item m="1" x="252"/>
        <item m="1" x="253"/>
        <item m="1" x="254"/>
        <item m="1" x="257"/>
        <item m="1" x="258"/>
        <item m="1" x="259"/>
        <item m="1" x="260"/>
        <item m="1" x="265"/>
        <item m="1" x="266"/>
        <item m="1" x="267"/>
        <item m="1" x="270"/>
        <item m="1" x="271"/>
        <item m="1" x="272"/>
        <item m="1" x="576"/>
        <item m="1" x="274"/>
        <item m="1" x="577"/>
        <item m="1" x="279"/>
        <item m="1" x="281"/>
        <item m="1" x="282"/>
        <item m="1" x="283"/>
        <item m="1" x="284"/>
        <item m="1" x="285"/>
        <item m="1" x="290"/>
        <item m="1" x="291"/>
        <item m="1" x="153"/>
        <item m="1" x="273"/>
        <item m="1" x="275"/>
        <item m="1" x="292"/>
        <item m="1" x="293"/>
        <item m="1" x="294"/>
        <item m="1" x="295"/>
        <item m="1" x="296"/>
        <item m="1" x="297"/>
        <item m="1" x="298"/>
        <item m="1" x="299"/>
        <item m="1" x="301"/>
        <item m="1" x="303"/>
        <item m="1" x="304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7"/>
        <item m="1" x="318"/>
        <item m="1" x="320"/>
        <item m="1" x="321"/>
        <item m="1" x="322"/>
        <item m="1" x="323"/>
        <item m="1" x="325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6"/>
        <item m="1" x="407"/>
        <item m="1" x="408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2"/>
        <item m="1" x="423"/>
        <item m="1" x="424"/>
        <item m="1" x="426"/>
        <item m="1" x="427"/>
        <item m="1" x="428"/>
        <item m="1" x="430"/>
        <item m="1" x="431"/>
        <item m="1" x="432"/>
        <item m="1" x="433"/>
        <item m="1" x="434"/>
        <item m="1" x="437"/>
        <item m="1" x="438"/>
        <item m="1" x="440"/>
        <item m="1" x="441"/>
        <item m="1" x="442"/>
        <item m="1" x="444"/>
        <item m="1" x="445"/>
        <item m="1" x="446"/>
        <item m="1" x="447"/>
        <item m="1" x="449"/>
        <item m="1" x="450"/>
        <item m="1" x="451"/>
        <item m="1" x="452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7"/>
        <item m="1" x="468"/>
        <item m="1" x="469"/>
        <item m="1" x="471"/>
        <item m="1" x="472"/>
        <item m="1" x="474"/>
        <item m="1" x="475"/>
        <item m="1" x="477"/>
        <item m="1" x="478"/>
        <item m="1" x="479"/>
        <item m="1" x="480"/>
        <item m="1" x="482"/>
        <item m="1" x="483"/>
        <item m="1" x="484"/>
        <item m="1" x="571"/>
        <item m="1" x="487"/>
        <item m="1" x="280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9"/>
        <item m="1" x="500"/>
        <item m="1" x="503"/>
        <item m="1" x="507"/>
        <item m="1" x="504"/>
        <item m="1" x="505"/>
        <item m="1" x="506"/>
        <item m="1" x="509"/>
        <item m="1" x="511"/>
        <item m="1" x="512"/>
        <item m="1" x="514"/>
        <item m="1" x="516"/>
        <item m="1" x="572"/>
        <item m="1" x="573"/>
        <item m="1" x="518"/>
        <item m="1" x="520"/>
        <item m="1" x="521"/>
        <item m="1" x="522"/>
        <item m="1" x="523"/>
        <item m="1" x="524"/>
        <item m="1" x="525"/>
        <item m="1" x="526"/>
        <item m="1" x="527"/>
        <item m="1" x="513"/>
        <item m="1" x="529"/>
        <item m="1" x="530"/>
        <item m="1" x="531"/>
        <item m="1" x="532"/>
        <item m="1" x="533"/>
        <item m="1" x="486"/>
        <item m="1" x="535"/>
        <item m="1" x="536"/>
        <item m="1" x="537"/>
        <item m="1" x="539"/>
        <item m="1" x="540"/>
        <item m="1" x="541"/>
        <item m="1" x="542"/>
        <item m="1" x="543"/>
        <item m="1" x="544"/>
        <item m="1" x="545"/>
        <item m="1" x="546"/>
        <item m="1" x="548"/>
        <item m="1" x="549"/>
        <item m="1" x="550"/>
        <item m="1" x="551"/>
        <item m="1" x="552"/>
        <item m="1" x="553"/>
        <item m="1" x="554"/>
        <item m="1" x="556"/>
        <item m="1" x="570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x="7"/>
        <item x="9"/>
        <item x="10"/>
        <item x="12"/>
        <item x="14"/>
        <item x="15"/>
        <item x="16"/>
        <item x="17"/>
        <item x="20"/>
        <item x="22"/>
        <item x="23"/>
        <item x="24"/>
        <item x="27"/>
        <item x="29"/>
        <item x="30"/>
        <item x="31"/>
        <item x="33"/>
        <item m="1" x="38"/>
        <item x="34"/>
        <item x="35"/>
        <item x="3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pageFields count="3">
    <pageField fld="3" item="0" hier="-1"/>
    <pageField fld="7" hier="-1"/>
    <pageField fld="9" hier="-1"/>
  </pageFields>
  <dataFields count="2">
    <dataField name="Količina robe" fld="9" baseField="1" baseItem="1" numFmtId="4"/>
    <dataField name="Vrednost" fld="13" baseField="1" baseItem="1" numFmtId="4"/>
  </dataFields>
  <formats count="1">
    <format dxfId="481">
      <pivotArea field="1" type="button" dataOnly="0" labelOnly="1" outline="0"/>
    </format>
  </formats>
  <pivotTableStyleInfo name="PivotStyleDark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7000000}" name="Izvedena tabela6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R13:S14" firstHeaderRow="0" firstDataRow="1" firstDataCol="0" rowPageCount="3" colPageCount="1"/>
  <pivotFields count="48">
    <pivotField showAll="0" defaultSubtotal="0"/>
    <pivotField numFmtId="167" showAll="0" insertPageBreak="1" includeNewItemsInFilter="1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multipleItemSelectionAllowed="1" showAll="0"/>
    <pivotField showAll="0"/>
    <pivotField multipleItemSelectionAllowed="1" showAll="0"/>
    <pivotField axis="axisPage" multipleItemSelectionAllowed="1" showAll="0">
      <items count="21">
        <item h="1" x="8"/>
        <item h="1" x="12"/>
        <item sd="0" x="0"/>
        <item sd="0" x="2"/>
        <item h="1" sd="0" x="9"/>
        <item h="1" sd="0" x="1"/>
        <item h="1" sd="0" x="4"/>
        <item h="1" sd="0" x="11"/>
        <item sd="0" x="5"/>
        <item h="1" sd="0" x="3"/>
        <item h="1" sd="0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showAll="0"/>
    <pivotField axis="axisPage" dataField="1" showAll="0">
      <items count="1613">
        <item x="2"/>
        <item x="0"/>
        <item x="1"/>
        <item x="3"/>
        <item m="1" x="439"/>
        <item m="1" x="1086"/>
        <item m="1" x="594"/>
        <item m="1" x="1057"/>
        <item m="1" x="1242"/>
        <item m="1" x="969"/>
        <item x="18"/>
        <item m="1" x="476"/>
        <item m="1" x="1170"/>
        <item m="1" x="287"/>
        <item m="1" x="466"/>
        <item m="1" x="177"/>
        <item m="1" x="1460"/>
        <item m="1" x="1309"/>
        <item m="1" x="996"/>
        <item m="1" x="1352"/>
        <item m="1" x="1316"/>
        <item m="1" x="269"/>
        <item m="1" x="1270"/>
        <item m="1" x="41"/>
        <item m="1" x="1258"/>
        <item m="1" x="1046"/>
        <item m="1" x="1012"/>
        <item m="1" x="1093"/>
        <item m="1" x="262"/>
        <item m="1" x="1000"/>
        <item m="1" x="1586"/>
        <item x="21"/>
        <item m="1" x="1523"/>
        <item m="1" x="1251"/>
        <item m="1" x="316"/>
        <item m="1" x="1161"/>
        <item m="1" x="1335"/>
        <item m="1" x="590"/>
        <item m="1" x="235"/>
        <item m="1" x="1124"/>
        <item m="1" x="1327"/>
        <item m="1" x="1183"/>
        <item m="1" x="1400"/>
        <item m="1" x="1156"/>
        <item m="1" x="146"/>
        <item m="1" x="667"/>
        <item m="1" x="247"/>
        <item m="1" x="989"/>
        <item m="1" x="1182"/>
        <item m="1" x="1029"/>
        <item x="32"/>
        <item m="1" x="1373"/>
        <item m="1" x="44"/>
        <item m="1" x="1609"/>
        <item m="1" x="1021"/>
        <item m="1" x="1259"/>
        <item m="1" x="268"/>
        <item m="1" x="1284"/>
        <item m="1" x="1478"/>
        <item m="1" x="1445"/>
        <item m="1" x="1064"/>
        <item m="1" x="1452"/>
        <item m="1" x="1035"/>
        <item m="1" x="1162"/>
        <item m="1" x="278"/>
        <item m="1" x="140"/>
        <item m="1" x="1210"/>
        <item m="1" x="1430"/>
        <item m="1" x="1044"/>
        <item m="1" x="188"/>
        <item m="1" x="1265"/>
        <item m="1" x="1493"/>
        <item m="1" x="239"/>
        <item m="1" x="1056"/>
        <item m="1" x="966"/>
        <item m="1" x="935"/>
        <item m="1" x="1192"/>
        <item m="1" x="1092"/>
        <item m="1" x="1163"/>
        <item m="1" x="453"/>
        <item m="1" x="1205"/>
        <item m="1" x="1085"/>
        <item m="1" x="501"/>
        <item m="1" x="1520"/>
        <item m="1" x="1247"/>
        <item m="1" x="1404"/>
        <item m="1" x="1083"/>
        <item m="1" x="1204"/>
        <item m="1" x="1394"/>
        <item m="1" x="1409"/>
        <item m="1" x="1351"/>
        <item m="1" x="1218"/>
        <item m="1" x="1470"/>
        <item m="1" x="1188"/>
        <item m="1" x="1387"/>
        <item m="1" x="1436"/>
        <item m="1" x="1129"/>
        <item m="1" x="1246"/>
        <item m="1" x="1261"/>
        <item m="1" x="953"/>
        <item m="1" x="1111"/>
        <item m="1" x="1299"/>
        <item m="1" x="1526"/>
        <item m="1" x="1502"/>
        <item m="1" x="1042"/>
        <item m="1" x="1545"/>
        <item m="1" x="993"/>
        <item m="1" x="1139"/>
        <item m="1" x="1467"/>
        <item m="1" x="750"/>
        <item m="1" x="581"/>
        <item m="1" x="1385"/>
        <item m="1" x="1104"/>
        <item m="1" x="596"/>
        <item m="1" x="1233"/>
        <item m="1" x="1018"/>
        <item m="1" x="1382"/>
        <item m="1" x="975"/>
        <item m="1" x="65"/>
        <item m="1" x="1424"/>
        <item m="1" x="1143"/>
        <item m="1" x="236"/>
        <item m="1" x="360"/>
        <item m="1" x="181"/>
        <item m="1" x="1458"/>
        <item m="1" x="1076"/>
        <item m="1" x="1290"/>
        <item m="1" x="1173"/>
        <item m="1" x="981"/>
        <item m="1" x="1325"/>
        <item m="1" x="242"/>
        <item m="1" x="660"/>
        <item m="1" x="1428"/>
        <item m="1" x="1128"/>
        <item m="1" x="1425"/>
        <item m="1" x="620"/>
        <item m="1" x="1571"/>
        <item m="1" x="1027"/>
        <item m="1" x="1168"/>
        <item m="1" x="712"/>
        <item m="1" x="957"/>
        <item m="1" x="741"/>
        <item m="1" x="1004"/>
        <item m="1" x="1499"/>
        <item m="1" x="455"/>
        <item m="1" x="1466"/>
        <item m="1" x="1488"/>
        <item m="1" x="1067"/>
        <item m="1" x="1582"/>
        <item m="1" x="202"/>
        <item m="1" x="502"/>
        <item m="1" x="662"/>
        <item m="1" x="1506"/>
        <item m="1" x="1579"/>
        <item m="1" x="1302"/>
        <item m="1" x="1003"/>
        <item m="1" x="1225"/>
        <item m="1" x="1512"/>
        <item m="1" x="555"/>
        <item m="1" x="1379"/>
        <item m="1" x="409"/>
        <item m="1" x="1266"/>
        <item m="1" x="1473"/>
        <item m="1" x="955"/>
        <item m="1" x="78"/>
        <item m="1" x="1472"/>
        <item m="1" x="405"/>
        <item m="1" x="1020"/>
        <item m="1" x="1159"/>
        <item m="1" x="1295"/>
        <item m="1" x="1476"/>
        <item m="1" x="510"/>
        <item m="1" x="714"/>
        <item m="1" x="1313"/>
        <item m="1" x="1187"/>
        <item m="1" x="731"/>
        <item m="1" x="1240"/>
        <item m="1" x="1191"/>
        <item m="1" x="1019"/>
        <item m="1" x="1361"/>
        <item m="1" x="1434"/>
        <item m="1" x="967"/>
        <item m="1" x="1068"/>
        <item m="1" x="1078"/>
        <item m="1" x="1269"/>
        <item m="1" x="787"/>
        <item m="1" x="1482"/>
        <item m="1" x="995"/>
        <item m="1" x="1567"/>
        <item m="1" x="1241"/>
        <item m="1" x="791"/>
        <item m="1" x="1574"/>
        <item m="1" x="1524"/>
        <item m="1" x="1200"/>
        <item m="1" x="1353"/>
        <item m="1" x="1123"/>
        <item m="1" x="688"/>
        <item m="1" x="1213"/>
        <item m="1" x="1386"/>
        <item m="1" x="997"/>
        <item x="37"/>
        <item m="1" x="954"/>
        <item m="1" x="1120"/>
        <item m="1" x="1283"/>
        <item m="1" x="1584"/>
        <item m="1" x="1509"/>
        <item m="1" x="1342"/>
        <item m="1" x="77"/>
        <item m="1" x="1147"/>
        <item m="1" x="1303"/>
        <item m="1" x="1446"/>
        <item m="1" x="1321"/>
        <item m="1" x="1333"/>
        <item m="1" x="633"/>
        <item m="1" x="1496"/>
        <item m="1" x="1026"/>
        <item m="1" x="1107"/>
        <item m="1" x="1154"/>
        <item m="1" x="1150"/>
        <item m="1" x="1179"/>
        <item m="1" x="1190"/>
        <item m="1" x="1061"/>
        <item m="1" x="994"/>
        <item m="1" x="1227"/>
        <item m="1" x="1100"/>
        <item m="1" x="1471"/>
        <item m="1" x="429"/>
        <item m="1" x="764"/>
        <item m="1" x="755"/>
        <item m="1" x="1468"/>
        <item m="1" x="1553"/>
        <item m="1" x="1257"/>
        <item m="1" x="1110"/>
        <item m="1" x="201"/>
        <item m="1" x="1435"/>
        <item m="1" x="1237"/>
        <item m="1" x="1438"/>
        <item m="1" x="606"/>
        <item m="1" x="1402"/>
        <item m="1" x="795"/>
        <item m="1" x="1300"/>
        <item x="6"/>
        <item m="1" x="1433"/>
        <item m="1" x="105"/>
        <item m="1" x="1529"/>
        <item m="1" x="1032"/>
        <item m="1" x="1431"/>
        <item m="1" x="1312"/>
        <item m="1" x="1275"/>
        <item m="1" x="1541"/>
        <item m="1" x="711"/>
        <item m="1" x="1307"/>
        <item m="1" x="1576"/>
        <item m="1" x="1340"/>
        <item m="1" x="1407"/>
        <item m="1" x="1565"/>
        <item m="1" x="1411"/>
        <item m="1" x="1419"/>
        <item m="1" x="1244"/>
        <item m="1" x="1440"/>
        <item m="1" x="1193"/>
        <item m="1" x="991"/>
        <item x="26"/>
        <item m="1" x="91"/>
        <item m="1" x="987"/>
        <item m="1" x="1011"/>
        <item m="1" x="1196"/>
        <item m="1" x="1603"/>
        <item m="1" x="1511"/>
        <item m="1" x="1389"/>
        <item m="1" x="1090"/>
        <item m="1" x="1117"/>
        <item m="1" x="302"/>
        <item m="1" x="1350"/>
        <item m="1" x="979"/>
        <item m="1" x="481"/>
        <item m="1" x="1338"/>
        <item m="1" x="1230"/>
        <item m="1" x="1461"/>
        <item m="1" x="1355"/>
        <item m="1" x="1380"/>
        <item m="1" x="1561"/>
        <item m="1" x="1505"/>
        <item m="1" x="1106"/>
        <item m="1" x="1252"/>
        <item m="1" x="1547"/>
        <item m="1" x="1537"/>
        <item m="1" x="1008"/>
        <item m="1" x="305"/>
        <item m="1" x="1047"/>
        <item m="1" x="1305"/>
        <item m="1" x="1054"/>
        <item m="1" x="615"/>
        <item m="1" x="171"/>
        <item m="1" x="1522"/>
        <item m="1" x="1070"/>
        <item m="1" x="1556"/>
        <item m="1" x="1040"/>
        <item m="1" x="1322"/>
        <item m="1" x="1611"/>
        <item m="1" x="1420"/>
        <item m="1" x="992"/>
        <item m="1" x="1314"/>
        <item m="1" x="1288"/>
        <item m="1" x="952"/>
        <item m="1" x="1494"/>
        <item m="1" x="1157"/>
        <item m="1" x="1096"/>
        <item m="1" x="1010"/>
        <item m="1" x="1474"/>
        <item m="1" x="109"/>
        <item m="1" x="1432"/>
        <item m="1" x="1444"/>
        <item m="1" x="1013"/>
        <item m="1" x="104"/>
        <item m="1" x="1254"/>
        <item m="1" x="119"/>
        <item m="1" x="1334"/>
        <item m="1" x="1238"/>
        <item m="1" x="1256"/>
        <item m="1" x="726"/>
        <item m="1" x="1564"/>
        <item m="1" x="1362"/>
        <item m="1" x="286"/>
        <item m="1" x="1393"/>
        <item m="1" x="1119"/>
        <item m="1" x="1575"/>
        <item m="1" x="1405"/>
        <item m="1" x="1600"/>
        <item m="1" x="389"/>
        <item m="1" x="1135"/>
        <item m="1" x="950"/>
        <item m="1" x="1525"/>
        <item m="1" x="1336"/>
        <item m="1" x="1587"/>
        <item m="1" x="1103"/>
        <item m="1" x="1024"/>
        <item m="1" x="1073"/>
        <item m="1" x="443"/>
        <item m="1" x="1105"/>
        <item m="1" x="1554"/>
        <item m="1" x="1138"/>
        <item m="1" x="965"/>
        <item m="1" x="1583"/>
        <item m="1" x="1080"/>
        <item m="1" x="1601"/>
        <item m="1" x="1412"/>
        <item m="1" x="1116"/>
        <item m="1" x="107"/>
        <item m="1" x="1311"/>
        <item m="1" x="974"/>
        <item m="1" x="289"/>
        <item m="1" x="675"/>
        <item m="1" x="1588"/>
        <item m="1" x="1596"/>
        <item m="1" x="106"/>
        <item m="1" x="1500"/>
        <item m="1" x="1037"/>
        <item m="1" x="1112"/>
        <item m="1" x="1390"/>
        <item m="1" x="1486"/>
        <item m="1" x="943"/>
        <item m="1" x="958"/>
        <item m="1" x="1226"/>
        <item m="1" x="1175"/>
        <item m="1" x="951"/>
        <item m="1" x="1507"/>
        <item m="1" x="1408"/>
        <item m="1" x="1403"/>
        <item m="1" x="1206"/>
        <item m="1" x="1363"/>
        <item m="1" x="1171"/>
        <item m="1" x="1243"/>
        <item m="1" x="1194"/>
        <item m="1" x="1423"/>
        <item m="1" x="1087"/>
        <item m="1" x="1186"/>
        <item m="1" x="1236"/>
        <item m="1" x="984"/>
        <item m="1" x="326"/>
        <item m="1" x="48"/>
        <item m="1" x="1508"/>
        <item m="1" x="1144"/>
        <item m="1" x="1443"/>
        <item m="1" x="1289"/>
        <item m="1" x="990"/>
        <item m="1" x="1145"/>
        <item m="1" x="1477"/>
        <item m="1" x="1531"/>
        <item m="1" x="1223"/>
        <item m="1" x="749"/>
        <item m="1" x="1345"/>
        <item m="1" x="1344"/>
        <item m="1" x="1292"/>
        <item m="1" x="1153"/>
        <item m="1" x="1459"/>
        <item m="1" x="1484"/>
        <item m="1" x="1356"/>
        <item m="1" x="1580"/>
        <item m="1" x="95"/>
        <item x="19"/>
        <item m="1" x="1510"/>
        <item m="1" x="39"/>
        <item m="1" x="1429"/>
        <item m="1" x="68"/>
        <item m="1" x="185"/>
        <item m="1" x="1293"/>
        <item m="1" x="1301"/>
        <item m="1" x="1286"/>
        <item m="1" x="1199"/>
        <item m="1" x="855"/>
        <item m="1" x="1208"/>
        <item m="1" x="1375"/>
        <item m="1" x="1339"/>
        <item m="1" x="1221"/>
        <item m="1" x="988"/>
        <item m="1" x="534"/>
        <item m="1" x="1228"/>
        <item m="1" x="1297"/>
        <item m="1" x="210"/>
        <item m="1" x="1542"/>
        <item m="1" x="1158"/>
        <item m="1" x="1276"/>
        <item m="1" x="1480"/>
        <item m="1" x="778"/>
        <item m="1" x="1378"/>
        <item m="1" x="1364"/>
        <item m="1" x="745"/>
        <item m="1" x="1527"/>
        <item m="1" x="1017"/>
        <item m="1" x="1329"/>
        <item m="1" x="1264"/>
        <item m="1" x="276"/>
        <item m="1" x="1558"/>
        <item m="1" x="1184"/>
        <item m="1" x="1519"/>
        <item x="5"/>
        <item m="1" x="410"/>
        <item m="1" x="1287"/>
        <item m="1" x="195"/>
        <item m="1" x="744"/>
        <item m="1" x="638"/>
        <item m="1" x="421"/>
        <item m="1" x="1464"/>
        <item m="1" x="436"/>
        <item m="1" x="138"/>
        <item m="1" x="1398"/>
        <item m="1" x="1146"/>
        <item m="1" x="1152"/>
        <item m="1" x="1214"/>
        <item m="1" x="1371"/>
        <item m="1" x="1142"/>
        <item m="1" x="846"/>
        <item m="1" x="839"/>
        <item m="1" x="1232"/>
        <item m="1" x="1062"/>
        <item m="1" x="986"/>
        <item m="1" x="1376"/>
        <item m="1" x="1094"/>
        <item m="1" x="1005"/>
        <item m="1" x="1610"/>
        <item m="1" x="1166"/>
        <item m="1" x="887"/>
        <item m="1" x="1552"/>
        <item m="1" x="1023"/>
        <item m="1" x="72"/>
        <item m="1" x="786"/>
        <item m="1" x="1306"/>
        <item m="1" x="1291"/>
        <item m="1" x="1395"/>
        <item m="1" x="1121"/>
        <item m="1" x="1317"/>
        <item m="1" x="1045"/>
        <item m="1" x="1369"/>
        <item m="1" x="263"/>
        <item m="1" x="1137"/>
        <item m="1" x="1239"/>
        <item m="1" x="203"/>
        <item m="1" x="1465"/>
        <item m="1" x="1222"/>
        <item m="1" x="1212"/>
        <item m="1" x="1267"/>
        <item m="1" x="968"/>
        <item m="1" x="1022"/>
        <item m="1" x="1298"/>
        <item m="1" x="1324"/>
        <item m="1" x="970"/>
        <item m="1" x="169"/>
        <item m="1" x="1377"/>
        <item m="1" x="1451"/>
        <item m="1" x="1048"/>
        <item m="1" x="319"/>
        <item m="1" x="277"/>
        <item m="1" x="1220"/>
        <item m="1" x="1497"/>
        <item m="1" x="1130"/>
        <item m="1" x="1209"/>
        <item m="1" x="1052"/>
        <item m="1" x="1399"/>
        <item m="1" x="1417"/>
        <item m="1" x="1406"/>
        <item m="1" x="1347"/>
        <item m="1" x="1449"/>
        <item x="8"/>
        <item m="1" x="1532"/>
        <item m="1" x="1310"/>
        <item m="1" x="1590"/>
        <item m="1" x="1540"/>
        <item m="1" x="1097"/>
        <item m="1" x="1006"/>
        <item m="1" x="1448"/>
        <item m="1" x="1069"/>
        <item m="1" x="1418"/>
        <item m="1" x="1031"/>
        <item m="1" x="998"/>
        <item m="1" x="1189"/>
        <item m="1" x="1091"/>
        <item m="1" x="1462"/>
        <item m="1" x="1084"/>
        <item m="1" x="1059"/>
        <item m="1" x="1450"/>
        <item m="1" x="1463"/>
        <item x="25"/>
        <item m="1" x="1605"/>
        <item m="1" x="1384"/>
        <item m="1" x="695"/>
        <item m="1" x="1195"/>
        <item m="1" x="1383"/>
        <item m="1" x="1513"/>
        <item m="1" x="1095"/>
        <item m="1" x="1178"/>
        <item m="1" x="1447"/>
        <item m="1" x="261"/>
        <item m="1" x="1535"/>
        <item m="1" x="1481"/>
        <item m="1" x="1245"/>
        <item m="1" x="1014"/>
        <item m="1" x="1172"/>
        <item m="1" x="1009"/>
        <item m="1" x="882"/>
        <item m="1" x="1401"/>
        <item m="1" x="1543"/>
        <item m="1" x="1546"/>
        <item m="1" x="1566"/>
        <item m="1" x="1315"/>
        <item m="1" x="1071"/>
        <item m="1" x="1169"/>
        <item m="1" x="1492"/>
        <item m="1" x="1563"/>
        <item m="1" x="1453"/>
        <item m="1" x="1079"/>
        <item m="1" x="1489"/>
        <item m="1" x="1098"/>
        <item m="1" x="102"/>
        <item m="1" x="1134"/>
        <item m="1" x="1572"/>
        <item m="1" x="1148"/>
        <item m="1" x="1164"/>
        <item x="28"/>
        <item m="1" x="1177"/>
        <item m="1" x="1155"/>
        <item m="1" x="973"/>
        <item m="1" x="1039"/>
        <item m="1" x="1181"/>
        <item m="1" x="1216"/>
        <item m="1" x="977"/>
        <item m="1" x="1279"/>
        <item m="1" x="1332"/>
        <item m="1" x="1559"/>
        <item m="1" x="1131"/>
        <item m="1" x="1560"/>
        <item m="1" x="1413"/>
        <item m="1" x="1331"/>
        <item m="1" x="1570"/>
        <item m="1" x="872"/>
        <item m="1" x="1562"/>
        <item m="1" x="1273"/>
        <item m="1" x="1149"/>
        <item m="1" x="1551"/>
        <item m="1" x="1211"/>
        <item m="1" x="1602"/>
        <item m="1" x="1491"/>
        <item m="1" x="1454"/>
        <item m="1" x="1328"/>
        <item m="1" x="1456"/>
        <item m="1" x="1483"/>
        <item m="1" x="1081"/>
        <item m="1" x="1422"/>
        <item m="1" x="1101"/>
        <item m="1" x="980"/>
        <item m="1" x="1354"/>
        <item m="1" x="1530"/>
        <item m="1" x="804"/>
        <item m="1" x="547"/>
        <item m="1" x="1538"/>
        <item m="1" x="1058"/>
        <item m="1" x="1102"/>
        <item m="1" x="1343"/>
        <item m="1" x="1349"/>
        <item m="1" x="1359"/>
        <item m="1" x="1604"/>
        <item m="1" x="1599"/>
        <item m="1" x="1594"/>
        <item m="1" x="1521"/>
        <item m="1" x="155"/>
        <item m="1" x="208"/>
        <item m="1" x="1514"/>
        <item m="1" x="1033"/>
        <item m="1" x="1099"/>
        <item m="1" x="1534"/>
        <item m="1" x="999"/>
        <item m="1" x="1365"/>
        <item m="1" x="1504"/>
        <item m="1" x="1437"/>
        <item m="1" x="1028"/>
        <item m="1" x="1043"/>
        <item m="1" x="1557"/>
        <item m="1" x="1595"/>
        <item m="1" x="1088"/>
        <item m="1" x="1592"/>
        <item m="1" x="1235"/>
        <item m="1" x="517"/>
        <item m="1" x="1282"/>
        <item m="1" x="1501"/>
        <item m="1" x="1479"/>
        <item m="1" x="1544"/>
        <item m="1" x="962"/>
        <item m="1" x="1125"/>
        <item m="1" x="1426"/>
        <item m="1" x="1392"/>
        <item m="1" x="976"/>
        <item m="1" x="1231"/>
        <item m="1" x="1589"/>
        <item m="1" x="1475"/>
        <item m="1" x="1165"/>
        <item m="1" x="1319"/>
        <item m="1" x="1271"/>
        <item m="1" x="982"/>
        <item m="1" x="1274"/>
        <item m="1" x="1167"/>
        <item m="1" x="1060"/>
        <item m="1" x="1539"/>
        <item m="1" x="1490"/>
        <item m="1" x="680"/>
        <item m="1" x="762"/>
        <item m="1" x="1113"/>
        <item m="1" x="1410"/>
        <item m="1" x="1396"/>
        <item m="1" x="1515"/>
        <item m="1" x="1597"/>
        <item m="1" x="1198"/>
        <item m="1" x="1427"/>
        <item m="1" x="1001"/>
        <item m="1" x="1568"/>
        <item m="1" x="1077"/>
        <item m="1" x="1391"/>
        <item m="1" x="454"/>
        <item m="1" x="686"/>
        <item m="1" x="1108"/>
        <item m="1" x="1581"/>
        <item m="1" x="1442"/>
        <item m="1" x="1038"/>
        <item m="1" x="1255"/>
        <item m="1" x="971"/>
        <item m="1" x="1439"/>
        <item m="1" x="1415"/>
        <item m="1" x="1075"/>
        <item m="1" x="515"/>
        <item m="1" x="1215"/>
        <item m="1" x="1593"/>
        <item m="1" x="1025"/>
        <item m="1" x="1367"/>
        <item m="1" x="1229"/>
        <item m="1" x="1536"/>
        <item m="1" x="1318"/>
        <item m="1" x="1608"/>
        <item m="1" x="1372"/>
        <item m="1" x="1030"/>
        <item m="1" x="592"/>
        <item m="1" x="1280"/>
        <item m="1" x="862"/>
        <item m="1" x="1517"/>
        <item m="1" x="1201"/>
        <item m="1" x="1272"/>
        <item m="1" x="1281"/>
        <item m="1" x="1253"/>
        <item m="1" x="960"/>
        <item m="1" x="1034"/>
        <item m="1" x="1469"/>
        <item m="1" x="1516"/>
        <item m="1" x="1326"/>
        <item m="1" x="1132"/>
        <item m="1" x="1262"/>
        <item m="1" x="1388"/>
        <item m="1" x="1337"/>
        <item m="1" x="1368"/>
        <item m="1" x="324"/>
        <item m="1" x="1126"/>
        <item m="1" x="705"/>
        <item m="1" x="132"/>
        <item m="1" x="927"/>
        <item m="1" x="1416"/>
        <item m="1" x="1224"/>
        <item m="1" x="1234"/>
        <item m="1" x="956"/>
        <item m="1" x="1036"/>
        <item m="1" x="1277"/>
        <item m="1" x="1115"/>
        <item m="1" x="1203"/>
        <item m="1" x="1578"/>
        <item m="1" x="1207"/>
        <item m="1" x="1114"/>
        <item m="1" x="1487"/>
        <item m="1" x="1495"/>
        <item m="1" x="1606"/>
        <item m="1" x="1185"/>
        <item m="1" x="1357"/>
        <item m="1" x="1065"/>
        <item m="1" x="1296"/>
        <item m="1" x="1573"/>
        <item m="1" x="1498"/>
        <item m="1" x="1160"/>
        <item m="1" x="1250"/>
        <item m="1" x="1569"/>
        <item m="1" x="1007"/>
        <item m="1" x="1015"/>
        <item m="1" x="1550"/>
        <item m="1" x="1260"/>
        <item m="1" x="70"/>
        <item m="1" x="1457"/>
        <item m="1" x="1066"/>
        <item m="1" x="963"/>
        <item m="1" x="961"/>
        <item m="1" x="1072"/>
        <item m="1" x="1109"/>
        <item m="1" x="1141"/>
        <item m="1" x="1063"/>
        <item m="1" x="1598"/>
        <item m="1" x="1549"/>
        <item m="1" x="1348"/>
        <item m="1" x="1217"/>
        <item m="1" x="978"/>
        <item m="1" x="1397"/>
        <item m="1" x="1197"/>
        <item m="1" x="1202"/>
        <item m="1" x="1127"/>
        <item m="1" x="1118"/>
        <item m="1" x="1268"/>
        <item m="1" x="1055"/>
        <item m="1" x="1053"/>
        <item m="1" x="1285"/>
        <item m="1" x="1503"/>
        <item m="1" x="1374"/>
        <item m="1" x="1304"/>
        <item m="1" x="1089"/>
        <item m="1" x="1308"/>
        <item m="1" x="1455"/>
        <item m="1" x="425"/>
        <item m="1" x="1366"/>
        <item m="1" x="1248"/>
        <item m="1" x="1607"/>
        <item m="1" x="829"/>
        <item m="1" x="1140"/>
        <item m="1" x="1074"/>
        <item m="1" x="1555"/>
        <item m="1" x="1122"/>
        <item m="1" x="1441"/>
        <item m="1" x="256"/>
        <item m="1" x="1174"/>
        <item m="1" x="1263"/>
        <item m="1" x="1358"/>
        <item m="1" x="528"/>
        <item m="1" x="1414"/>
        <item m="1" x="1421"/>
        <item m="1" x="972"/>
        <item m="1" x="1548"/>
        <item m="1" x="1485"/>
        <item m="1" x="1381"/>
        <item m="1" x="914"/>
        <item m="1" x="508"/>
        <item m="1" x="725"/>
        <item m="1" x="46"/>
        <item m="1" x="448"/>
        <item m="1" x="1180"/>
        <item m="1" x="1577"/>
        <item m="1" x="1002"/>
        <item m="1" x="1278"/>
        <item m="1" x="1323"/>
        <item m="1" x="983"/>
        <item m="1" x="1051"/>
        <item m="1" x="1591"/>
        <item m="1" x="1320"/>
        <item m="1" x="1151"/>
        <item m="1" x="923"/>
        <item m="1" x="1370"/>
        <item m="1" x="964"/>
        <item m="1" x="916"/>
        <item m="1" x="1133"/>
        <item m="1" x="1330"/>
        <item m="1" x="1533"/>
        <item m="1" x="1360"/>
        <item m="1" x="1049"/>
        <item m="1" x="1136"/>
        <item m="1" x="1219"/>
        <item m="1" x="985"/>
        <item m="1" x="1341"/>
        <item x="11"/>
        <item m="1" x="1016"/>
        <item m="1" x="1585"/>
        <item m="1" x="1518"/>
        <item m="1" x="777"/>
        <item m="1" x="1041"/>
        <item m="1" x="1249"/>
        <item m="1" x="959"/>
        <item m="1" x="583"/>
        <item m="1" x="204"/>
        <item m="1" x="584"/>
        <item m="1" x="585"/>
        <item m="1" x="586"/>
        <item m="1" x="587"/>
        <item m="1" x="588"/>
        <item m="1" x="589"/>
        <item m="1" x="591"/>
        <item m="1" x="593"/>
        <item m="1" x="595"/>
        <item m="1" x="597"/>
        <item m="1" x="598"/>
        <item m="1" x="599"/>
        <item m="1" x="600"/>
        <item m="1" x="601"/>
        <item m="1" x="742"/>
        <item m="1" x="602"/>
        <item m="1" x="603"/>
        <item m="1" x="604"/>
        <item m="1" x="605"/>
        <item m="1" x="607"/>
        <item m="1" x="519"/>
        <item m="1" x="608"/>
        <item m="1" x="609"/>
        <item m="1" x="610"/>
        <item m="1" x="611"/>
        <item m="1" x="612"/>
        <item m="1" x="613"/>
        <item m="1" x="614"/>
        <item m="1" x="616"/>
        <item m="1" x="617"/>
        <item m="1" x="618"/>
        <item m="1" x="619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4"/>
        <item m="1" x="635"/>
        <item m="1" x="636"/>
        <item m="1" x="637"/>
        <item m="1" x="639"/>
        <item m="1" x="640"/>
        <item m="1" x="641"/>
        <item m="1" x="642"/>
        <item m="1" x="1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435"/>
        <item m="1" x="655"/>
        <item m="1" x="656"/>
        <item m="1" x="657"/>
        <item m="1" x="658"/>
        <item x="13"/>
        <item m="1" x="659"/>
        <item m="1" x="661"/>
        <item m="1" x="663"/>
        <item m="1" x="664"/>
        <item m="1" x="665"/>
        <item m="1" x="666"/>
        <item m="1" x="668"/>
        <item m="1" x="669"/>
        <item m="1" x="670"/>
        <item m="1" x="671"/>
        <item m="1" x="672"/>
        <item m="1" x="673"/>
        <item m="1" x="674"/>
        <item m="1" x="221"/>
        <item m="1" x="676"/>
        <item m="1" x="677"/>
        <item m="1" x="678"/>
        <item m="1" x="679"/>
        <item m="1" x="681"/>
        <item m="1" x="682"/>
        <item m="1" x="683"/>
        <item m="1" x="684"/>
        <item m="1" x="685"/>
        <item m="1" x="687"/>
        <item m="1" x="689"/>
        <item m="1" x="690"/>
        <item m="1" x="1528"/>
        <item m="1" x="691"/>
        <item m="1" x="692"/>
        <item m="1" x="693"/>
        <item m="1" x="694"/>
        <item m="1" x="1050"/>
        <item m="1" x="698"/>
        <item m="1" x="470"/>
        <item m="1" x="699"/>
        <item m="1" x="1294"/>
        <item m="1" x="700"/>
        <item m="1" x="701"/>
        <item m="1" x="702"/>
        <item m="1" x="703"/>
        <item m="1" x="704"/>
        <item m="1" x="288"/>
        <item m="1" x="706"/>
        <item m="1" x="707"/>
        <item m="1" x="708"/>
        <item m="1" x="709"/>
        <item m="1" x="99"/>
        <item m="1" x="710"/>
        <item m="1" x="713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7"/>
        <item m="1" x="728"/>
        <item m="1" x="729"/>
        <item m="1" x="337"/>
        <item m="1" x="730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3"/>
        <item m="1" x="404"/>
        <item m="1" x="746"/>
        <item m="1" x="747"/>
        <item m="1" x="748"/>
        <item m="1" x="751"/>
        <item m="1" x="752"/>
        <item m="1" x="753"/>
        <item m="1" x="754"/>
        <item m="1" x="756"/>
        <item m="1" x="757"/>
        <item m="1" x="758"/>
        <item m="1" x="759"/>
        <item m="1" x="760"/>
        <item m="1" x="761"/>
        <item m="1" x="763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498"/>
        <item m="1" x="779"/>
        <item m="1" x="780"/>
        <item m="1" x="781"/>
        <item m="1" x="782"/>
        <item x="4"/>
        <item m="1" x="783"/>
        <item m="1" x="784"/>
        <item m="1" x="785"/>
        <item m="1" x="788"/>
        <item m="1" x="574"/>
        <item m="1" x="789"/>
        <item m="1" x="790"/>
        <item m="1" x="792"/>
        <item m="1" x="793"/>
        <item m="1" x="794"/>
        <item m="1" x="796"/>
        <item m="1" x="797"/>
        <item m="1" x="798"/>
        <item m="1" x="799"/>
        <item m="1" x="800"/>
        <item m="1" x="801"/>
        <item m="1" x="802"/>
        <item m="1" x="803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232"/>
        <item m="1" x="822"/>
        <item m="1" x="264"/>
        <item m="1" x="823"/>
        <item m="1" x="300"/>
        <item m="1" x="824"/>
        <item m="1" x="825"/>
        <item m="1" x="826"/>
        <item m="1" x="827"/>
        <item m="1" x="1346"/>
        <item m="1" x="697"/>
        <item m="1" x="696"/>
        <item m="1" x="828"/>
        <item m="1" x="830"/>
        <item m="1" x="831"/>
        <item m="1" x="833"/>
        <item m="1" x="832"/>
        <item m="1" x="1082"/>
        <item m="1" x="834"/>
        <item m="1" x="538"/>
        <item m="1" x="835"/>
        <item m="1" x="836"/>
        <item m="1" x="837"/>
        <item m="1" x="838"/>
        <item m="1" x="840"/>
        <item m="1" x="841"/>
        <item m="1" x="842"/>
        <item m="1" x="843"/>
        <item m="1" x="844"/>
        <item m="1" x="845"/>
        <item m="1" x="848"/>
        <item m="1" x="847"/>
        <item m="1" x="849"/>
        <item m="1" x="850"/>
        <item m="1" x="851"/>
        <item m="1" x="852"/>
        <item m="1" x="853"/>
        <item m="1" x="854"/>
        <item m="1" x="856"/>
        <item m="1" x="857"/>
        <item m="1" x="858"/>
        <item m="1" x="859"/>
        <item m="1" x="860"/>
        <item m="1" x="861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3"/>
        <item m="1" x="884"/>
        <item m="1" x="885"/>
        <item m="1" x="886"/>
        <item m="1" x="1176"/>
        <item m="1" x="888"/>
        <item m="1" x="889"/>
        <item m="1" x="890"/>
        <item m="1" x="485"/>
        <item m="1" x="891"/>
        <item m="1" x="893"/>
        <item m="1" x="894"/>
        <item m="1" x="895"/>
        <item m="1" x="896"/>
        <item m="1" x="897"/>
        <item m="1" x="892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231"/>
        <item m="1" x="907"/>
        <item m="1" x="908"/>
        <item m="1" x="909"/>
        <item m="1" x="910"/>
        <item m="1" x="911"/>
        <item m="1" x="156"/>
        <item m="1" x="912"/>
        <item m="1" x="913"/>
        <item m="1" x="473"/>
        <item m="1" x="915"/>
        <item m="1" x="917"/>
        <item m="1" x="918"/>
        <item m="1" x="919"/>
        <item m="1" x="920"/>
        <item m="1" x="921"/>
        <item m="1" x="922"/>
        <item m="1" x="924"/>
        <item m="1" x="925"/>
        <item m="1" x="926"/>
        <item m="1" x="928"/>
        <item m="1" x="929"/>
        <item m="1" x="930"/>
        <item m="1" x="931"/>
        <item m="1" x="932"/>
        <item m="1" x="933"/>
        <item m="1" x="934"/>
        <item m="1" x="936"/>
        <item m="1" x="937"/>
        <item m="1" x="938"/>
        <item m="1" x="939"/>
        <item m="1" x="940"/>
        <item m="1" x="941"/>
        <item m="1" x="942"/>
        <item m="1" x="255"/>
        <item m="1" x="944"/>
        <item m="1" x="949"/>
        <item m="1" x="945"/>
        <item m="1" x="946"/>
        <item m="1" x="111"/>
        <item m="1" x="947"/>
        <item m="1" x="948"/>
        <item m="1" x="40"/>
        <item m="1" x="42"/>
        <item m="1" x="43"/>
        <item m="1" x="45"/>
        <item m="1" x="582"/>
        <item m="1" x="49"/>
        <item m="1" x="50"/>
        <item m="1" x="47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6"/>
        <item m="1" x="67"/>
        <item m="1" x="69"/>
        <item m="1" x="71"/>
        <item m="1" x="73"/>
        <item m="1" x="74"/>
        <item m="1" x="75"/>
        <item m="1" x="580"/>
        <item m="1" x="76"/>
        <item m="1" x="79"/>
        <item m="1" x="80"/>
        <item m="1" x="81"/>
        <item m="1" x="82"/>
        <item m="1" x="83"/>
        <item m="1" x="84"/>
        <item m="1" x="85"/>
        <item m="1" x="579"/>
        <item m="1" x="87"/>
        <item m="1" x="88"/>
        <item m="1" x="89"/>
        <item m="1" x="86"/>
        <item m="1" x="90"/>
        <item m="1" x="92"/>
        <item m="1" x="93"/>
        <item m="1" x="94"/>
        <item m="1" x="96"/>
        <item m="1" x="97"/>
        <item m="1" x="98"/>
        <item m="1" x="578"/>
        <item m="1" x="101"/>
        <item m="1" x="103"/>
        <item m="1" x="108"/>
        <item m="1" x="110"/>
        <item m="1" x="112"/>
        <item m="1" x="113"/>
        <item m="1" x="114"/>
        <item m="1" x="115"/>
        <item m="1" x="116"/>
        <item m="1" x="117"/>
        <item m="1" x="118"/>
        <item m="1" x="100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3"/>
        <item m="1" x="134"/>
        <item m="1" x="135"/>
        <item m="1" x="136"/>
        <item m="1" x="137"/>
        <item m="1" x="139"/>
        <item m="1" x="142"/>
        <item m="1" x="143"/>
        <item m="1" x="144"/>
        <item m="1" x="145"/>
        <item m="1" x="147"/>
        <item m="1" x="148"/>
        <item m="1" x="149"/>
        <item m="1" x="150"/>
        <item m="1" x="151"/>
        <item m="1" x="152"/>
        <item m="1" x="575"/>
        <item m="1" x="154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70"/>
        <item m="1" x="172"/>
        <item m="1" x="173"/>
        <item m="1" x="174"/>
        <item m="1" x="175"/>
        <item m="1" x="176"/>
        <item m="1" x="178"/>
        <item m="1" x="179"/>
        <item m="1" x="180"/>
        <item m="1" x="182"/>
        <item m="1" x="183"/>
        <item m="1" x="184"/>
        <item m="1" x="186"/>
        <item m="1" x="187"/>
        <item m="1" x="189"/>
        <item m="1" x="190"/>
        <item m="1" x="191"/>
        <item m="1" x="192"/>
        <item m="1" x="193"/>
        <item m="1" x="194"/>
        <item m="1" x="196"/>
        <item m="1" x="197"/>
        <item m="1" x="198"/>
        <item m="1" x="199"/>
        <item m="1" x="200"/>
        <item m="1" x="205"/>
        <item m="1" x="206"/>
        <item m="1" x="207"/>
        <item m="1" x="209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9"/>
        <item m="1" x="230"/>
        <item m="1" x="220"/>
        <item m="1" x="222"/>
        <item m="1" x="223"/>
        <item m="1" x="224"/>
        <item m="1" x="225"/>
        <item m="1" x="226"/>
        <item m="1" x="227"/>
        <item m="1" x="228"/>
        <item m="1" x="233"/>
        <item m="1" x="234"/>
        <item m="1" x="237"/>
        <item m="1" x="238"/>
        <item m="1" x="240"/>
        <item m="1" x="241"/>
        <item m="1" x="243"/>
        <item m="1" x="244"/>
        <item m="1" x="245"/>
        <item m="1" x="246"/>
        <item m="1" x="248"/>
        <item m="1" x="249"/>
        <item m="1" x="250"/>
        <item m="1" x="251"/>
        <item m="1" x="252"/>
        <item m="1" x="253"/>
        <item m="1" x="254"/>
        <item m="1" x="257"/>
        <item m="1" x="258"/>
        <item m="1" x="259"/>
        <item m="1" x="260"/>
        <item m="1" x="265"/>
        <item m="1" x="266"/>
        <item m="1" x="267"/>
        <item m="1" x="270"/>
        <item m="1" x="271"/>
        <item m="1" x="272"/>
        <item m="1" x="576"/>
        <item m="1" x="274"/>
        <item m="1" x="577"/>
        <item m="1" x="279"/>
        <item m="1" x="281"/>
        <item m="1" x="282"/>
        <item m="1" x="283"/>
        <item m="1" x="284"/>
        <item m="1" x="285"/>
        <item m="1" x="290"/>
        <item m="1" x="291"/>
        <item m="1" x="153"/>
        <item m="1" x="273"/>
        <item m="1" x="275"/>
        <item m="1" x="292"/>
        <item m="1" x="293"/>
        <item m="1" x="294"/>
        <item m="1" x="295"/>
        <item m="1" x="296"/>
        <item m="1" x="297"/>
        <item m="1" x="298"/>
        <item m="1" x="299"/>
        <item m="1" x="301"/>
        <item m="1" x="303"/>
        <item m="1" x="304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7"/>
        <item m="1" x="318"/>
        <item m="1" x="320"/>
        <item m="1" x="321"/>
        <item m="1" x="322"/>
        <item m="1" x="323"/>
        <item m="1" x="325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6"/>
        <item m="1" x="407"/>
        <item m="1" x="408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2"/>
        <item m="1" x="423"/>
        <item m="1" x="424"/>
        <item m="1" x="426"/>
        <item m="1" x="427"/>
        <item m="1" x="428"/>
        <item m="1" x="430"/>
        <item m="1" x="431"/>
        <item m="1" x="432"/>
        <item m="1" x="433"/>
        <item m="1" x="434"/>
        <item m="1" x="437"/>
        <item m="1" x="438"/>
        <item m="1" x="440"/>
        <item m="1" x="441"/>
        <item m="1" x="442"/>
        <item m="1" x="444"/>
        <item m="1" x="445"/>
        <item m="1" x="446"/>
        <item m="1" x="447"/>
        <item m="1" x="449"/>
        <item m="1" x="450"/>
        <item m="1" x="451"/>
        <item m="1" x="452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7"/>
        <item m="1" x="468"/>
        <item m="1" x="469"/>
        <item m="1" x="471"/>
        <item m="1" x="472"/>
        <item m="1" x="474"/>
        <item m="1" x="475"/>
        <item m="1" x="477"/>
        <item m="1" x="478"/>
        <item m="1" x="479"/>
        <item m="1" x="480"/>
        <item m="1" x="482"/>
        <item m="1" x="483"/>
        <item m="1" x="484"/>
        <item m="1" x="571"/>
        <item m="1" x="487"/>
        <item m="1" x="280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9"/>
        <item m="1" x="500"/>
        <item m="1" x="503"/>
        <item m="1" x="507"/>
        <item m="1" x="504"/>
        <item m="1" x="505"/>
        <item m="1" x="506"/>
        <item m="1" x="509"/>
        <item m="1" x="511"/>
        <item m="1" x="512"/>
        <item m="1" x="514"/>
        <item m="1" x="516"/>
        <item m="1" x="572"/>
        <item m="1" x="573"/>
        <item m="1" x="518"/>
        <item m="1" x="520"/>
        <item m="1" x="521"/>
        <item m="1" x="522"/>
        <item m="1" x="523"/>
        <item m="1" x="524"/>
        <item m="1" x="525"/>
        <item m="1" x="526"/>
        <item m="1" x="527"/>
        <item m="1" x="513"/>
        <item m="1" x="529"/>
        <item m="1" x="530"/>
        <item m="1" x="531"/>
        <item m="1" x="532"/>
        <item m="1" x="533"/>
        <item m="1" x="486"/>
        <item m="1" x="535"/>
        <item m="1" x="536"/>
        <item m="1" x="537"/>
        <item m="1" x="539"/>
        <item m="1" x="540"/>
        <item m="1" x="541"/>
        <item m="1" x="542"/>
        <item m="1" x="543"/>
        <item m="1" x="544"/>
        <item m="1" x="545"/>
        <item m="1" x="546"/>
        <item m="1" x="548"/>
        <item m="1" x="549"/>
        <item m="1" x="550"/>
        <item m="1" x="551"/>
        <item m="1" x="552"/>
        <item m="1" x="553"/>
        <item m="1" x="554"/>
        <item m="1" x="556"/>
        <item m="1" x="570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x="7"/>
        <item x="9"/>
        <item x="10"/>
        <item x="12"/>
        <item x="14"/>
        <item x="15"/>
        <item x="16"/>
        <item x="17"/>
        <item x="20"/>
        <item x="22"/>
        <item x="23"/>
        <item x="24"/>
        <item x="27"/>
        <item x="29"/>
        <item x="30"/>
        <item x="31"/>
        <item x="33"/>
        <item m="1" x="38"/>
        <item x="34"/>
        <item x="35"/>
        <item x="3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pageFields count="3">
    <pageField fld="3" item="0" hier="-1"/>
    <pageField fld="7" hier="-1"/>
    <pageField fld="9" hier="-1"/>
  </pageFields>
  <dataFields count="2">
    <dataField name="Količina robe" fld="9" baseField="1" baseItem="1" numFmtId="4"/>
    <dataField name="Vrednost" fld="13" baseField="1" baseItem="1" numFmtId="4"/>
  </dataFields>
  <formats count="1">
    <format dxfId="482">
      <pivotArea field="1" type="button" dataOnly="0" labelOnly="1" outline="0"/>
    </format>
  </formats>
  <pivotTableStyleInfo name="PivotStyleDark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Izvedena tabela12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R34:S35" firstHeaderRow="0" firstDataRow="1" firstDataCol="0" rowPageCount="3" colPageCount="1"/>
  <pivotFields count="48">
    <pivotField showAll="0" defaultSubtotal="0"/>
    <pivotField numFmtId="167" showAll="0" insertPageBreak="1" includeNewItemsInFilter="1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multipleItemSelectionAllowed="1" showAll="0"/>
    <pivotField showAll="0"/>
    <pivotField multipleItemSelectionAllowed="1" showAll="0"/>
    <pivotField axis="axisPage" multipleItemSelectionAllowed="1" showAll="0">
      <items count="21">
        <item h="1" x="8"/>
        <item h="1" x="12"/>
        <item h="1" sd="0" x="0"/>
        <item h="1" sd="0" x="2"/>
        <item h="1" sd="0" x="9"/>
        <item h="1" sd="0" x="1"/>
        <item h="1" sd="0" x="4"/>
        <item h="1" sd="0" x="11"/>
        <item h="1" sd="0" x="5"/>
        <item h="1" sd="0" x="3"/>
        <item h="1" sd="0" x="7"/>
        <item h="1" x="10"/>
        <item x="13"/>
        <item h="1" x="15"/>
        <item x="14"/>
        <item h="1" x="6"/>
        <item h="1" m="1" x="18"/>
        <item h="1" x="16"/>
        <item h="1" m="1" x="17"/>
        <item h="1" m="1" x="19"/>
        <item t="default"/>
      </items>
    </pivotField>
    <pivotField showAll="0"/>
    <pivotField axis="axisPage" dataField="1" showAll="0">
      <items count="1613">
        <item x="2"/>
        <item x="0"/>
        <item x="1"/>
        <item x="3"/>
        <item m="1" x="439"/>
        <item m="1" x="1086"/>
        <item m="1" x="594"/>
        <item m="1" x="1057"/>
        <item m="1" x="1242"/>
        <item m="1" x="969"/>
        <item x="18"/>
        <item m="1" x="476"/>
        <item m="1" x="1170"/>
        <item m="1" x="287"/>
        <item m="1" x="466"/>
        <item m="1" x="177"/>
        <item m="1" x="1460"/>
        <item m="1" x="1309"/>
        <item m="1" x="996"/>
        <item m="1" x="1352"/>
        <item m="1" x="1316"/>
        <item m="1" x="269"/>
        <item m="1" x="1270"/>
        <item m="1" x="41"/>
        <item m="1" x="1258"/>
        <item m="1" x="1046"/>
        <item m="1" x="1012"/>
        <item m="1" x="1093"/>
        <item m="1" x="262"/>
        <item m="1" x="1000"/>
        <item m="1" x="1586"/>
        <item x="21"/>
        <item m="1" x="1523"/>
        <item m="1" x="1251"/>
        <item m="1" x="316"/>
        <item m="1" x="1161"/>
        <item m="1" x="1335"/>
        <item m="1" x="590"/>
        <item m="1" x="235"/>
        <item m="1" x="1124"/>
        <item m="1" x="1327"/>
        <item m="1" x="1183"/>
        <item m="1" x="1400"/>
        <item m="1" x="1156"/>
        <item m="1" x="146"/>
        <item m="1" x="667"/>
        <item m="1" x="247"/>
        <item m="1" x="989"/>
        <item m="1" x="1182"/>
        <item m="1" x="1029"/>
        <item x="32"/>
        <item m="1" x="1373"/>
        <item m="1" x="44"/>
        <item m="1" x="1609"/>
        <item m="1" x="1021"/>
        <item m="1" x="1259"/>
        <item m="1" x="268"/>
        <item m="1" x="1284"/>
        <item m="1" x="1478"/>
        <item m="1" x="1445"/>
        <item m="1" x="1064"/>
        <item m="1" x="1452"/>
        <item m="1" x="1035"/>
        <item m="1" x="1162"/>
        <item m="1" x="278"/>
        <item m="1" x="140"/>
        <item m="1" x="1210"/>
        <item m="1" x="1430"/>
        <item m="1" x="1044"/>
        <item m="1" x="188"/>
        <item m="1" x="1265"/>
        <item m="1" x="1493"/>
        <item m="1" x="239"/>
        <item m="1" x="1056"/>
        <item m="1" x="966"/>
        <item m="1" x="935"/>
        <item m="1" x="1192"/>
        <item m="1" x="1092"/>
        <item m="1" x="1163"/>
        <item m="1" x="453"/>
        <item m="1" x="1205"/>
        <item m="1" x="1085"/>
        <item m="1" x="501"/>
        <item m="1" x="1520"/>
        <item m="1" x="1247"/>
        <item m="1" x="1404"/>
        <item m="1" x="1083"/>
        <item m="1" x="1204"/>
        <item m="1" x="1394"/>
        <item m="1" x="1409"/>
        <item m="1" x="1351"/>
        <item m="1" x="1218"/>
        <item m="1" x="1470"/>
        <item m="1" x="1188"/>
        <item m="1" x="1387"/>
        <item m="1" x="1436"/>
        <item m="1" x="1129"/>
        <item m="1" x="1246"/>
        <item m="1" x="1261"/>
        <item m="1" x="953"/>
        <item m="1" x="1111"/>
        <item m="1" x="1299"/>
        <item m="1" x="1526"/>
        <item m="1" x="1502"/>
        <item m="1" x="1042"/>
        <item m="1" x="1545"/>
        <item m="1" x="993"/>
        <item m="1" x="1139"/>
        <item m="1" x="1467"/>
        <item m="1" x="750"/>
        <item m="1" x="581"/>
        <item m="1" x="1385"/>
        <item m="1" x="1104"/>
        <item m="1" x="596"/>
        <item m="1" x="1233"/>
        <item m="1" x="1018"/>
        <item m="1" x="1382"/>
        <item m="1" x="975"/>
        <item m="1" x="65"/>
        <item m="1" x="1424"/>
        <item m="1" x="1143"/>
        <item m="1" x="236"/>
        <item m="1" x="360"/>
        <item m="1" x="181"/>
        <item m="1" x="1458"/>
        <item m="1" x="1076"/>
        <item m="1" x="1290"/>
        <item m="1" x="1173"/>
        <item m="1" x="981"/>
        <item m="1" x="1325"/>
        <item m="1" x="242"/>
        <item m="1" x="660"/>
        <item m="1" x="1428"/>
        <item m="1" x="1128"/>
        <item m="1" x="1425"/>
        <item m="1" x="620"/>
        <item m="1" x="1571"/>
        <item m="1" x="1027"/>
        <item m="1" x="1168"/>
        <item m="1" x="712"/>
        <item m="1" x="957"/>
        <item m="1" x="741"/>
        <item m="1" x="1004"/>
        <item m="1" x="1499"/>
        <item m="1" x="455"/>
        <item m="1" x="1466"/>
        <item m="1" x="1488"/>
        <item m="1" x="1067"/>
        <item m="1" x="1582"/>
        <item m="1" x="202"/>
        <item m="1" x="502"/>
        <item m="1" x="662"/>
        <item m="1" x="1506"/>
        <item m="1" x="1579"/>
        <item m="1" x="1302"/>
        <item m="1" x="1003"/>
        <item m="1" x="1225"/>
        <item m="1" x="1512"/>
        <item m="1" x="555"/>
        <item m="1" x="1379"/>
        <item m="1" x="409"/>
        <item m="1" x="1266"/>
        <item m="1" x="1473"/>
        <item m="1" x="955"/>
        <item m="1" x="78"/>
        <item m="1" x="1472"/>
        <item m="1" x="405"/>
        <item m="1" x="1020"/>
        <item m="1" x="1159"/>
        <item m="1" x="1295"/>
        <item m="1" x="1476"/>
        <item m="1" x="510"/>
        <item m="1" x="714"/>
        <item m="1" x="1313"/>
        <item m="1" x="1187"/>
        <item m="1" x="731"/>
        <item m="1" x="1240"/>
        <item m="1" x="1191"/>
        <item m="1" x="1019"/>
        <item m="1" x="1361"/>
        <item m="1" x="1434"/>
        <item m="1" x="967"/>
        <item m="1" x="1068"/>
        <item m="1" x="1078"/>
        <item m="1" x="1269"/>
        <item m="1" x="787"/>
        <item m="1" x="1482"/>
        <item m="1" x="995"/>
        <item m="1" x="1567"/>
        <item m="1" x="1241"/>
        <item m="1" x="791"/>
        <item m="1" x="1574"/>
        <item m="1" x="1524"/>
        <item m="1" x="1200"/>
        <item m="1" x="1353"/>
        <item m="1" x="1123"/>
        <item m="1" x="688"/>
        <item m="1" x="1213"/>
        <item m="1" x="1386"/>
        <item m="1" x="997"/>
        <item x="37"/>
        <item m="1" x="954"/>
        <item m="1" x="1120"/>
        <item m="1" x="1283"/>
        <item m="1" x="1584"/>
        <item m="1" x="1509"/>
        <item m="1" x="1342"/>
        <item m="1" x="77"/>
        <item m="1" x="1147"/>
        <item m="1" x="1303"/>
        <item m="1" x="1446"/>
        <item m="1" x="1321"/>
        <item m="1" x="1333"/>
        <item m="1" x="633"/>
        <item m="1" x="1496"/>
        <item m="1" x="1026"/>
        <item m="1" x="1107"/>
        <item m="1" x="1154"/>
        <item m="1" x="1150"/>
        <item m="1" x="1179"/>
        <item m="1" x="1190"/>
        <item m="1" x="1061"/>
        <item m="1" x="994"/>
        <item m="1" x="1227"/>
        <item m="1" x="1100"/>
        <item m="1" x="1471"/>
        <item m="1" x="429"/>
        <item m="1" x="764"/>
        <item m="1" x="755"/>
        <item m="1" x="1468"/>
        <item m="1" x="1553"/>
        <item m="1" x="1257"/>
        <item m="1" x="1110"/>
        <item m="1" x="201"/>
        <item m="1" x="1435"/>
        <item m="1" x="1237"/>
        <item m="1" x="1438"/>
        <item m="1" x="606"/>
        <item m="1" x="1402"/>
        <item m="1" x="795"/>
        <item m="1" x="1300"/>
        <item x="6"/>
        <item m="1" x="1433"/>
        <item m="1" x="105"/>
        <item m="1" x="1529"/>
        <item m="1" x="1032"/>
        <item m="1" x="1431"/>
        <item m="1" x="1312"/>
        <item m="1" x="1275"/>
        <item m="1" x="1541"/>
        <item m="1" x="711"/>
        <item m="1" x="1307"/>
        <item m="1" x="1576"/>
        <item m="1" x="1340"/>
        <item m="1" x="1407"/>
        <item m="1" x="1565"/>
        <item m="1" x="1411"/>
        <item m="1" x="1419"/>
        <item m="1" x="1244"/>
        <item m="1" x="1440"/>
        <item m="1" x="1193"/>
        <item m="1" x="991"/>
        <item x="26"/>
        <item m="1" x="91"/>
        <item m="1" x="987"/>
        <item m="1" x="1011"/>
        <item m="1" x="1196"/>
        <item m="1" x="1603"/>
        <item m="1" x="1511"/>
        <item m="1" x="1389"/>
        <item m="1" x="1090"/>
        <item m="1" x="1117"/>
        <item m="1" x="302"/>
        <item m="1" x="1350"/>
        <item m="1" x="979"/>
        <item m="1" x="481"/>
        <item m="1" x="1338"/>
        <item m="1" x="1230"/>
        <item m="1" x="1461"/>
        <item m="1" x="1355"/>
        <item m="1" x="1380"/>
        <item m="1" x="1561"/>
        <item m="1" x="1505"/>
        <item m="1" x="1106"/>
        <item m="1" x="1252"/>
        <item m="1" x="1547"/>
        <item m="1" x="1537"/>
        <item m="1" x="1008"/>
        <item m="1" x="305"/>
        <item m="1" x="1047"/>
        <item m="1" x="1305"/>
        <item m="1" x="1054"/>
        <item m="1" x="615"/>
        <item m="1" x="171"/>
        <item m="1" x="1522"/>
        <item m="1" x="1070"/>
        <item m="1" x="1556"/>
        <item m="1" x="1040"/>
        <item m="1" x="1322"/>
        <item m="1" x="1611"/>
        <item m="1" x="1420"/>
        <item m="1" x="992"/>
        <item m="1" x="1314"/>
        <item m="1" x="1288"/>
        <item m="1" x="952"/>
        <item m="1" x="1494"/>
        <item m="1" x="1157"/>
        <item m="1" x="1096"/>
        <item m="1" x="1010"/>
        <item m="1" x="1474"/>
        <item m="1" x="109"/>
        <item m="1" x="1432"/>
        <item m="1" x="1444"/>
        <item m="1" x="1013"/>
        <item m="1" x="104"/>
        <item m="1" x="1254"/>
        <item m="1" x="119"/>
        <item m="1" x="1334"/>
        <item m="1" x="1238"/>
        <item m="1" x="1256"/>
        <item m="1" x="726"/>
        <item m="1" x="1564"/>
        <item m="1" x="1362"/>
        <item m="1" x="286"/>
        <item m="1" x="1393"/>
        <item m="1" x="1119"/>
        <item m="1" x="1575"/>
        <item m="1" x="1405"/>
        <item m="1" x="1600"/>
        <item m="1" x="389"/>
        <item m="1" x="1135"/>
        <item m="1" x="950"/>
        <item m="1" x="1525"/>
        <item m="1" x="1336"/>
        <item m="1" x="1587"/>
        <item m="1" x="1103"/>
        <item m="1" x="1024"/>
        <item m="1" x="1073"/>
        <item m="1" x="443"/>
        <item m="1" x="1105"/>
        <item m="1" x="1554"/>
        <item m="1" x="1138"/>
        <item m="1" x="965"/>
        <item m="1" x="1583"/>
        <item m="1" x="1080"/>
        <item m="1" x="1601"/>
        <item m="1" x="1412"/>
        <item m="1" x="1116"/>
        <item m="1" x="107"/>
        <item m="1" x="1311"/>
        <item m="1" x="974"/>
        <item m="1" x="289"/>
        <item m="1" x="675"/>
        <item m="1" x="1588"/>
        <item m="1" x="1596"/>
        <item m="1" x="106"/>
        <item m="1" x="1500"/>
        <item m="1" x="1037"/>
        <item m="1" x="1112"/>
        <item m="1" x="1390"/>
        <item m="1" x="1486"/>
        <item m="1" x="943"/>
        <item m="1" x="958"/>
        <item m="1" x="1226"/>
        <item m="1" x="1175"/>
        <item m="1" x="951"/>
        <item m="1" x="1507"/>
        <item m="1" x="1408"/>
        <item m="1" x="1403"/>
        <item m="1" x="1206"/>
        <item m="1" x="1363"/>
        <item m="1" x="1171"/>
        <item m="1" x="1243"/>
        <item m="1" x="1194"/>
        <item m="1" x="1423"/>
        <item m="1" x="1087"/>
        <item m="1" x="1186"/>
        <item m="1" x="1236"/>
        <item m="1" x="984"/>
        <item m="1" x="326"/>
        <item m="1" x="48"/>
        <item m="1" x="1508"/>
        <item m="1" x="1144"/>
        <item m="1" x="1443"/>
        <item m="1" x="1289"/>
        <item m="1" x="990"/>
        <item m="1" x="1145"/>
        <item m="1" x="1477"/>
        <item m="1" x="1531"/>
        <item m="1" x="1223"/>
        <item m="1" x="749"/>
        <item m="1" x="1345"/>
        <item m="1" x="1344"/>
        <item m="1" x="1292"/>
        <item m="1" x="1153"/>
        <item m="1" x="1459"/>
        <item m="1" x="1484"/>
        <item m="1" x="1356"/>
        <item m="1" x="1580"/>
        <item m="1" x="95"/>
        <item x="19"/>
        <item m="1" x="1510"/>
        <item m="1" x="39"/>
        <item m="1" x="1429"/>
        <item m="1" x="68"/>
        <item m="1" x="185"/>
        <item m="1" x="1293"/>
        <item m="1" x="1301"/>
        <item m="1" x="1286"/>
        <item m="1" x="1199"/>
        <item m="1" x="855"/>
        <item m="1" x="1208"/>
        <item m="1" x="1375"/>
        <item m="1" x="1339"/>
        <item m="1" x="1221"/>
        <item m="1" x="988"/>
        <item m="1" x="534"/>
        <item m="1" x="1228"/>
        <item m="1" x="1297"/>
        <item m="1" x="210"/>
        <item m="1" x="1542"/>
        <item m="1" x="1158"/>
        <item m="1" x="1276"/>
        <item m="1" x="1480"/>
        <item m="1" x="778"/>
        <item m="1" x="1378"/>
        <item m="1" x="1364"/>
        <item m="1" x="745"/>
        <item m="1" x="1527"/>
        <item m="1" x="1017"/>
        <item m="1" x="1329"/>
        <item m="1" x="1264"/>
        <item m="1" x="276"/>
        <item m="1" x="1558"/>
        <item m="1" x="1184"/>
        <item m="1" x="1519"/>
        <item x="5"/>
        <item m="1" x="410"/>
        <item m="1" x="1287"/>
        <item m="1" x="195"/>
        <item m="1" x="744"/>
        <item m="1" x="638"/>
        <item m="1" x="421"/>
        <item m="1" x="1464"/>
        <item m="1" x="436"/>
        <item m="1" x="138"/>
        <item m="1" x="1398"/>
        <item m="1" x="1146"/>
        <item m="1" x="1152"/>
        <item m="1" x="1214"/>
        <item m="1" x="1371"/>
        <item m="1" x="1142"/>
        <item m="1" x="846"/>
        <item m="1" x="839"/>
        <item m="1" x="1232"/>
        <item m="1" x="1062"/>
        <item m="1" x="986"/>
        <item m="1" x="1376"/>
        <item m="1" x="1094"/>
        <item m="1" x="1005"/>
        <item m="1" x="1610"/>
        <item m="1" x="1166"/>
        <item m="1" x="887"/>
        <item m="1" x="1552"/>
        <item m="1" x="1023"/>
        <item m="1" x="72"/>
        <item m="1" x="786"/>
        <item m="1" x="1306"/>
        <item m="1" x="1291"/>
        <item m="1" x="1395"/>
        <item m="1" x="1121"/>
        <item m="1" x="1317"/>
        <item m="1" x="1045"/>
        <item m="1" x="1369"/>
        <item m="1" x="263"/>
        <item m="1" x="1137"/>
        <item m="1" x="1239"/>
        <item m="1" x="203"/>
        <item m="1" x="1465"/>
        <item m="1" x="1222"/>
        <item m="1" x="1212"/>
        <item m="1" x="1267"/>
        <item m="1" x="968"/>
        <item m="1" x="1022"/>
        <item m="1" x="1298"/>
        <item m="1" x="1324"/>
        <item m="1" x="970"/>
        <item m="1" x="169"/>
        <item m="1" x="1377"/>
        <item m="1" x="1451"/>
        <item m="1" x="1048"/>
        <item m="1" x="319"/>
        <item m="1" x="277"/>
        <item m="1" x="1220"/>
        <item m="1" x="1497"/>
        <item m="1" x="1130"/>
        <item m="1" x="1209"/>
        <item m="1" x="1052"/>
        <item m="1" x="1399"/>
        <item m="1" x="1417"/>
        <item m="1" x="1406"/>
        <item m="1" x="1347"/>
        <item m="1" x="1449"/>
        <item x="8"/>
        <item m="1" x="1532"/>
        <item m="1" x="1310"/>
        <item m="1" x="1590"/>
        <item m="1" x="1540"/>
        <item m="1" x="1097"/>
        <item m="1" x="1006"/>
        <item m="1" x="1448"/>
        <item m="1" x="1069"/>
        <item m="1" x="1418"/>
        <item m="1" x="1031"/>
        <item m="1" x="998"/>
        <item m="1" x="1189"/>
        <item m="1" x="1091"/>
        <item m="1" x="1462"/>
        <item m="1" x="1084"/>
        <item m="1" x="1059"/>
        <item m="1" x="1450"/>
        <item m="1" x="1463"/>
        <item x="25"/>
        <item m="1" x="1605"/>
        <item m="1" x="1384"/>
        <item m="1" x="695"/>
        <item m="1" x="1195"/>
        <item m="1" x="1383"/>
        <item m="1" x="1513"/>
        <item m="1" x="1095"/>
        <item m="1" x="1178"/>
        <item m="1" x="1447"/>
        <item m="1" x="261"/>
        <item m="1" x="1535"/>
        <item m="1" x="1481"/>
        <item m="1" x="1245"/>
        <item m="1" x="1014"/>
        <item m="1" x="1172"/>
        <item m="1" x="1009"/>
        <item m="1" x="882"/>
        <item m="1" x="1401"/>
        <item m="1" x="1543"/>
        <item m="1" x="1546"/>
        <item m="1" x="1566"/>
        <item m="1" x="1315"/>
        <item m="1" x="1071"/>
        <item m="1" x="1169"/>
        <item m="1" x="1492"/>
        <item m="1" x="1563"/>
        <item m="1" x="1453"/>
        <item m="1" x="1079"/>
        <item m="1" x="1489"/>
        <item m="1" x="1098"/>
        <item m="1" x="102"/>
        <item m="1" x="1134"/>
        <item m="1" x="1572"/>
        <item m="1" x="1148"/>
        <item m="1" x="1164"/>
        <item x="28"/>
        <item m="1" x="1177"/>
        <item m="1" x="1155"/>
        <item m="1" x="973"/>
        <item m="1" x="1039"/>
        <item m="1" x="1181"/>
        <item m="1" x="1216"/>
        <item m="1" x="977"/>
        <item m="1" x="1279"/>
        <item m="1" x="1332"/>
        <item m="1" x="1559"/>
        <item m="1" x="1131"/>
        <item m="1" x="1560"/>
        <item m="1" x="1413"/>
        <item m="1" x="1331"/>
        <item m="1" x="1570"/>
        <item m="1" x="872"/>
        <item m="1" x="1562"/>
        <item m="1" x="1273"/>
        <item m="1" x="1149"/>
        <item m="1" x="1551"/>
        <item m="1" x="1211"/>
        <item m="1" x="1602"/>
        <item m="1" x="1491"/>
        <item m="1" x="1454"/>
        <item m="1" x="1328"/>
        <item m="1" x="1456"/>
        <item m="1" x="1483"/>
        <item m="1" x="1081"/>
        <item m="1" x="1422"/>
        <item m="1" x="1101"/>
        <item m="1" x="980"/>
        <item m="1" x="1354"/>
        <item m="1" x="1530"/>
        <item m="1" x="804"/>
        <item m="1" x="547"/>
        <item m="1" x="1538"/>
        <item m="1" x="1058"/>
        <item m="1" x="1102"/>
        <item m="1" x="1343"/>
        <item m="1" x="1349"/>
        <item m="1" x="1359"/>
        <item m="1" x="1604"/>
        <item m="1" x="1599"/>
        <item m="1" x="1594"/>
        <item m="1" x="1521"/>
        <item m="1" x="155"/>
        <item m="1" x="208"/>
        <item m="1" x="1514"/>
        <item m="1" x="1033"/>
        <item m="1" x="1099"/>
        <item m="1" x="1534"/>
        <item m="1" x="999"/>
        <item m="1" x="1365"/>
        <item m="1" x="1504"/>
        <item m="1" x="1437"/>
        <item m="1" x="1028"/>
        <item m="1" x="1043"/>
        <item m="1" x="1557"/>
        <item m="1" x="1595"/>
        <item m="1" x="1088"/>
        <item m="1" x="1592"/>
        <item m="1" x="1235"/>
        <item m="1" x="517"/>
        <item m="1" x="1282"/>
        <item m="1" x="1501"/>
        <item m="1" x="1479"/>
        <item m="1" x="1544"/>
        <item m="1" x="962"/>
        <item m="1" x="1125"/>
        <item m="1" x="1426"/>
        <item m="1" x="1392"/>
        <item m="1" x="976"/>
        <item m="1" x="1231"/>
        <item m="1" x="1589"/>
        <item m="1" x="1475"/>
        <item m="1" x="1165"/>
        <item m="1" x="1319"/>
        <item m="1" x="1271"/>
        <item m="1" x="982"/>
        <item m="1" x="1274"/>
        <item m="1" x="1167"/>
        <item m="1" x="1060"/>
        <item m="1" x="1539"/>
        <item m="1" x="1490"/>
        <item m="1" x="680"/>
        <item m="1" x="762"/>
        <item m="1" x="1113"/>
        <item m="1" x="1410"/>
        <item m="1" x="1396"/>
        <item m="1" x="1515"/>
        <item m="1" x="1597"/>
        <item m="1" x="1198"/>
        <item m="1" x="1427"/>
        <item m="1" x="1001"/>
        <item m="1" x="1568"/>
        <item m="1" x="1077"/>
        <item m="1" x="1391"/>
        <item m="1" x="454"/>
        <item m="1" x="686"/>
        <item m="1" x="1108"/>
        <item m="1" x="1581"/>
        <item m="1" x="1442"/>
        <item m="1" x="1038"/>
        <item m="1" x="1255"/>
        <item m="1" x="971"/>
        <item m="1" x="1439"/>
        <item m="1" x="1415"/>
        <item m="1" x="1075"/>
        <item m="1" x="515"/>
        <item m="1" x="1215"/>
        <item m="1" x="1593"/>
        <item m="1" x="1025"/>
        <item m="1" x="1367"/>
        <item m="1" x="1229"/>
        <item m="1" x="1536"/>
        <item m="1" x="1318"/>
        <item m="1" x="1608"/>
        <item m="1" x="1372"/>
        <item m="1" x="1030"/>
        <item m="1" x="592"/>
        <item m="1" x="1280"/>
        <item m="1" x="862"/>
        <item m="1" x="1517"/>
        <item m="1" x="1201"/>
        <item m="1" x="1272"/>
        <item m="1" x="1281"/>
        <item m="1" x="1253"/>
        <item m="1" x="960"/>
        <item m="1" x="1034"/>
        <item m="1" x="1469"/>
        <item m="1" x="1516"/>
        <item m="1" x="1326"/>
        <item m="1" x="1132"/>
        <item m="1" x="1262"/>
        <item m="1" x="1388"/>
        <item m="1" x="1337"/>
        <item m="1" x="1368"/>
        <item m="1" x="324"/>
        <item m="1" x="1126"/>
        <item m="1" x="705"/>
        <item m="1" x="132"/>
        <item m="1" x="927"/>
        <item m="1" x="1416"/>
        <item m="1" x="1224"/>
        <item m="1" x="1234"/>
        <item m="1" x="956"/>
        <item m="1" x="1036"/>
        <item m="1" x="1277"/>
        <item m="1" x="1115"/>
        <item m="1" x="1203"/>
        <item m="1" x="1578"/>
        <item m="1" x="1207"/>
        <item m="1" x="1114"/>
        <item m="1" x="1487"/>
        <item m="1" x="1495"/>
        <item m="1" x="1606"/>
        <item m="1" x="1185"/>
        <item m="1" x="1357"/>
        <item m="1" x="1065"/>
        <item m="1" x="1296"/>
        <item m="1" x="1573"/>
        <item m="1" x="1498"/>
        <item m="1" x="1160"/>
        <item m="1" x="1250"/>
        <item m="1" x="1569"/>
        <item m="1" x="1007"/>
        <item m="1" x="1015"/>
        <item m="1" x="1550"/>
        <item m="1" x="1260"/>
        <item m="1" x="70"/>
        <item m="1" x="1457"/>
        <item m="1" x="1066"/>
        <item m="1" x="963"/>
        <item m="1" x="961"/>
        <item m="1" x="1072"/>
        <item m="1" x="1109"/>
        <item m="1" x="1141"/>
        <item m="1" x="1063"/>
        <item m="1" x="1598"/>
        <item m="1" x="1549"/>
        <item m="1" x="1348"/>
        <item m="1" x="1217"/>
        <item m="1" x="978"/>
        <item m="1" x="1397"/>
        <item m="1" x="1197"/>
        <item m="1" x="1202"/>
        <item m="1" x="1127"/>
        <item m="1" x="1118"/>
        <item m="1" x="1268"/>
        <item m="1" x="1055"/>
        <item m="1" x="1053"/>
        <item m="1" x="1285"/>
        <item m="1" x="1503"/>
        <item m="1" x="1374"/>
        <item m="1" x="1304"/>
        <item m="1" x="1089"/>
        <item m="1" x="1308"/>
        <item m="1" x="1455"/>
        <item m="1" x="425"/>
        <item m="1" x="1366"/>
        <item m="1" x="1248"/>
        <item m="1" x="1607"/>
        <item m="1" x="829"/>
        <item m="1" x="1140"/>
        <item m="1" x="1074"/>
        <item m="1" x="1555"/>
        <item m="1" x="1122"/>
        <item m="1" x="1441"/>
        <item m="1" x="256"/>
        <item m="1" x="1174"/>
        <item m="1" x="1263"/>
        <item m="1" x="1358"/>
        <item m="1" x="528"/>
        <item m="1" x="1414"/>
        <item m="1" x="1421"/>
        <item m="1" x="972"/>
        <item m="1" x="1548"/>
        <item m="1" x="1485"/>
        <item m="1" x="1381"/>
        <item m="1" x="914"/>
        <item m="1" x="508"/>
        <item m="1" x="725"/>
        <item m="1" x="46"/>
        <item m="1" x="448"/>
        <item m="1" x="1180"/>
        <item m="1" x="1577"/>
        <item m="1" x="1002"/>
        <item m="1" x="1278"/>
        <item m="1" x="1323"/>
        <item m="1" x="983"/>
        <item m="1" x="1051"/>
        <item m="1" x="1591"/>
        <item m="1" x="1320"/>
        <item m="1" x="1151"/>
        <item m="1" x="923"/>
        <item m="1" x="1370"/>
        <item m="1" x="964"/>
        <item m="1" x="916"/>
        <item m="1" x="1133"/>
        <item m="1" x="1330"/>
        <item m="1" x="1533"/>
        <item m="1" x="1360"/>
        <item m="1" x="1049"/>
        <item m="1" x="1136"/>
        <item m="1" x="1219"/>
        <item m="1" x="985"/>
        <item m="1" x="1341"/>
        <item x="11"/>
        <item m="1" x="1016"/>
        <item m="1" x="1585"/>
        <item m="1" x="1518"/>
        <item m="1" x="777"/>
        <item m="1" x="1041"/>
        <item m="1" x="1249"/>
        <item m="1" x="959"/>
        <item m="1" x="583"/>
        <item m="1" x="204"/>
        <item m="1" x="584"/>
        <item m="1" x="585"/>
        <item m="1" x="586"/>
        <item m="1" x="587"/>
        <item m="1" x="588"/>
        <item m="1" x="589"/>
        <item m="1" x="591"/>
        <item m="1" x="593"/>
        <item m="1" x="595"/>
        <item m="1" x="597"/>
        <item m="1" x="598"/>
        <item m="1" x="599"/>
        <item m="1" x="600"/>
        <item m="1" x="601"/>
        <item m="1" x="742"/>
        <item m="1" x="602"/>
        <item m="1" x="603"/>
        <item m="1" x="604"/>
        <item m="1" x="605"/>
        <item m="1" x="607"/>
        <item m="1" x="519"/>
        <item m="1" x="608"/>
        <item m="1" x="609"/>
        <item m="1" x="610"/>
        <item m="1" x="611"/>
        <item m="1" x="612"/>
        <item m="1" x="613"/>
        <item m="1" x="614"/>
        <item m="1" x="616"/>
        <item m="1" x="617"/>
        <item m="1" x="618"/>
        <item m="1" x="619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4"/>
        <item m="1" x="635"/>
        <item m="1" x="636"/>
        <item m="1" x="637"/>
        <item m="1" x="639"/>
        <item m="1" x="640"/>
        <item m="1" x="641"/>
        <item m="1" x="642"/>
        <item m="1" x="1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435"/>
        <item m="1" x="655"/>
        <item m="1" x="656"/>
        <item m="1" x="657"/>
        <item m="1" x="658"/>
        <item x="13"/>
        <item m="1" x="659"/>
        <item m="1" x="661"/>
        <item m="1" x="663"/>
        <item m="1" x="664"/>
        <item m="1" x="665"/>
        <item m="1" x="666"/>
        <item m="1" x="668"/>
        <item m="1" x="669"/>
        <item m="1" x="670"/>
        <item m="1" x="671"/>
        <item m="1" x="672"/>
        <item m="1" x="673"/>
        <item m="1" x="674"/>
        <item m="1" x="221"/>
        <item m="1" x="676"/>
        <item m="1" x="677"/>
        <item m="1" x="678"/>
        <item m="1" x="679"/>
        <item m="1" x="681"/>
        <item m="1" x="682"/>
        <item m="1" x="683"/>
        <item m="1" x="684"/>
        <item m="1" x="685"/>
        <item m="1" x="687"/>
        <item m="1" x="689"/>
        <item m="1" x="690"/>
        <item m="1" x="1528"/>
        <item m="1" x="691"/>
        <item m="1" x="692"/>
        <item m="1" x="693"/>
        <item m="1" x="694"/>
        <item m="1" x="1050"/>
        <item m="1" x="698"/>
        <item m="1" x="470"/>
        <item m="1" x="699"/>
        <item m="1" x="1294"/>
        <item m="1" x="700"/>
        <item m="1" x="701"/>
        <item m="1" x="702"/>
        <item m="1" x="703"/>
        <item m="1" x="704"/>
        <item m="1" x="288"/>
        <item m="1" x="706"/>
        <item m="1" x="707"/>
        <item m="1" x="708"/>
        <item m="1" x="709"/>
        <item m="1" x="99"/>
        <item m="1" x="710"/>
        <item m="1" x="713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7"/>
        <item m="1" x="728"/>
        <item m="1" x="729"/>
        <item m="1" x="337"/>
        <item m="1" x="730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3"/>
        <item m="1" x="404"/>
        <item m="1" x="746"/>
        <item m="1" x="747"/>
        <item m="1" x="748"/>
        <item m="1" x="751"/>
        <item m="1" x="752"/>
        <item m="1" x="753"/>
        <item m="1" x="754"/>
        <item m="1" x="756"/>
        <item m="1" x="757"/>
        <item m="1" x="758"/>
        <item m="1" x="759"/>
        <item m="1" x="760"/>
        <item m="1" x="761"/>
        <item m="1" x="763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498"/>
        <item m="1" x="779"/>
        <item m="1" x="780"/>
        <item m="1" x="781"/>
        <item m="1" x="782"/>
        <item x="4"/>
        <item m="1" x="783"/>
        <item m="1" x="784"/>
        <item m="1" x="785"/>
        <item m="1" x="788"/>
        <item m="1" x="574"/>
        <item m="1" x="789"/>
        <item m="1" x="790"/>
        <item m="1" x="792"/>
        <item m="1" x="793"/>
        <item m="1" x="794"/>
        <item m="1" x="796"/>
        <item m="1" x="797"/>
        <item m="1" x="798"/>
        <item m="1" x="799"/>
        <item m="1" x="800"/>
        <item m="1" x="801"/>
        <item m="1" x="802"/>
        <item m="1" x="803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232"/>
        <item m="1" x="822"/>
        <item m="1" x="264"/>
        <item m="1" x="823"/>
        <item m="1" x="300"/>
        <item m="1" x="824"/>
        <item m="1" x="825"/>
        <item m="1" x="826"/>
        <item m="1" x="827"/>
        <item m="1" x="1346"/>
        <item m="1" x="697"/>
        <item m="1" x="696"/>
        <item m="1" x="828"/>
        <item m="1" x="830"/>
        <item m="1" x="831"/>
        <item m="1" x="833"/>
        <item m="1" x="832"/>
        <item m="1" x="1082"/>
        <item m="1" x="834"/>
        <item m="1" x="538"/>
        <item m="1" x="835"/>
        <item m="1" x="836"/>
        <item m="1" x="837"/>
        <item m="1" x="838"/>
        <item m="1" x="840"/>
        <item m="1" x="841"/>
        <item m="1" x="842"/>
        <item m="1" x="843"/>
        <item m="1" x="844"/>
        <item m="1" x="845"/>
        <item m="1" x="848"/>
        <item m="1" x="847"/>
        <item m="1" x="849"/>
        <item m="1" x="850"/>
        <item m="1" x="851"/>
        <item m="1" x="852"/>
        <item m="1" x="853"/>
        <item m="1" x="854"/>
        <item m="1" x="856"/>
        <item m="1" x="857"/>
        <item m="1" x="858"/>
        <item m="1" x="859"/>
        <item m="1" x="860"/>
        <item m="1" x="861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3"/>
        <item m="1" x="884"/>
        <item m="1" x="885"/>
        <item m="1" x="886"/>
        <item m="1" x="1176"/>
        <item m="1" x="888"/>
        <item m="1" x="889"/>
        <item m="1" x="890"/>
        <item m="1" x="485"/>
        <item m="1" x="891"/>
        <item m="1" x="893"/>
        <item m="1" x="894"/>
        <item m="1" x="895"/>
        <item m="1" x="896"/>
        <item m="1" x="897"/>
        <item m="1" x="892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231"/>
        <item m="1" x="907"/>
        <item m="1" x="908"/>
        <item m="1" x="909"/>
        <item m="1" x="910"/>
        <item m="1" x="911"/>
        <item m="1" x="156"/>
        <item m="1" x="912"/>
        <item m="1" x="913"/>
        <item m="1" x="473"/>
        <item m="1" x="915"/>
        <item m="1" x="917"/>
        <item m="1" x="918"/>
        <item m="1" x="919"/>
        <item m="1" x="920"/>
        <item m="1" x="921"/>
        <item m="1" x="922"/>
        <item m="1" x="924"/>
        <item m="1" x="925"/>
        <item m="1" x="926"/>
        <item m="1" x="928"/>
        <item m="1" x="929"/>
        <item m="1" x="930"/>
        <item m="1" x="931"/>
        <item m="1" x="932"/>
        <item m="1" x="933"/>
        <item m="1" x="934"/>
        <item m="1" x="936"/>
        <item m="1" x="937"/>
        <item m="1" x="938"/>
        <item m="1" x="939"/>
        <item m="1" x="940"/>
        <item m="1" x="941"/>
        <item m="1" x="942"/>
        <item m="1" x="255"/>
        <item m="1" x="944"/>
        <item m="1" x="949"/>
        <item m="1" x="945"/>
        <item m="1" x="946"/>
        <item m="1" x="111"/>
        <item m="1" x="947"/>
        <item m="1" x="948"/>
        <item m="1" x="40"/>
        <item m="1" x="42"/>
        <item m="1" x="43"/>
        <item m="1" x="45"/>
        <item m="1" x="582"/>
        <item m="1" x="49"/>
        <item m="1" x="50"/>
        <item m="1" x="47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6"/>
        <item m="1" x="67"/>
        <item m="1" x="69"/>
        <item m="1" x="71"/>
        <item m="1" x="73"/>
        <item m="1" x="74"/>
        <item m="1" x="75"/>
        <item m="1" x="580"/>
        <item m="1" x="76"/>
        <item m="1" x="79"/>
        <item m="1" x="80"/>
        <item m="1" x="81"/>
        <item m="1" x="82"/>
        <item m="1" x="83"/>
        <item m="1" x="84"/>
        <item m="1" x="85"/>
        <item m="1" x="579"/>
        <item m="1" x="87"/>
        <item m="1" x="88"/>
        <item m="1" x="89"/>
        <item m="1" x="86"/>
        <item m="1" x="90"/>
        <item m="1" x="92"/>
        <item m="1" x="93"/>
        <item m="1" x="94"/>
        <item m="1" x="96"/>
        <item m="1" x="97"/>
        <item m="1" x="98"/>
        <item m="1" x="578"/>
        <item m="1" x="101"/>
        <item m="1" x="103"/>
        <item m="1" x="108"/>
        <item m="1" x="110"/>
        <item m="1" x="112"/>
        <item m="1" x="113"/>
        <item m="1" x="114"/>
        <item m="1" x="115"/>
        <item m="1" x="116"/>
        <item m="1" x="117"/>
        <item m="1" x="118"/>
        <item m="1" x="100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3"/>
        <item m="1" x="134"/>
        <item m="1" x="135"/>
        <item m="1" x="136"/>
        <item m="1" x="137"/>
        <item m="1" x="139"/>
        <item m="1" x="142"/>
        <item m="1" x="143"/>
        <item m="1" x="144"/>
        <item m="1" x="145"/>
        <item m="1" x="147"/>
        <item m="1" x="148"/>
        <item m="1" x="149"/>
        <item m="1" x="150"/>
        <item m="1" x="151"/>
        <item m="1" x="152"/>
        <item m="1" x="575"/>
        <item m="1" x="154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70"/>
        <item m="1" x="172"/>
        <item m="1" x="173"/>
        <item m="1" x="174"/>
        <item m="1" x="175"/>
        <item m="1" x="176"/>
        <item m="1" x="178"/>
        <item m="1" x="179"/>
        <item m="1" x="180"/>
        <item m="1" x="182"/>
        <item m="1" x="183"/>
        <item m="1" x="184"/>
        <item m="1" x="186"/>
        <item m="1" x="187"/>
        <item m="1" x="189"/>
        <item m="1" x="190"/>
        <item m="1" x="191"/>
        <item m="1" x="192"/>
        <item m="1" x="193"/>
        <item m="1" x="194"/>
        <item m="1" x="196"/>
        <item m="1" x="197"/>
        <item m="1" x="198"/>
        <item m="1" x="199"/>
        <item m="1" x="200"/>
        <item m="1" x="205"/>
        <item m="1" x="206"/>
        <item m="1" x="207"/>
        <item m="1" x="209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9"/>
        <item m="1" x="230"/>
        <item m="1" x="220"/>
        <item m="1" x="222"/>
        <item m="1" x="223"/>
        <item m="1" x="224"/>
        <item m="1" x="225"/>
        <item m="1" x="226"/>
        <item m="1" x="227"/>
        <item m="1" x="228"/>
        <item m="1" x="233"/>
        <item m="1" x="234"/>
        <item m="1" x="237"/>
        <item m="1" x="238"/>
        <item m="1" x="240"/>
        <item m="1" x="241"/>
        <item m="1" x="243"/>
        <item m="1" x="244"/>
        <item m="1" x="245"/>
        <item m="1" x="246"/>
        <item m="1" x="248"/>
        <item m="1" x="249"/>
        <item m="1" x="250"/>
        <item m="1" x="251"/>
        <item m="1" x="252"/>
        <item m="1" x="253"/>
        <item m="1" x="254"/>
        <item m="1" x="257"/>
        <item m="1" x="258"/>
        <item m="1" x="259"/>
        <item m="1" x="260"/>
        <item m="1" x="265"/>
        <item m="1" x="266"/>
        <item m="1" x="267"/>
        <item m="1" x="270"/>
        <item m="1" x="271"/>
        <item m="1" x="272"/>
        <item m="1" x="576"/>
        <item m="1" x="274"/>
        <item m="1" x="577"/>
        <item m="1" x="279"/>
        <item m="1" x="281"/>
        <item m="1" x="282"/>
        <item m="1" x="283"/>
        <item m="1" x="284"/>
        <item m="1" x="285"/>
        <item m="1" x="290"/>
        <item m="1" x="291"/>
        <item m="1" x="153"/>
        <item m="1" x="273"/>
        <item m="1" x="275"/>
        <item m="1" x="292"/>
        <item m="1" x="293"/>
        <item m="1" x="294"/>
        <item m="1" x="295"/>
        <item m="1" x="296"/>
        <item m="1" x="297"/>
        <item m="1" x="298"/>
        <item m="1" x="299"/>
        <item m="1" x="301"/>
        <item m="1" x="303"/>
        <item m="1" x="304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7"/>
        <item m="1" x="318"/>
        <item m="1" x="320"/>
        <item m="1" x="321"/>
        <item m="1" x="322"/>
        <item m="1" x="323"/>
        <item m="1" x="325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6"/>
        <item m="1" x="407"/>
        <item m="1" x="408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2"/>
        <item m="1" x="423"/>
        <item m="1" x="424"/>
        <item m="1" x="426"/>
        <item m="1" x="427"/>
        <item m="1" x="428"/>
        <item m="1" x="430"/>
        <item m="1" x="431"/>
        <item m="1" x="432"/>
        <item m="1" x="433"/>
        <item m="1" x="434"/>
        <item m="1" x="437"/>
        <item m="1" x="438"/>
        <item m="1" x="440"/>
        <item m="1" x="441"/>
        <item m="1" x="442"/>
        <item m="1" x="444"/>
        <item m="1" x="445"/>
        <item m="1" x="446"/>
        <item m="1" x="447"/>
        <item m="1" x="449"/>
        <item m="1" x="450"/>
        <item m="1" x="451"/>
        <item m="1" x="452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7"/>
        <item m="1" x="468"/>
        <item m="1" x="469"/>
        <item m="1" x="471"/>
        <item m="1" x="472"/>
        <item m="1" x="474"/>
        <item m="1" x="475"/>
        <item m="1" x="477"/>
        <item m="1" x="478"/>
        <item m="1" x="479"/>
        <item m="1" x="480"/>
        <item m="1" x="482"/>
        <item m="1" x="483"/>
        <item m="1" x="484"/>
        <item m="1" x="571"/>
        <item m="1" x="487"/>
        <item m="1" x="280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9"/>
        <item m="1" x="500"/>
        <item m="1" x="503"/>
        <item m="1" x="507"/>
        <item m="1" x="504"/>
        <item m="1" x="505"/>
        <item m="1" x="506"/>
        <item m="1" x="509"/>
        <item m="1" x="511"/>
        <item m="1" x="512"/>
        <item m="1" x="514"/>
        <item m="1" x="516"/>
        <item m="1" x="572"/>
        <item m="1" x="573"/>
        <item m="1" x="518"/>
        <item m="1" x="520"/>
        <item m="1" x="521"/>
        <item m="1" x="522"/>
        <item m="1" x="523"/>
        <item m="1" x="524"/>
        <item m="1" x="525"/>
        <item m="1" x="526"/>
        <item m="1" x="527"/>
        <item m="1" x="513"/>
        <item m="1" x="529"/>
        <item m="1" x="530"/>
        <item m="1" x="531"/>
        <item m="1" x="532"/>
        <item m="1" x="533"/>
        <item m="1" x="486"/>
        <item m="1" x="535"/>
        <item m="1" x="536"/>
        <item m="1" x="537"/>
        <item m="1" x="539"/>
        <item m="1" x="540"/>
        <item m="1" x="541"/>
        <item m="1" x="542"/>
        <item m="1" x="543"/>
        <item m="1" x="544"/>
        <item m="1" x="545"/>
        <item m="1" x="546"/>
        <item m="1" x="548"/>
        <item m="1" x="549"/>
        <item m="1" x="550"/>
        <item m="1" x="551"/>
        <item m="1" x="552"/>
        <item m="1" x="553"/>
        <item m="1" x="554"/>
        <item m="1" x="556"/>
        <item m="1" x="570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x="7"/>
        <item x="9"/>
        <item x="10"/>
        <item x="12"/>
        <item x="14"/>
        <item x="15"/>
        <item x="16"/>
        <item x="17"/>
        <item x="20"/>
        <item x="22"/>
        <item x="23"/>
        <item x="24"/>
        <item x="27"/>
        <item x="29"/>
        <item x="30"/>
        <item x="31"/>
        <item x="33"/>
        <item m="1" x="38"/>
        <item x="34"/>
        <item x="35"/>
        <item x="3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pageFields count="3">
    <pageField fld="3" item="0" hier="-1"/>
    <pageField fld="7" hier="-1"/>
    <pageField fld="9" hier="-1"/>
  </pageFields>
  <dataFields count="2">
    <dataField name="Količina robe" fld="9" baseField="1" baseItem="1" numFmtId="4"/>
    <dataField name="Vrednost" fld="13" baseField="1" baseItem="1" numFmtId="4"/>
  </dataFields>
  <formats count="1">
    <format dxfId="483">
      <pivotArea field="1" type="button" dataOnly="0" labelOnly="1" outline="0"/>
    </format>
  </formats>
  <pivotTableStyleInfo name="PivotStyleDark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8000000}" name="Izvedena tabela5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R6:S7" firstHeaderRow="0" firstDataRow="1" firstDataCol="0" rowPageCount="3" colPageCount="1"/>
  <pivotFields count="48">
    <pivotField showAll="0" defaultSubtotal="0"/>
    <pivotField numFmtId="167" showAll="0" insertPageBreak="1" includeNewItemsInFilter="1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axis="axisPage" multipleItemSelectionAllowed="1" showAll="0">
      <items count="8">
        <item x="1"/>
        <item h="1" x="0"/>
        <item h="1" x="2"/>
        <item h="1" x="4"/>
        <item h="1" x="5"/>
        <item h="1" x="3"/>
        <item h="1" m="1" x="6"/>
        <item t="default"/>
      </items>
    </pivotField>
    <pivotField multipleItemSelectionAllowed="1" showAll="0"/>
    <pivotField showAll="0"/>
    <pivotField multipleItemSelectionAllowed="1" showAll="0"/>
    <pivotField axis="axisPage" multipleItemSelectionAllowed="1" showAll="0">
      <items count="21">
        <item h="1" x="8"/>
        <item h="1" x="12"/>
        <item h="1" sd="0" x="0"/>
        <item h="1" sd="0" x="2"/>
        <item sd="0" x="9"/>
        <item sd="0" x="1"/>
        <item h="1" sd="0" x="4"/>
        <item h="1" sd="0" x="11"/>
        <item h="1" sd="0" x="5"/>
        <item sd="0" x="3"/>
        <item h="1" sd="0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showAll="0"/>
    <pivotField axis="axisPage" dataField="1" showAll="0">
      <items count="1613">
        <item x="2"/>
        <item x="0"/>
        <item x="1"/>
        <item x="3"/>
        <item m="1" x="439"/>
        <item m="1" x="1086"/>
        <item m="1" x="594"/>
        <item m="1" x="1057"/>
        <item m="1" x="1242"/>
        <item m="1" x="969"/>
        <item x="18"/>
        <item m="1" x="476"/>
        <item m="1" x="1170"/>
        <item m="1" x="287"/>
        <item m="1" x="466"/>
        <item m="1" x="177"/>
        <item m="1" x="1460"/>
        <item m="1" x="1309"/>
        <item m="1" x="996"/>
        <item m="1" x="1352"/>
        <item m="1" x="1316"/>
        <item m="1" x="269"/>
        <item m="1" x="1270"/>
        <item m="1" x="41"/>
        <item m="1" x="1258"/>
        <item m="1" x="1046"/>
        <item m="1" x="1012"/>
        <item m="1" x="1093"/>
        <item m="1" x="262"/>
        <item m="1" x="1000"/>
        <item m="1" x="1586"/>
        <item x="21"/>
        <item m="1" x="1523"/>
        <item m="1" x="1251"/>
        <item m="1" x="316"/>
        <item m="1" x="1161"/>
        <item m="1" x="1335"/>
        <item m="1" x="590"/>
        <item m="1" x="235"/>
        <item m="1" x="1124"/>
        <item m="1" x="1327"/>
        <item m="1" x="1183"/>
        <item m="1" x="1400"/>
        <item m="1" x="1156"/>
        <item m="1" x="146"/>
        <item m="1" x="667"/>
        <item m="1" x="247"/>
        <item m="1" x="989"/>
        <item m="1" x="1182"/>
        <item m="1" x="1029"/>
        <item x="32"/>
        <item m="1" x="1373"/>
        <item m="1" x="44"/>
        <item m="1" x="1609"/>
        <item m="1" x="1021"/>
        <item m="1" x="1259"/>
        <item m="1" x="268"/>
        <item m="1" x="1284"/>
        <item m="1" x="1478"/>
        <item m="1" x="1445"/>
        <item m="1" x="1064"/>
        <item m="1" x="1452"/>
        <item m="1" x="1035"/>
        <item m="1" x="1162"/>
        <item m="1" x="278"/>
        <item m="1" x="140"/>
        <item m="1" x="1210"/>
        <item m="1" x="1430"/>
        <item m="1" x="1044"/>
        <item m="1" x="188"/>
        <item m="1" x="1265"/>
        <item m="1" x="1493"/>
        <item m="1" x="239"/>
        <item m="1" x="1056"/>
        <item m="1" x="966"/>
        <item m="1" x="935"/>
        <item m="1" x="1192"/>
        <item m="1" x="1092"/>
        <item m="1" x="1163"/>
        <item m="1" x="453"/>
        <item m="1" x="1205"/>
        <item m="1" x="1085"/>
        <item m="1" x="501"/>
        <item m="1" x="1520"/>
        <item m="1" x="1247"/>
        <item m="1" x="1404"/>
        <item m="1" x="1083"/>
        <item m="1" x="1204"/>
        <item m="1" x="1394"/>
        <item m="1" x="1409"/>
        <item m="1" x="1351"/>
        <item m="1" x="1218"/>
        <item m="1" x="1470"/>
        <item m="1" x="1188"/>
        <item m="1" x="1387"/>
        <item m="1" x="1436"/>
        <item m="1" x="1129"/>
        <item m="1" x="1246"/>
        <item m="1" x="1261"/>
        <item m="1" x="953"/>
        <item m="1" x="1111"/>
        <item m="1" x="1299"/>
        <item m="1" x="1526"/>
        <item m="1" x="1502"/>
        <item m="1" x="1042"/>
        <item m="1" x="1545"/>
        <item m="1" x="993"/>
        <item m="1" x="1139"/>
        <item m="1" x="1467"/>
        <item m="1" x="750"/>
        <item m="1" x="581"/>
        <item m="1" x="1385"/>
        <item m="1" x="1104"/>
        <item m="1" x="596"/>
        <item m="1" x="1233"/>
        <item m="1" x="1018"/>
        <item m="1" x="1382"/>
        <item m="1" x="975"/>
        <item m="1" x="65"/>
        <item m="1" x="1424"/>
        <item m="1" x="1143"/>
        <item m="1" x="236"/>
        <item m="1" x="360"/>
        <item m="1" x="181"/>
        <item m="1" x="1458"/>
        <item m="1" x="1076"/>
        <item m="1" x="1290"/>
        <item m="1" x="1173"/>
        <item m="1" x="981"/>
        <item m="1" x="1325"/>
        <item m="1" x="242"/>
        <item m="1" x="660"/>
        <item m="1" x="1428"/>
        <item m="1" x="1128"/>
        <item m="1" x="1425"/>
        <item m="1" x="620"/>
        <item m="1" x="1571"/>
        <item m="1" x="1027"/>
        <item m="1" x="1168"/>
        <item m="1" x="712"/>
        <item m="1" x="957"/>
        <item m="1" x="741"/>
        <item m="1" x="1004"/>
        <item m="1" x="1499"/>
        <item m="1" x="455"/>
        <item m="1" x="1466"/>
        <item m="1" x="1488"/>
        <item m="1" x="1067"/>
        <item m="1" x="1582"/>
        <item m="1" x="202"/>
        <item m="1" x="502"/>
        <item m="1" x="662"/>
        <item m="1" x="1506"/>
        <item m="1" x="1579"/>
        <item m="1" x="1302"/>
        <item m="1" x="1003"/>
        <item m="1" x="1225"/>
        <item m="1" x="1512"/>
        <item m="1" x="555"/>
        <item m="1" x="1379"/>
        <item m="1" x="409"/>
        <item m="1" x="1266"/>
        <item m="1" x="1473"/>
        <item m="1" x="955"/>
        <item m="1" x="78"/>
        <item m="1" x="1472"/>
        <item m="1" x="405"/>
        <item m="1" x="1020"/>
        <item m="1" x="1159"/>
        <item m="1" x="1295"/>
        <item m="1" x="1476"/>
        <item m="1" x="510"/>
        <item m="1" x="714"/>
        <item m="1" x="1313"/>
        <item m="1" x="1187"/>
        <item m="1" x="731"/>
        <item m="1" x="1240"/>
        <item m="1" x="1191"/>
        <item m="1" x="1019"/>
        <item m="1" x="1361"/>
        <item m="1" x="1434"/>
        <item m="1" x="967"/>
        <item m="1" x="1068"/>
        <item m="1" x="1078"/>
        <item m="1" x="1269"/>
        <item m="1" x="787"/>
        <item m="1" x="1482"/>
        <item m="1" x="995"/>
        <item m="1" x="1567"/>
        <item m="1" x="1241"/>
        <item m="1" x="791"/>
        <item m="1" x="1574"/>
        <item m="1" x="1524"/>
        <item m="1" x="1200"/>
        <item m="1" x="1353"/>
        <item m="1" x="1123"/>
        <item m="1" x="688"/>
        <item m="1" x="1213"/>
        <item m="1" x="1386"/>
        <item m="1" x="997"/>
        <item x="37"/>
        <item m="1" x="954"/>
        <item m="1" x="1120"/>
        <item m="1" x="1283"/>
        <item m="1" x="1584"/>
        <item m="1" x="1509"/>
        <item m="1" x="1342"/>
        <item m="1" x="77"/>
        <item m="1" x="1147"/>
        <item m="1" x="1303"/>
        <item m="1" x="1446"/>
        <item m="1" x="1321"/>
        <item m="1" x="1333"/>
        <item m="1" x="633"/>
        <item m="1" x="1496"/>
        <item m="1" x="1026"/>
        <item m="1" x="1107"/>
        <item m="1" x="1154"/>
        <item m="1" x="1150"/>
        <item m="1" x="1179"/>
        <item m="1" x="1190"/>
        <item m="1" x="1061"/>
        <item m="1" x="994"/>
        <item m="1" x="1227"/>
        <item m="1" x="1100"/>
        <item m="1" x="1471"/>
        <item m="1" x="429"/>
        <item m="1" x="764"/>
        <item m="1" x="755"/>
        <item m="1" x="1468"/>
        <item m="1" x="1553"/>
        <item m="1" x="1257"/>
        <item m="1" x="1110"/>
        <item m="1" x="201"/>
        <item m="1" x="1435"/>
        <item m="1" x="1237"/>
        <item m="1" x="1438"/>
        <item m="1" x="606"/>
        <item m="1" x="1402"/>
        <item m="1" x="795"/>
        <item m="1" x="1300"/>
        <item x="6"/>
        <item m="1" x="1433"/>
        <item m="1" x="105"/>
        <item m="1" x="1529"/>
        <item m="1" x="1032"/>
        <item m="1" x="1431"/>
        <item m="1" x="1312"/>
        <item m="1" x="1275"/>
        <item m="1" x="1541"/>
        <item m="1" x="711"/>
        <item m="1" x="1307"/>
        <item m="1" x="1576"/>
        <item m="1" x="1340"/>
        <item m="1" x="1407"/>
        <item m="1" x="1565"/>
        <item m="1" x="1411"/>
        <item m="1" x="1419"/>
        <item m="1" x="1244"/>
        <item m="1" x="1440"/>
        <item m="1" x="1193"/>
        <item m="1" x="991"/>
        <item x="26"/>
        <item m="1" x="91"/>
        <item m="1" x="987"/>
        <item m="1" x="1011"/>
        <item m="1" x="1196"/>
        <item m="1" x="1603"/>
        <item m="1" x="1511"/>
        <item m="1" x="1389"/>
        <item m="1" x="1090"/>
        <item m="1" x="1117"/>
        <item m="1" x="302"/>
        <item m="1" x="1350"/>
        <item m="1" x="979"/>
        <item m="1" x="481"/>
        <item m="1" x="1338"/>
        <item m="1" x="1230"/>
        <item m="1" x="1461"/>
        <item m="1" x="1355"/>
        <item m="1" x="1380"/>
        <item m="1" x="1561"/>
        <item m="1" x="1505"/>
        <item m="1" x="1106"/>
        <item m="1" x="1252"/>
        <item m="1" x="1547"/>
        <item m="1" x="1537"/>
        <item m="1" x="1008"/>
        <item m="1" x="305"/>
        <item m="1" x="1047"/>
        <item m="1" x="1305"/>
        <item m="1" x="1054"/>
        <item m="1" x="615"/>
        <item m="1" x="171"/>
        <item m="1" x="1522"/>
        <item m="1" x="1070"/>
        <item m="1" x="1556"/>
        <item m="1" x="1040"/>
        <item m="1" x="1322"/>
        <item m="1" x="1611"/>
        <item m="1" x="1420"/>
        <item m="1" x="992"/>
        <item m="1" x="1314"/>
        <item m="1" x="1288"/>
        <item m="1" x="952"/>
        <item m="1" x="1494"/>
        <item m="1" x="1157"/>
        <item m="1" x="1096"/>
        <item m="1" x="1010"/>
        <item m="1" x="1474"/>
        <item m="1" x="109"/>
        <item m="1" x="1432"/>
        <item m="1" x="1444"/>
        <item m="1" x="1013"/>
        <item m="1" x="104"/>
        <item m="1" x="1254"/>
        <item m="1" x="119"/>
        <item m="1" x="1334"/>
        <item m="1" x="1238"/>
        <item m="1" x="1256"/>
        <item m="1" x="726"/>
        <item m="1" x="1564"/>
        <item m="1" x="1362"/>
        <item m="1" x="286"/>
        <item m="1" x="1393"/>
        <item m="1" x="1119"/>
        <item m="1" x="1575"/>
        <item m="1" x="1405"/>
        <item m="1" x="1600"/>
        <item m="1" x="389"/>
        <item m="1" x="1135"/>
        <item m="1" x="950"/>
        <item m="1" x="1525"/>
        <item m="1" x="1336"/>
        <item m="1" x="1587"/>
        <item m="1" x="1103"/>
        <item m="1" x="1024"/>
        <item m="1" x="1073"/>
        <item m="1" x="443"/>
        <item m="1" x="1105"/>
        <item m="1" x="1554"/>
        <item m="1" x="1138"/>
        <item m="1" x="965"/>
        <item m="1" x="1583"/>
        <item m="1" x="1080"/>
        <item m="1" x="1601"/>
        <item m="1" x="1412"/>
        <item m="1" x="1116"/>
        <item m="1" x="107"/>
        <item m="1" x="1311"/>
        <item m="1" x="974"/>
        <item m="1" x="289"/>
        <item m="1" x="675"/>
        <item m="1" x="1588"/>
        <item m="1" x="1596"/>
        <item m="1" x="106"/>
        <item m="1" x="1500"/>
        <item m="1" x="1037"/>
        <item m="1" x="1112"/>
        <item m="1" x="1390"/>
        <item m="1" x="1486"/>
        <item m="1" x="943"/>
        <item m="1" x="958"/>
        <item m="1" x="1226"/>
        <item m="1" x="1175"/>
        <item m="1" x="951"/>
        <item m="1" x="1507"/>
        <item m="1" x="1408"/>
        <item m="1" x="1403"/>
        <item m="1" x="1206"/>
        <item m="1" x="1363"/>
        <item m="1" x="1171"/>
        <item m="1" x="1243"/>
        <item m="1" x="1194"/>
        <item m="1" x="1423"/>
        <item m="1" x="1087"/>
        <item m="1" x="1186"/>
        <item m="1" x="1236"/>
        <item m="1" x="984"/>
        <item m="1" x="326"/>
        <item m="1" x="48"/>
        <item m="1" x="1508"/>
        <item m="1" x="1144"/>
        <item m="1" x="1443"/>
        <item m="1" x="1289"/>
        <item m="1" x="990"/>
        <item m="1" x="1145"/>
        <item m="1" x="1477"/>
        <item m="1" x="1531"/>
        <item m="1" x="1223"/>
        <item m="1" x="749"/>
        <item m="1" x="1345"/>
        <item m="1" x="1344"/>
        <item m="1" x="1292"/>
        <item m="1" x="1153"/>
        <item m="1" x="1459"/>
        <item m="1" x="1484"/>
        <item m="1" x="1356"/>
        <item m="1" x="1580"/>
        <item m="1" x="95"/>
        <item x="19"/>
        <item m="1" x="1510"/>
        <item m="1" x="39"/>
        <item m="1" x="1429"/>
        <item m="1" x="68"/>
        <item m="1" x="185"/>
        <item m="1" x="1293"/>
        <item m="1" x="1301"/>
        <item m="1" x="1286"/>
        <item m="1" x="1199"/>
        <item m="1" x="855"/>
        <item m="1" x="1208"/>
        <item m="1" x="1375"/>
        <item m="1" x="1339"/>
        <item m="1" x="1221"/>
        <item m="1" x="988"/>
        <item m="1" x="534"/>
        <item m="1" x="1228"/>
        <item m="1" x="1297"/>
        <item m="1" x="210"/>
        <item m="1" x="1542"/>
        <item m="1" x="1158"/>
        <item m="1" x="1276"/>
        <item m="1" x="1480"/>
        <item m="1" x="778"/>
        <item m="1" x="1378"/>
        <item m="1" x="1364"/>
        <item m="1" x="745"/>
        <item m="1" x="1527"/>
        <item m="1" x="1017"/>
        <item m="1" x="1329"/>
        <item m="1" x="1264"/>
        <item m="1" x="276"/>
        <item m="1" x="1558"/>
        <item m="1" x="1184"/>
        <item m="1" x="1519"/>
        <item x="5"/>
        <item m="1" x="410"/>
        <item m="1" x="1287"/>
        <item m="1" x="195"/>
        <item m="1" x="744"/>
        <item m="1" x="638"/>
        <item m="1" x="421"/>
        <item m="1" x="1464"/>
        <item m="1" x="436"/>
        <item m="1" x="138"/>
        <item m="1" x="1398"/>
        <item m="1" x="1146"/>
        <item m="1" x="1152"/>
        <item m="1" x="1214"/>
        <item m="1" x="1371"/>
        <item m="1" x="1142"/>
        <item m="1" x="846"/>
        <item m="1" x="839"/>
        <item m="1" x="1232"/>
        <item m="1" x="1062"/>
        <item m="1" x="986"/>
        <item m="1" x="1376"/>
        <item m="1" x="1094"/>
        <item m="1" x="1005"/>
        <item m="1" x="1610"/>
        <item m="1" x="1166"/>
        <item m="1" x="887"/>
        <item m="1" x="1552"/>
        <item m="1" x="1023"/>
        <item m="1" x="72"/>
        <item m="1" x="786"/>
        <item m="1" x="1306"/>
        <item m="1" x="1291"/>
        <item m="1" x="1395"/>
        <item m="1" x="1121"/>
        <item m="1" x="1317"/>
        <item m="1" x="1045"/>
        <item m="1" x="1369"/>
        <item m="1" x="263"/>
        <item m="1" x="1137"/>
        <item m="1" x="1239"/>
        <item m="1" x="203"/>
        <item m="1" x="1465"/>
        <item m="1" x="1222"/>
        <item m="1" x="1212"/>
        <item m="1" x="1267"/>
        <item m="1" x="968"/>
        <item m="1" x="1022"/>
        <item m="1" x="1298"/>
        <item m="1" x="1324"/>
        <item m="1" x="970"/>
        <item m="1" x="169"/>
        <item m="1" x="1377"/>
        <item m="1" x="1451"/>
        <item m="1" x="1048"/>
        <item m="1" x="319"/>
        <item m="1" x="277"/>
        <item m="1" x="1220"/>
        <item m="1" x="1497"/>
        <item m="1" x="1130"/>
        <item m="1" x="1209"/>
        <item m="1" x="1052"/>
        <item m="1" x="1399"/>
        <item m="1" x="1417"/>
        <item m="1" x="1406"/>
        <item m="1" x="1347"/>
        <item m="1" x="1449"/>
        <item x="8"/>
        <item m="1" x="1532"/>
        <item m="1" x="1310"/>
        <item m="1" x="1590"/>
        <item m="1" x="1540"/>
        <item m="1" x="1097"/>
        <item m="1" x="1006"/>
        <item m="1" x="1448"/>
        <item m="1" x="1069"/>
        <item m="1" x="1418"/>
        <item m="1" x="1031"/>
        <item m="1" x="998"/>
        <item m="1" x="1189"/>
        <item m="1" x="1091"/>
        <item m="1" x="1462"/>
        <item m="1" x="1084"/>
        <item m="1" x="1059"/>
        <item m="1" x="1450"/>
        <item m="1" x="1463"/>
        <item x="25"/>
        <item m="1" x="1605"/>
        <item m="1" x="1384"/>
        <item m="1" x="695"/>
        <item m="1" x="1195"/>
        <item m="1" x="1383"/>
        <item m="1" x="1513"/>
        <item m="1" x="1095"/>
        <item m="1" x="1178"/>
        <item m="1" x="1447"/>
        <item m="1" x="261"/>
        <item m="1" x="1535"/>
        <item m="1" x="1481"/>
        <item m="1" x="1245"/>
        <item m="1" x="1014"/>
        <item m="1" x="1172"/>
        <item m="1" x="1009"/>
        <item m="1" x="882"/>
        <item m="1" x="1401"/>
        <item m="1" x="1543"/>
        <item m="1" x="1546"/>
        <item m="1" x="1566"/>
        <item m="1" x="1315"/>
        <item m="1" x="1071"/>
        <item m="1" x="1169"/>
        <item m="1" x="1492"/>
        <item m="1" x="1563"/>
        <item m="1" x="1453"/>
        <item m="1" x="1079"/>
        <item m="1" x="1489"/>
        <item m="1" x="1098"/>
        <item m="1" x="102"/>
        <item m="1" x="1134"/>
        <item m="1" x="1572"/>
        <item m="1" x="1148"/>
        <item m="1" x="1164"/>
        <item x="28"/>
        <item m="1" x="1177"/>
        <item m="1" x="1155"/>
        <item m="1" x="973"/>
        <item m="1" x="1039"/>
        <item m="1" x="1181"/>
        <item m="1" x="1216"/>
        <item m="1" x="977"/>
        <item m="1" x="1279"/>
        <item m="1" x="1332"/>
        <item m="1" x="1559"/>
        <item m="1" x="1131"/>
        <item m="1" x="1560"/>
        <item m="1" x="1413"/>
        <item m="1" x="1331"/>
        <item m="1" x="1570"/>
        <item m="1" x="872"/>
        <item m="1" x="1562"/>
        <item m="1" x="1273"/>
        <item m="1" x="1149"/>
        <item m="1" x="1551"/>
        <item m="1" x="1211"/>
        <item m="1" x="1602"/>
        <item m="1" x="1491"/>
        <item m="1" x="1454"/>
        <item m="1" x="1328"/>
        <item m="1" x="1456"/>
        <item m="1" x="1483"/>
        <item m="1" x="1081"/>
        <item m="1" x="1422"/>
        <item m="1" x="1101"/>
        <item m="1" x="980"/>
        <item m="1" x="1354"/>
        <item m="1" x="1530"/>
        <item m="1" x="804"/>
        <item m="1" x="547"/>
        <item m="1" x="1538"/>
        <item m="1" x="1058"/>
        <item m="1" x="1102"/>
        <item m="1" x="1343"/>
        <item m="1" x="1349"/>
        <item m="1" x="1359"/>
        <item m="1" x="1604"/>
        <item m="1" x="1599"/>
        <item m="1" x="1594"/>
        <item m="1" x="1521"/>
        <item m="1" x="155"/>
        <item m="1" x="208"/>
        <item m="1" x="1514"/>
        <item m="1" x="1033"/>
        <item m="1" x="1099"/>
        <item m="1" x="1534"/>
        <item m="1" x="999"/>
        <item m="1" x="1365"/>
        <item m="1" x="1504"/>
        <item m="1" x="1437"/>
        <item m="1" x="1028"/>
        <item m="1" x="1043"/>
        <item m="1" x="1557"/>
        <item m="1" x="1595"/>
        <item m="1" x="1088"/>
        <item m="1" x="1592"/>
        <item m="1" x="1235"/>
        <item m="1" x="517"/>
        <item m="1" x="1282"/>
        <item m="1" x="1501"/>
        <item m="1" x="1479"/>
        <item m="1" x="1544"/>
        <item m="1" x="962"/>
        <item m="1" x="1125"/>
        <item m="1" x="1426"/>
        <item m="1" x="1392"/>
        <item m="1" x="976"/>
        <item m="1" x="1231"/>
        <item m="1" x="1589"/>
        <item m="1" x="1475"/>
        <item m="1" x="1165"/>
        <item m="1" x="1319"/>
        <item m="1" x="1271"/>
        <item m="1" x="982"/>
        <item m="1" x="1274"/>
        <item m="1" x="1167"/>
        <item m="1" x="1060"/>
        <item m="1" x="1539"/>
        <item m="1" x="1490"/>
        <item m="1" x="680"/>
        <item m="1" x="762"/>
        <item m="1" x="1113"/>
        <item m="1" x="1410"/>
        <item m="1" x="1396"/>
        <item m="1" x="1515"/>
        <item m="1" x="1597"/>
        <item m="1" x="1198"/>
        <item m="1" x="1427"/>
        <item m="1" x="1001"/>
        <item m="1" x="1568"/>
        <item m="1" x="1077"/>
        <item m="1" x="1391"/>
        <item m="1" x="454"/>
        <item m="1" x="686"/>
        <item m="1" x="1108"/>
        <item m="1" x="1581"/>
        <item m="1" x="1442"/>
        <item m="1" x="1038"/>
        <item m="1" x="1255"/>
        <item m="1" x="971"/>
        <item m="1" x="1439"/>
        <item m="1" x="1415"/>
        <item m="1" x="1075"/>
        <item m="1" x="515"/>
        <item m="1" x="1215"/>
        <item m="1" x="1593"/>
        <item m="1" x="1025"/>
        <item m="1" x="1367"/>
        <item m="1" x="1229"/>
        <item m="1" x="1536"/>
        <item m="1" x="1318"/>
        <item m="1" x="1608"/>
        <item m="1" x="1372"/>
        <item m="1" x="1030"/>
        <item m="1" x="592"/>
        <item m="1" x="1280"/>
        <item m="1" x="862"/>
        <item m="1" x="1517"/>
        <item m="1" x="1201"/>
        <item m="1" x="1272"/>
        <item m="1" x="1281"/>
        <item m="1" x="1253"/>
        <item m="1" x="960"/>
        <item m="1" x="1034"/>
        <item m="1" x="1469"/>
        <item m="1" x="1516"/>
        <item m="1" x="1326"/>
        <item m="1" x="1132"/>
        <item m="1" x="1262"/>
        <item m="1" x="1388"/>
        <item m="1" x="1337"/>
        <item m="1" x="1368"/>
        <item m="1" x="324"/>
        <item m="1" x="1126"/>
        <item m="1" x="705"/>
        <item m="1" x="132"/>
        <item m="1" x="927"/>
        <item m="1" x="1416"/>
        <item m="1" x="1224"/>
        <item m="1" x="1234"/>
        <item m="1" x="956"/>
        <item m="1" x="1036"/>
        <item m="1" x="1277"/>
        <item m="1" x="1115"/>
        <item m="1" x="1203"/>
        <item m="1" x="1578"/>
        <item m="1" x="1207"/>
        <item m="1" x="1114"/>
        <item m="1" x="1487"/>
        <item m="1" x="1495"/>
        <item m="1" x="1606"/>
        <item m="1" x="1185"/>
        <item m="1" x="1357"/>
        <item m="1" x="1065"/>
        <item m="1" x="1296"/>
        <item m="1" x="1573"/>
        <item m="1" x="1498"/>
        <item m="1" x="1160"/>
        <item m="1" x="1250"/>
        <item m="1" x="1569"/>
        <item m="1" x="1007"/>
        <item m="1" x="1015"/>
        <item m="1" x="1550"/>
        <item m="1" x="1260"/>
        <item m="1" x="70"/>
        <item m="1" x="1457"/>
        <item m="1" x="1066"/>
        <item m="1" x="963"/>
        <item m="1" x="961"/>
        <item m="1" x="1072"/>
        <item m="1" x="1109"/>
        <item m="1" x="1141"/>
        <item m="1" x="1063"/>
        <item m="1" x="1598"/>
        <item m="1" x="1549"/>
        <item m="1" x="1348"/>
        <item m="1" x="1217"/>
        <item m="1" x="978"/>
        <item m="1" x="1397"/>
        <item m="1" x="1197"/>
        <item m="1" x="1202"/>
        <item m="1" x="1127"/>
        <item m="1" x="1118"/>
        <item m="1" x="1268"/>
        <item m="1" x="1055"/>
        <item m="1" x="1053"/>
        <item m="1" x="1285"/>
        <item m="1" x="1503"/>
        <item m="1" x="1374"/>
        <item m="1" x="1304"/>
        <item m="1" x="1089"/>
        <item m="1" x="1308"/>
        <item m="1" x="1455"/>
        <item m="1" x="425"/>
        <item m="1" x="1366"/>
        <item m="1" x="1248"/>
        <item m="1" x="1607"/>
        <item m="1" x="829"/>
        <item m="1" x="1140"/>
        <item m="1" x="1074"/>
        <item m="1" x="1555"/>
        <item m="1" x="1122"/>
        <item m="1" x="1441"/>
        <item m="1" x="256"/>
        <item m="1" x="1174"/>
        <item m="1" x="1263"/>
        <item m="1" x="1358"/>
        <item m="1" x="528"/>
        <item m="1" x="1414"/>
        <item m="1" x="1421"/>
        <item m="1" x="972"/>
        <item m="1" x="1548"/>
        <item m="1" x="1485"/>
        <item m="1" x="1381"/>
        <item m="1" x="914"/>
        <item m="1" x="508"/>
        <item m="1" x="725"/>
        <item m="1" x="46"/>
        <item m="1" x="448"/>
        <item m="1" x="1180"/>
        <item m="1" x="1577"/>
        <item m="1" x="1002"/>
        <item m="1" x="1278"/>
        <item m="1" x="1323"/>
        <item m="1" x="983"/>
        <item m="1" x="1051"/>
        <item m="1" x="1591"/>
        <item m="1" x="1320"/>
        <item m="1" x="1151"/>
        <item m="1" x="923"/>
        <item m="1" x="1370"/>
        <item m="1" x="964"/>
        <item m="1" x="916"/>
        <item m="1" x="1133"/>
        <item m="1" x="1330"/>
        <item m="1" x="1533"/>
        <item m="1" x="1360"/>
        <item m="1" x="1049"/>
        <item m="1" x="1136"/>
        <item m="1" x="1219"/>
        <item m="1" x="985"/>
        <item m="1" x="1341"/>
        <item x="11"/>
        <item m="1" x="1016"/>
        <item m="1" x="1585"/>
        <item m="1" x="1518"/>
        <item m="1" x="777"/>
        <item m="1" x="1041"/>
        <item m="1" x="1249"/>
        <item m="1" x="959"/>
        <item m="1" x="583"/>
        <item m="1" x="204"/>
        <item m="1" x="584"/>
        <item m="1" x="585"/>
        <item m="1" x="586"/>
        <item m="1" x="587"/>
        <item m="1" x="588"/>
        <item m="1" x="589"/>
        <item m="1" x="591"/>
        <item m="1" x="593"/>
        <item m="1" x="595"/>
        <item m="1" x="597"/>
        <item m="1" x="598"/>
        <item m="1" x="599"/>
        <item m="1" x="600"/>
        <item m="1" x="601"/>
        <item m="1" x="742"/>
        <item m="1" x="602"/>
        <item m="1" x="603"/>
        <item m="1" x="604"/>
        <item m="1" x="605"/>
        <item m="1" x="607"/>
        <item m="1" x="519"/>
        <item m="1" x="608"/>
        <item m="1" x="609"/>
        <item m="1" x="610"/>
        <item m="1" x="611"/>
        <item m="1" x="612"/>
        <item m="1" x="613"/>
        <item m="1" x="614"/>
        <item m="1" x="616"/>
        <item m="1" x="617"/>
        <item m="1" x="618"/>
        <item m="1" x="619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4"/>
        <item m="1" x="635"/>
        <item m="1" x="636"/>
        <item m="1" x="637"/>
        <item m="1" x="639"/>
        <item m="1" x="640"/>
        <item m="1" x="641"/>
        <item m="1" x="642"/>
        <item m="1" x="1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435"/>
        <item m="1" x="655"/>
        <item m="1" x="656"/>
        <item m="1" x="657"/>
        <item m="1" x="658"/>
        <item x="13"/>
        <item m="1" x="659"/>
        <item m="1" x="661"/>
        <item m="1" x="663"/>
        <item m="1" x="664"/>
        <item m="1" x="665"/>
        <item m="1" x="666"/>
        <item m="1" x="668"/>
        <item m="1" x="669"/>
        <item m="1" x="670"/>
        <item m="1" x="671"/>
        <item m="1" x="672"/>
        <item m="1" x="673"/>
        <item m="1" x="674"/>
        <item m="1" x="221"/>
        <item m="1" x="676"/>
        <item m="1" x="677"/>
        <item m="1" x="678"/>
        <item m="1" x="679"/>
        <item m="1" x="681"/>
        <item m="1" x="682"/>
        <item m="1" x="683"/>
        <item m="1" x="684"/>
        <item m="1" x="685"/>
        <item m="1" x="687"/>
        <item m="1" x="689"/>
        <item m="1" x="690"/>
        <item m="1" x="1528"/>
        <item m="1" x="691"/>
        <item m="1" x="692"/>
        <item m="1" x="693"/>
        <item m="1" x="694"/>
        <item m="1" x="1050"/>
        <item m="1" x="698"/>
        <item m="1" x="470"/>
        <item m="1" x="699"/>
        <item m="1" x="1294"/>
        <item m="1" x="700"/>
        <item m="1" x="701"/>
        <item m="1" x="702"/>
        <item m="1" x="703"/>
        <item m="1" x="704"/>
        <item m="1" x="288"/>
        <item m="1" x="706"/>
        <item m="1" x="707"/>
        <item m="1" x="708"/>
        <item m="1" x="709"/>
        <item m="1" x="99"/>
        <item m="1" x="710"/>
        <item m="1" x="713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7"/>
        <item m="1" x="728"/>
        <item m="1" x="729"/>
        <item m="1" x="337"/>
        <item m="1" x="730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3"/>
        <item m="1" x="404"/>
        <item m="1" x="746"/>
        <item m="1" x="747"/>
        <item m="1" x="748"/>
        <item m="1" x="751"/>
        <item m="1" x="752"/>
        <item m="1" x="753"/>
        <item m="1" x="754"/>
        <item m="1" x="756"/>
        <item m="1" x="757"/>
        <item m="1" x="758"/>
        <item m="1" x="759"/>
        <item m="1" x="760"/>
        <item m="1" x="761"/>
        <item m="1" x="763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498"/>
        <item m="1" x="779"/>
        <item m="1" x="780"/>
        <item m="1" x="781"/>
        <item m="1" x="782"/>
        <item x="4"/>
        <item m="1" x="783"/>
        <item m="1" x="784"/>
        <item m="1" x="785"/>
        <item m="1" x="788"/>
        <item m="1" x="574"/>
        <item m="1" x="789"/>
        <item m="1" x="790"/>
        <item m="1" x="792"/>
        <item m="1" x="793"/>
        <item m="1" x="794"/>
        <item m="1" x="796"/>
        <item m="1" x="797"/>
        <item m="1" x="798"/>
        <item m="1" x="799"/>
        <item m="1" x="800"/>
        <item m="1" x="801"/>
        <item m="1" x="802"/>
        <item m="1" x="803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232"/>
        <item m="1" x="822"/>
        <item m="1" x="264"/>
        <item m="1" x="823"/>
        <item m="1" x="300"/>
        <item m="1" x="824"/>
        <item m="1" x="825"/>
        <item m="1" x="826"/>
        <item m="1" x="827"/>
        <item m="1" x="1346"/>
        <item m="1" x="697"/>
        <item m="1" x="696"/>
        <item m="1" x="828"/>
        <item m="1" x="830"/>
        <item m="1" x="831"/>
        <item m="1" x="833"/>
        <item m="1" x="832"/>
        <item m="1" x="1082"/>
        <item m="1" x="834"/>
        <item m="1" x="538"/>
        <item m="1" x="835"/>
        <item m="1" x="836"/>
        <item m="1" x="837"/>
        <item m="1" x="838"/>
        <item m="1" x="840"/>
        <item m="1" x="841"/>
        <item m="1" x="842"/>
        <item m="1" x="843"/>
        <item m="1" x="844"/>
        <item m="1" x="845"/>
        <item m="1" x="848"/>
        <item m="1" x="847"/>
        <item m="1" x="849"/>
        <item m="1" x="850"/>
        <item m="1" x="851"/>
        <item m="1" x="852"/>
        <item m="1" x="853"/>
        <item m="1" x="854"/>
        <item m="1" x="856"/>
        <item m="1" x="857"/>
        <item m="1" x="858"/>
        <item m="1" x="859"/>
        <item m="1" x="860"/>
        <item m="1" x="861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3"/>
        <item m="1" x="884"/>
        <item m="1" x="885"/>
        <item m="1" x="886"/>
        <item m="1" x="1176"/>
        <item m="1" x="888"/>
        <item m="1" x="889"/>
        <item m="1" x="890"/>
        <item m="1" x="485"/>
        <item m="1" x="891"/>
        <item m="1" x="893"/>
        <item m="1" x="894"/>
        <item m="1" x="895"/>
        <item m="1" x="896"/>
        <item m="1" x="897"/>
        <item m="1" x="892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231"/>
        <item m="1" x="907"/>
        <item m="1" x="908"/>
        <item m="1" x="909"/>
        <item m="1" x="910"/>
        <item m="1" x="911"/>
        <item m="1" x="156"/>
        <item m="1" x="912"/>
        <item m="1" x="913"/>
        <item m="1" x="473"/>
        <item m="1" x="915"/>
        <item m="1" x="917"/>
        <item m="1" x="918"/>
        <item m="1" x="919"/>
        <item m="1" x="920"/>
        <item m="1" x="921"/>
        <item m="1" x="922"/>
        <item m="1" x="924"/>
        <item m="1" x="925"/>
        <item m="1" x="926"/>
        <item m="1" x="928"/>
        <item m="1" x="929"/>
        <item m="1" x="930"/>
        <item m="1" x="931"/>
        <item m="1" x="932"/>
        <item m="1" x="933"/>
        <item m="1" x="934"/>
        <item m="1" x="936"/>
        <item m="1" x="937"/>
        <item m="1" x="938"/>
        <item m="1" x="939"/>
        <item m="1" x="940"/>
        <item m="1" x="941"/>
        <item m="1" x="942"/>
        <item m="1" x="255"/>
        <item m="1" x="944"/>
        <item m="1" x="949"/>
        <item m="1" x="945"/>
        <item m="1" x="946"/>
        <item m="1" x="111"/>
        <item m="1" x="947"/>
        <item m="1" x="948"/>
        <item m="1" x="40"/>
        <item m="1" x="42"/>
        <item m="1" x="43"/>
        <item m="1" x="45"/>
        <item m="1" x="582"/>
        <item m="1" x="49"/>
        <item m="1" x="50"/>
        <item m="1" x="47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6"/>
        <item m="1" x="67"/>
        <item m="1" x="69"/>
        <item m="1" x="71"/>
        <item m="1" x="73"/>
        <item m="1" x="74"/>
        <item m="1" x="75"/>
        <item m="1" x="580"/>
        <item m="1" x="76"/>
        <item m="1" x="79"/>
        <item m="1" x="80"/>
        <item m="1" x="81"/>
        <item m="1" x="82"/>
        <item m="1" x="83"/>
        <item m="1" x="84"/>
        <item m="1" x="85"/>
        <item m="1" x="579"/>
        <item m="1" x="87"/>
        <item m="1" x="88"/>
        <item m="1" x="89"/>
        <item m="1" x="86"/>
        <item m="1" x="90"/>
        <item m="1" x="92"/>
        <item m="1" x="93"/>
        <item m="1" x="94"/>
        <item m="1" x="96"/>
        <item m="1" x="97"/>
        <item m="1" x="98"/>
        <item m="1" x="578"/>
        <item m="1" x="101"/>
        <item m="1" x="103"/>
        <item m="1" x="108"/>
        <item m="1" x="110"/>
        <item m="1" x="112"/>
        <item m="1" x="113"/>
        <item m="1" x="114"/>
        <item m="1" x="115"/>
        <item m="1" x="116"/>
        <item m="1" x="117"/>
        <item m="1" x="118"/>
        <item m="1" x="100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3"/>
        <item m="1" x="134"/>
        <item m="1" x="135"/>
        <item m="1" x="136"/>
        <item m="1" x="137"/>
        <item m="1" x="139"/>
        <item m="1" x="142"/>
        <item m="1" x="143"/>
        <item m="1" x="144"/>
        <item m="1" x="145"/>
        <item m="1" x="147"/>
        <item m="1" x="148"/>
        <item m="1" x="149"/>
        <item m="1" x="150"/>
        <item m="1" x="151"/>
        <item m="1" x="152"/>
        <item m="1" x="575"/>
        <item m="1" x="154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70"/>
        <item m="1" x="172"/>
        <item m="1" x="173"/>
        <item m="1" x="174"/>
        <item m="1" x="175"/>
        <item m="1" x="176"/>
        <item m="1" x="178"/>
        <item m="1" x="179"/>
        <item m="1" x="180"/>
        <item m="1" x="182"/>
        <item m="1" x="183"/>
        <item m="1" x="184"/>
        <item m="1" x="186"/>
        <item m="1" x="187"/>
        <item m="1" x="189"/>
        <item m="1" x="190"/>
        <item m="1" x="191"/>
        <item m="1" x="192"/>
        <item m="1" x="193"/>
        <item m="1" x="194"/>
        <item m="1" x="196"/>
        <item m="1" x="197"/>
        <item m="1" x="198"/>
        <item m="1" x="199"/>
        <item m="1" x="200"/>
        <item m="1" x="205"/>
        <item m="1" x="206"/>
        <item m="1" x="207"/>
        <item m="1" x="209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9"/>
        <item m="1" x="230"/>
        <item m="1" x="220"/>
        <item m="1" x="222"/>
        <item m="1" x="223"/>
        <item m="1" x="224"/>
        <item m="1" x="225"/>
        <item m="1" x="226"/>
        <item m="1" x="227"/>
        <item m="1" x="228"/>
        <item m="1" x="233"/>
        <item m="1" x="234"/>
        <item m="1" x="237"/>
        <item m="1" x="238"/>
        <item m="1" x="240"/>
        <item m="1" x="241"/>
        <item m="1" x="243"/>
        <item m="1" x="244"/>
        <item m="1" x="245"/>
        <item m="1" x="246"/>
        <item m="1" x="248"/>
        <item m="1" x="249"/>
        <item m="1" x="250"/>
        <item m="1" x="251"/>
        <item m="1" x="252"/>
        <item m="1" x="253"/>
        <item m="1" x="254"/>
        <item m="1" x="257"/>
        <item m="1" x="258"/>
        <item m="1" x="259"/>
        <item m="1" x="260"/>
        <item m="1" x="265"/>
        <item m="1" x="266"/>
        <item m="1" x="267"/>
        <item m="1" x="270"/>
        <item m="1" x="271"/>
        <item m="1" x="272"/>
        <item m="1" x="576"/>
        <item m="1" x="274"/>
        <item m="1" x="577"/>
        <item m="1" x="279"/>
        <item m="1" x="281"/>
        <item m="1" x="282"/>
        <item m="1" x="283"/>
        <item m="1" x="284"/>
        <item m="1" x="285"/>
        <item m="1" x="290"/>
        <item m="1" x="291"/>
        <item m="1" x="153"/>
        <item m="1" x="273"/>
        <item m="1" x="275"/>
        <item m="1" x="292"/>
        <item m="1" x="293"/>
        <item m="1" x="294"/>
        <item m="1" x="295"/>
        <item m="1" x="296"/>
        <item m="1" x="297"/>
        <item m="1" x="298"/>
        <item m="1" x="299"/>
        <item m="1" x="301"/>
        <item m="1" x="303"/>
        <item m="1" x="304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7"/>
        <item m="1" x="318"/>
        <item m="1" x="320"/>
        <item m="1" x="321"/>
        <item m="1" x="322"/>
        <item m="1" x="323"/>
        <item m="1" x="325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6"/>
        <item m="1" x="407"/>
        <item m="1" x="408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2"/>
        <item m="1" x="423"/>
        <item m="1" x="424"/>
        <item m="1" x="426"/>
        <item m="1" x="427"/>
        <item m="1" x="428"/>
        <item m="1" x="430"/>
        <item m="1" x="431"/>
        <item m="1" x="432"/>
        <item m="1" x="433"/>
        <item m="1" x="434"/>
        <item m="1" x="437"/>
        <item m="1" x="438"/>
        <item m="1" x="440"/>
        <item m="1" x="441"/>
        <item m="1" x="442"/>
        <item m="1" x="444"/>
        <item m="1" x="445"/>
        <item m="1" x="446"/>
        <item m="1" x="447"/>
        <item m="1" x="449"/>
        <item m="1" x="450"/>
        <item m="1" x="451"/>
        <item m="1" x="452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7"/>
        <item m="1" x="468"/>
        <item m="1" x="469"/>
        <item m="1" x="471"/>
        <item m="1" x="472"/>
        <item m="1" x="474"/>
        <item m="1" x="475"/>
        <item m="1" x="477"/>
        <item m="1" x="478"/>
        <item m="1" x="479"/>
        <item m="1" x="480"/>
        <item m="1" x="482"/>
        <item m="1" x="483"/>
        <item m="1" x="484"/>
        <item m="1" x="571"/>
        <item m="1" x="487"/>
        <item m="1" x="280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9"/>
        <item m="1" x="500"/>
        <item m="1" x="503"/>
        <item m="1" x="507"/>
        <item m="1" x="504"/>
        <item m="1" x="505"/>
        <item m="1" x="506"/>
        <item m="1" x="509"/>
        <item m="1" x="511"/>
        <item m="1" x="512"/>
        <item m="1" x="514"/>
        <item m="1" x="516"/>
        <item m="1" x="572"/>
        <item m="1" x="573"/>
        <item m="1" x="518"/>
        <item m="1" x="520"/>
        <item m="1" x="521"/>
        <item m="1" x="522"/>
        <item m="1" x="523"/>
        <item m="1" x="524"/>
        <item m="1" x="525"/>
        <item m="1" x="526"/>
        <item m="1" x="527"/>
        <item m="1" x="513"/>
        <item m="1" x="529"/>
        <item m="1" x="530"/>
        <item m="1" x="531"/>
        <item m="1" x="532"/>
        <item m="1" x="533"/>
        <item m="1" x="486"/>
        <item m="1" x="535"/>
        <item m="1" x="536"/>
        <item m="1" x="537"/>
        <item m="1" x="539"/>
        <item m="1" x="540"/>
        <item m="1" x="541"/>
        <item m="1" x="542"/>
        <item m="1" x="543"/>
        <item m="1" x="544"/>
        <item m="1" x="545"/>
        <item m="1" x="546"/>
        <item m="1" x="548"/>
        <item m="1" x="549"/>
        <item m="1" x="550"/>
        <item m="1" x="551"/>
        <item m="1" x="552"/>
        <item m="1" x="553"/>
        <item m="1" x="554"/>
        <item m="1" x="556"/>
        <item m="1" x="570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x="7"/>
        <item x="9"/>
        <item x="10"/>
        <item x="12"/>
        <item x="14"/>
        <item x="15"/>
        <item x="16"/>
        <item x="17"/>
        <item x="20"/>
        <item x="22"/>
        <item x="23"/>
        <item x="24"/>
        <item x="27"/>
        <item x="29"/>
        <item x="30"/>
        <item x="31"/>
        <item x="33"/>
        <item m="1" x="38"/>
        <item x="34"/>
        <item x="35"/>
        <item x="3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pageFields count="3">
    <pageField fld="3" hier="-1"/>
    <pageField fld="7" hier="-1"/>
    <pageField fld="9" hier="-1"/>
  </pageFields>
  <dataFields count="2">
    <dataField name="Količina robe" fld="9" baseField="1" baseItem="1" numFmtId="4"/>
    <dataField name="Vrednost" fld="13" baseField="1" baseItem="1" numFmtId="4"/>
  </dataFields>
  <formats count="1">
    <format dxfId="484">
      <pivotArea field="1" type="button" dataOnly="0" labelOnly="1" outline="0"/>
    </format>
  </formats>
  <pivotTableStyleInfo name="PivotStyleDark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Izvedena tabela3" cacheId="0" applyNumberFormats="0" applyBorderFormats="0" applyFontFormats="0" applyPatternFormats="0" applyAlignmentFormats="0" applyWidthHeightFormats="1" dataCaption="Vrednosti" errorCaption="0" showError="1" updatedVersion="8" minRefreshableVersion="3" asteriskTotals="1" useAutoFormatting="1" itemPrintTitles="1" createdVersion="5" indent="0" outline="1" outlineData="1" multipleFieldFilters="0">
  <location ref="J7:O176" firstHeaderRow="0" firstDataRow="1" firstDataCol="1" rowPageCount="4" colPageCount="1"/>
  <pivotFields count="48">
    <pivotField dataField="1" showAll="0" defaultSubtotal="0"/>
    <pivotField axis="axisRow" numFmtId="167" showAll="0" insertPageBreak="1" includeNewItemsInFilter="1" sortType="ascending">
      <items count="33">
        <item sd="0" x="0"/>
        <item sd="0" x="1"/>
        <item x="2"/>
        <item x="3"/>
        <item x="4"/>
        <item x="5"/>
        <item x="6"/>
        <item x="7"/>
        <item x="8"/>
        <item x="19"/>
        <item x="9"/>
        <item x="10"/>
        <item x="11"/>
        <item x="17"/>
        <item x="12"/>
        <item x="13"/>
        <item x="14"/>
        <item x="15"/>
        <item x="16"/>
        <item x="18"/>
        <item x="20"/>
        <item x="21"/>
        <item x="22"/>
        <item x="23"/>
        <item x="24"/>
        <item x="25"/>
        <item x="27"/>
        <item x="26"/>
        <item x="28"/>
        <item x="29"/>
        <item x="30"/>
        <item x="31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axis="axisPage" multipleItemSelectionAllowed="1" showAll="0">
      <items count="8">
        <item x="1"/>
        <item x="0"/>
        <item x="2"/>
        <item x="4"/>
        <item x="5"/>
        <item x="3"/>
        <item m="1" x="6"/>
        <item t="default"/>
      </items>
    </pivotField>
    <pivotField multipleItemSelectionAllowed="1" showAll="0"/>
    <pivotField axis="axisRow" showAll="0">
      <items count="63">
        <item x="0"/>
        <item x="2"/>
        <item sd="0"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x="1"/>
        <item x="2"/>
        <item x="0"/>
        <item x="3"/>
        <item x="4"/>
        <item x="5"/>
        <item t="default"/>
      </items>
    </pivotField>
    <pivotField axis="axisPage" multipleItemSelectionAllowed="1" showAll="0">
      <items count="21">
        <item x="8"/>
        <item x="12"/>
        <item sd="0" x="0"/>
        <item sd="0" x="2"/>
        <item sd="0" x="9"/>
        <item sd="0" x="1"/>
        <item sd="0" x="4"/>
        <item sd="0" x="11"/>
        <item sd="0" x="5"/>
        <item sd="0" x="3"/>
        <item sd="0" x="7"/>
        <item x="10"/>
        <item x="13"/>
        <item x="15"/>
        <item x="14"/>
        <item x="6"/>
        <item m="1" x="18"/>
        <item x="16"/>
        <item m="1" x="17"/>
        <item m="1" x="19"/>
        <item t="default"/>
      </items>
    </pivotField>
    <pivotField axis="axisRow" showAll="0">
      <items count="66">
        <item x="12"/>
        <item x="27"/>
        <item x="26"/>
        <item x="55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15"/>
        <item x="13"/>
        <item x="14"/>
        <item x="49"/>
        <item x="53"/>
        <item x="21"/>
        <item x="30"/>
        <item x="29"/>
        <item x="22"/>
        <item x="23"/>
        <item x="6"/>
        <item x="28"/>
        <item x="25"/>
        <item x="24"/>
        <item x="7"/>
        <item x="5"/>
        <item x="3"/>
        <item x="2"/>
        <item x="4"/>
        <item x="1"/>
        <item x="33"/>
        <item x="10"/>
        <item x="8"/>
        <item x="9"/>
        <item x="54"/>
        <item x="48"/>
        <item x="37"/>
        <item x="43"/>
        <item x="40"/>
        <item x="36"/>
        <item x="56"/>
        <item x="41"/>
        <item x="38"/>
        <item x="39"/>
        <item x="16"/>
        <item x="50"/>
        <item x="34"/>
        <item x="11"/>
        <item x="47"/>
        <item x="35"/>
        <item x="42"/>
        <item x="57"/>
        <item m="1" x="61"/>
        <item x="59"/>
        <item x="58"/>
        <item m="1" x="64"/>
        <item m="1" x="60"/>
        <item m="1" x="62"/>
        <item m="1" x="63"/>
        <item t="default"/>
      </items>
    </pivotField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8"/>
    <field x="5"/>
  </rowFields>
  <rowItems count="169">
    <i>
      <x/>
    </i>
    <i>
      <x v="1"/>
    </i>
    <i>
      <x v="2"/>
    </i>
    <i r="1">
      <x v="12"/>
    </i>
    <i r="2">
      <x v="8"/>
    </i>
    <i r="1">
      <x v="57"/>
    </i>
    <i r="2">
      <x v="4"/>
    </i>
    <i>
      <x v="3"/>
    </i>
    <i r="1">
      <x v="19"/>
    </i>
    <i r="2">
      <x v="4"/>
    </i>
    <i r="1">
      <x v="36"/>
    </i>
    <i r="2">
      <x v="2"/>
    </i>
    <i r="1">
      <x v="46"/>
    </i>
    <i r="2">
      <x v="2"/>
    </i>
    <i r="2">
      <x v="6"/>
    </i>
    <i>
      <x v="4"/>
    </i>
    <i r="1">
      <x v="46"/>
    </i>
    <i r="2">
      <x v="4"/>
    </i>
    <i>
      <x v="5"/>
    </i>
    <i r="1">
      <x v="36"/>
    </i>
    <i r="2">
      <x v="2"/>
    </i>
    <i>
      <x v="6"/>
    </i>
    <i r="1">
      <x v="56"/>
    </i>
    <i r="2">
      <x v="38"/>
    </i>
    <i>
      <x v="7"/>
    </i>
    <i r="1">
      <x v="60"/>
    </i>
    <i r="2">
      <x v="39"/>
    </i>
    <i>
      <x v="8"/>
    </i>
    <i r="1">
      <x v="36"/>
    </i>
    <i r="2">
      <x v="50"/>
    </i>
    <i>
      <x v="9"/>
    </i>
    <i r="1">
      <x v="46"/>
    </i>
    <i r="2">
      <x v="50"/>
    </i>
    <i>
      <x v="10"/>
    </i>
    <i r="1">
      <x v="36"/>
    </i>
    <i r="2">
      <x v="50"/>
    </i>
    <i>
      <x v="11"/>
    </i>
    <i r="1">
      <x v="36"/>
    </i>
    <i r="2">
      <x v="2"/>
    </i>
    <i r="2">
      <x v="50"/>
    </i>
    <i r="1">
      <x v="60"/>
    </i>
    <i r="2">
      <x v="39"/>
    </i>
    <i>
      <x v="12"/>
    </i>
    <i r="1">
      <x v="59"/>
    </i>
    <i r="2">
      <x v="41"/>
    </i>
    <i>
      <x v="13"/>
    </i>
    <i r="1">
      <x v="36"/>
    </i>
    <i r="2">
      <x v="50"/>
    </i>
    <i>
      <x v="14"/>
    </i>
    <i r="1">
      <x v="36"/>
    </i>
    <i r="2">
      <x v="2"/>
    </i>
    <i r="2">
      <x v="50"/>
    </i>
    <i r="1">
      <x v="46"/>
    </i>
    <i r="2">
      <x v="6"/>
    </i>
    <i r="2">
      <x v="50"/>
    </i>
    <i>
      <x v="15"/>
    </i>
    <i r="1">
      <x v="36"/>
    </i>
    <i r="2">
      <x v="50"/>
    </i>
    <i r="1">
      <x v="46"/>
    </i>
    <i r="2">
      <x v="2"/>
    </i>
    <i>
      <x v="16"/>
    </i>
    <i r="1">
      <x v="36"/>
    </i>
    <i r="2">
      <x v="50"/>
    </i>
    <i r="1">
      <x v="46"/>
    </i>
    <i r="2">
      <x v="6"/>
    </i>
    <i>
      <x v="17"/>
    </i>
    <i r="1">
      <x v="36"/>
    </i>
    <i r="2">
      <x v="50"/>
    </i>
    <i r="1">
      <x v="46"/>
    </i>
    <i r="2">
      <x v="6"/>
    </i>
    <i>
      <x v="18"/>
    </i>
    <i r="1">
      <x v="36"/>
    </i>
    <i r="2">
      <x v="2"/>
    </i>
    <i r="2">
      <x v="50"/>
    </i>
    <i r="1">
      <x v="46"/>
    </i>
    <i r="2">
      <x v="6"/>
    </i>
    <i>
      <x v="19"/>
    </i>
    <i r="1">
      <x v="36"/>
    </i>
    <i r="2">
      <x v="2"/>
    </i>
    <i r="2">
      <x v="50"/>
    </i>
    <i>
      <x v="20"/>
    </i>
    <i r="1">
      <x v="36"/>
    </i>
    <i r="2">
      <x v="50"/>
    </i>
    <i r="1">
      <x v="46"/>
    </i>
    <i r="2">
      <x v="6"/>
    </i>
    <i r="2">
      <x v="50"/>
    </i>
    <i>
      <x v="21"/>
    </i>
    <i r="1">
      <x v="36"/>
    </i>
    <i r="2">
      <x v="50"/>
    </i>
    <i r="1">
      <x v="46"/>
    </i>
    <i r="2">
      <x v="6"/>
    </i>
    <i r="2">
      <x v="10"/>
    </i>
    <i r="2">
      <x v="50"/>
    </i>
    <i>
      <x v="22"/>
    </i>
    <i r="1">
      <x v="36"/>
    </i>
    <i r="2">
      <x v="50"/>
    </i>
    <i r="1">
      <x v="46"/>
    </i>
    <i r="2">
      <x v="6"/>
    </i>
    <i r="2">
      <x v="50"/>
    </i>
    <i>
      <x v="23"/>
    </i>
    <i r="1">
      <x v="36"/>
    </i>
    <i r="2">
      <x v="2"/>
    </i>
    <i r="2">
      <x v="50"/>
    </i>
    <i r="1">
      <x v="46"/>
    </i>
    <i r="2">
      <x v="10"/>
    </i>
    <i r="2">
      <x v="50"/>
    </i>
    <i>
      <x v="24"/>
    </i>
    <i r="1">
      <x v="36"/>
    </i>
    <i r="2">
      <x v="50"/>
    </i>
    <i r="1">
      <x v="46"/>
    </i>
    <i r="2">
      <x v="6"/>
    </i>
    <i r="2">
      <x v="50"/>
    </i>
    <i>
      <x v="25"/>
    </i>
    <i r="1">
      <x v="36"/>
    </i>
    <i r="2">
      <x v="2"/>
    </i>
    <i r="2">
      <x v="50"/>
    </i>
    <i r="1">
      <x v="46"/>
    </i>
    <i r="2">
      <x v="6"/>
    </i>
    <i>
      <x v="26"/>
    </i>
    <i r="1">
      <x v="36"/>
    </i>
    <i r="2">
      <x v="2"/>
    </i>
    <i r="2">
      <x v="50"/>
    </i>
    <i>
      <x v="27"/>
    </i>
    <i r="1">
      <x v="36"/>
    </i>
    <i r="2">
      <x v="50"/>
    </i>
    <i r="1">
      <x v="46"/>
    </i>
    <i r="2">
      <x v="6"/>
    </i>
    <i r="2">
      <x v="10"/>
    </i>
    <i r="2">
      <x v="50"/>
    </i>
    <i r="1">
      <x v="53"/>
    </i>
    <i r="2">
      <x v="50"/>
    </i>
    <i>
      <x v="28"/>
    </i>
    <i r="1">
      <x v="36"/>
    </i>
    <i r="2">
      <x v="50"/>
    </i>
    <i r="1">
      <x v="46"/>
    </i>
    <i r="2">
      <x v="6"/>
    </i>
    <i r="2">
      <x v="50"/>
    </i>
    <i r="1">
      <x v="53"/>
    </i>
    <i r="2">
      <x v="50"/>
    </i>
    <i>
      <x v="29"/>
    </i>
    <i r="1">
      <x v="36"/>
    </i>
    <i r="2">
      <x v="2"/>
    </i>
    <i r="2">
      <x v="50"/>
    </i>
    <i r="1">
      <x v="46"/>
    </i>
    <i r="2">
      <x v="6"/>
    </i>
    <i r="2">
      <x v="10"/>
    </i>
    <i r="2">
      <x v="50"/>
    </i>
    <i r="1">
      <x v="53"/>
    </i>
    <i r="2">
      <x v="50"/>
    </i>
    <i>
      <x v="30"/>
    </i>
    <i r="1">
      <x v="36"/>
    </i>
    <i r="2">
      <x v="50"/>
    </i>
    <i r="1">
      <x v="46"/>
    </i>
    <i r="2">
      <x v="6"/>
    </i>
    <i r="2">
      <x v="10"/>
    </i>
    <i r="2">
      <x v="50"/>
    </i>
    <i r="1">
      <x v="53"/>
    </i>
    <i r="2">
      <x v="50"/>
    </i>
    <i>
      <x v="31"/>
    </i>
    <i r="1">
      <x v="36"/>
    </i>
    <i r="2">
      <x v="2"/>
    </i>
    <i r="2">
      <x v="50"/>
    </i>
    <i r="1">
      <x v="46"/>
    </i>
    <i r="2">
      <x v="2"/>
    </i>
    <i r="2">
      <x v="6"/>
    </i>
    <i r="2">
      <x v="50"/>
    </i>
    <i r="1">
      <x v="53"/>
    </i>
    <i r="2">
      <x v="5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3" hier="-1"/>
    <pageField fld="2" hier="-1"/>
    <pageField fld="7" hier="-1"/>
    <pageField fld="6" hier="-1"/>
  </pageFields>
  <dataFields count="5">
    <dataField name="Količina robe" fld="9" baseField="1" baseItem="1" numFmtId="4"/>
    <dataField name="Cena Dinarska" fld="10" subtotal="average" baseField="1" baseItem="1" numFmtId="4"/>
    <dataField name="Marža " fld="12" subtotal="average" baseField="1" baseItem="1" numFmtId="4"/>
    <dataField name="Vrednost" fld="13" baseField="1" baseItem="1" numFmtId="4"/>
    <dataField name="Sum of š" fld="0" baseField="0" baseItem="0"/>
  </dataFields>
  <formats count="2">
    <format dxfId="48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85">
      <pivotArea field="1" type="button" dataOnly="0" labelOnly="1" outline="0" axis="axisRow" fieldPosition="0"/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Izvedena tabela8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R20:S21" firstHeaderRow="0" firstDataRow="1" firstDataCol="0" rowPageCount="3" colPageCount="1"/>
  <pivotFields count="48">
    <pivotField showAll="0" defaultSubtotal="0"/>
    <pivotField numFmtId="167" showAll="0" insertPageBreak="1" includeNewItemsInFilter="1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multipleItemSelectionAllowed="1" showAll="0"/>
    <pivotField showAll="0"/>
    <pivotField multipleItemSelectionAllowed="1" showAll="0"/>
    <pivotField axis="axisPage" multipleItemSelectionAllowed="1" showAll="0">
      <items count="21">
        <item h="1" x="8"/>
        <item h="1" x="12"/>
        <item h="1" sd="0" x="0"/>
        <item h="1" sd="0" x="2"/>
        <item h="1" sd="0" x="9"/>
        <item h="1" sd="0" x="1"/>
        <item sd="0" x="4"/>
        <item h="1" sd="0" x="11"/>
        <item h="1" sd="0" x="5"/>
        <item h="1" sd="0" x="3"/>
        <item h="1" sd="0" x="7"/>
        <item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showAll="0"/>
    <pivotField axis="axisPage" dataField="1" showAll="0">
      <items count="1613">
        <item x="2"/>
        <item x="0"/>
        <item x="1"/>
        <item x="3"/>
        <item m="1" x="439"/>
        <item m="1" x="1086"/>
        <item m="1" x="594"/>
        <item m="1" x="1057"/>
        <item m="1" x="1242"/>
        <item m="1" x="969"/>
        <item x="18"/>
        <item m="1" x="476"/>
        <item m="1" x="1170"/>
        <item m="1" x="287"/>
        <item m="1" x="466"/>
        <item m="1" x="177"/>
        <item m="1" x="1460"/>
        <item m="1" x="1309"/>
        <item m="1" x="996"/>
        <item m="1" x="1352"/>
        <item m="1" x="1316"/>
        <item m="1" x="269"/>
        <item m="1" x="1270"/>
        <item m="1" x="41"/>
        <item m="1" x="1258"/>
        <item m="1" x="1046"/>
        <item m="1" x="1012"/>
        <item m="1" x="1093"/>
        <item m="1" x="262"/>
        <item m="1" x="1000"/>
        <item m="1" x="1586"/>
        <item x="21"/>
        <item m="1" x="1523"/>
        <item m="1" x="1251"/>
        <item m="1" x="316"/>
        <item m="1" x="1161"/>
        <item m="1" x="1335"/>
        <item m="1" x="590"/>
        <item m="1" x="235"/>
        <item m="1" x="1124"/>
        <item m="1" x="1327"/>
        <item m="1" x="1183"/>
        <item m="1" x="1400"/>
        <item m="1" x="1156"/>
        <item m="1" x="146"/>
        <item m="1" x="667"/>
        <item m="1" x="247"/>
        <item m="1" x="989"/>
        <item m="1" x="1182"/>
        <item m="1" x="1029"/>
        <item x="32"/>
        <item m="1" x="1373"/>
        <item m="1" x="44"/>
        <item m="1" x="1609"/>
        <item m="1" x="1021"/>
        <item m="1" x="1259"/>
        <item m="1" x="268"/>
        <item m="1" x="1284"/>
        <item m="1" x="1478"/>
        <item m="1" x="1445"/>
        <item m="1" x="1064"/>
        <item m="1" x="1452"/>
        <item m="1" x="1035"/>
        <item m="1" x="1162"/>
        <item m="1" x="278"/>
        <item m="1" x="140"/>
        <item m="1" x="1210"/>
        <item m="1" x="1430"/>
        <item m="1" x="1044"/>
        <item m="1" x="188"/>
        <item m="1" x="1265"/>
        <item m="1" x="1493"/>
        <item m="1" x="239"/>
        <item m="1" x="1056"/>
        <item m="1" x="966"/>
        <item m="1" x="935"/>
        <item m="1" x="1192"/>
        <item m="1" x="1092"/>
        <item m="1" x="1163"/>
        <item m="1" x="453"/>
        <item m="1" x="1205"/>
        <item m="1" x="1085"/>
        <item m="1" x="501"/>
        <item m="1" x="1520"/>
        <item m="1" x="1247"/>
        <item m="1" x="1404"/>
        <item m="1" x="1083"/>
        <item m="1" x="1204"/>
        <item m="1" x="1394"/>
        <item m="1" x="1409"/>
        <item m="1" x="1351"/>
        <item m="1" x="1218"/>
        <item m="1" x="1470"/>
        <item m="1" x="1188"/>
        <item m="1" x="1387"/>
        <item m="1" x="1436"/>
        <item m="1" x="1129"/>
        <item m="1" x="1246"/>
        <item m="1" x="1261"/>
        <item m="1" x="953"/>
        <item m="1" x="1111"/>
        <item m="1" x="1299"/>
        <item m="1" x="1526"/>
        <item m="1" x="1502"/>
        <item m="1" x="1042"/>
        <item m="1" x="1545"/>
        <item m="1" x="993"/>
        <item m="1" x="1139"/>
        <item m="1" x="1467"/>
        <item m="1" x="750"/>
        <item m="1" x="581"/>
        <item m="1" x="1385"/>
        <item m="1" x="1104"/>
        <item m="1" x="596"/>
        <item m="1" x="1233"/>
        <item m="1" x="1018"/>
        <item m="1" x="1382"/>
        <item m="1" x="975"/>
        <item m="1" x="65"/>
        <item m="1" x="1424"/>
        <item m="1" x="1143"/>
        <item m="1" x="236"/>
        <item m="1" x="360"/>
        <item m="1" x="181"/>
        <item m="1" x="1458"/>
        <item m="1" x="1076"/>
        <item m="1" x="1290"/>
        <item m="1" x="1173"/>
        <item m="1" x="981"/>
        <item m="1" x="1325"/>
        <item m="1" x="242"/>
        <item m="1" x="660"/>
        <item m="1" x="1428"/>
        <item m="1" x="1128"/>
        <item m="1" x="1425"/>
        <item m="1" x="620"/>
        <item m="1" x="1571"/>
        <item m="1" x="1027"/>
        <item m="1" x="1168"/>
        <item m="1" x="712"/>
        <item m="1" x="957"/>
        <item m="1" x="741"/>
        <item m="1" x="1004"/>
        <item m="1" x="1499"/>
        <item m="1" x="455"/>
        <item m="1" x="1466"/>
        <item m="1" x="1488"/>
        <item m="1" x="1067"/>
        <item m="1" x="1582"/>
        <item m="1" x="202"/>
        <item m="1" x="502"/>
        <item m="1" x="662"/>
        <item m="1" x="1506"/>
        <item m="1" x="1579"/>
        <item m="1" x="1302"/>
        <item m="1" x="1003"/>
        <item m="1" x="1225"/>
        <item m="1" x="1512"/>
        <item m="1" x="555"/>
        <item m="1" x="1379"/>
        <item m="1" x="409"/>
        <item m="1" x="1266"/>
        <item m="1" x="1473"/>
        <item m="1" x="955"/>
        <item m="1" x="78"/>
        <item m="1" x="1472"/>
        <item m="1" x="405"/>
        <item m="1" x="1020"/>
        <item m="1" x="1159"/>
        <item m="1" x="1295"/>
        <item m="1" x="1476"/>
        <item m="1" x="510"/>
        <item m="1" x="714"/>
        <item m="1" x="1313"/>
        <item m="1" x="1187"/>
        <item m="1" x="731"/>
        <item m="1" x="1240"/>
        <item m="1" x="1191"/>
        <item m="1" x="1019"/>
        <item m="1" x="1361"/>
        <item m="1" x="1434"/>
        <item m="1" x="967"/>
        <item m="1" x="1068"/>
        <item m="1" x="1078"/>
        <item m="1" x="1269"/>
        <item m="1" x="787"/>
        <item m="1" x="1482"/>
        <item m="1" x="995"/>
        <item m="1" x="1567"/>
        <item m="1" x="1241"/>
        <item m="1" x="791"/>
        <item m="1" x="1574"/>
        <item m="1" x="1524"/>
        <item m="1" x="1200"/>
        <item m="1" x="1353"/>
        <item m="1" x="1123"/>
        <item m="1" x="688"/>
        <item m="1" x="1213"/>
        <item m="1" x="1386"/>
        <item m="1" x="997"/>
        <item x="37"/>
        <item m="1" x="954"/>
        <item m="1" x="1120"/>
        <item m="1" x="1283"/>
        <item m="1" x="1584"/>
        <item m="1" x="1509"/>
        <item m="1" x="1342"/>
        <item m="1" x="77"/>
        <item m="1" x="1147"/>
        <item m="1" x="1303"/>
        <item m="1" x="1446"/>
        <item m="1" x="1321"/>
        <item m="1" x="1333"/>
        <item m="1" x="633"/>
        <item m="1" x="1496"/>
        <item m="1" x="1026"/>
        <item m="1" x="1107"/>
        <item m="1" x="1154"/>
        <item m="1" x="1150"/>
        <item m="1" x="1179"/>
        <item m="1" x="1190"/>
        <item m="1" x="1061"/>
        <item m="1" x="994"/>
        <item m="1" x="1227"/>
        <item m="1" x="1100"/>
        <item m="1" x="1471"/>
        <item m="1" x="429"/>
        <item m="1" x="764"/>
        <item m="1" x="755"/>
        <item m="1" x="1468"/>
        <item m="1" x="1553"/>
        <item m="1" x="1257"/>
        <item m="1" x="1110"/>
        <item m="1" x="201"/>
        <item m="1" x="1435"/>
        <item m="1" x="1237"/>
        <item m="1" x="1438"/>
        <item m="1" x="606"/>
        <item m="1" x="1402"/>
        <item m="1" x="795"/>
        <item m="1" x="1300"/>
        <item x="6"/>
        <item m="1" x="1433"/>
        <item m="1" x="105"/>
        <item m="1" x="1529"/>
        <item m="1" x="1032"/>
        <item m="1" x="1431"/>
        <item m="1" x="1312"/>
        <item m="1" x="1275"/>
        <item m="1" x="1541"/>
        <item m="1" x="711"/>
        <item m="1" x="1307"/>
        <item m="1" x="1576"/>
        <item m="1" x="1340"/>
        <item m="1" x="1407"/>
        <item m="1" x="1565"/>
        <item m="1" x="1411"/>
        <item m="1" x="1419"/>
        <item m="1" x="1244"/>
        <item m="1" x="1440"/>
        <item m="1" x="1193"/>
        <item m="1" x="991"/>
        <item x="26"/>
        <item m="1" x="91"/>
        <item m="1" x="987"/>
        <item m="1" x="1011"/>
        <item m="1" x="1196"/>
        <item m="1" x="1603"/>
        <item m="1" x="1511"/>
        <item m="1" x="1389"/>
        <item m="1" x="1090"/>
        <item m="1" x="1117"/>
        <item m="1" x="302"/>
        <item m="1" x="1350"/>
        <item m="1" x="979"/>
        <item m="1" x="481"/>
        <item m="1" x="1338"/>
        <item m="1" x="1230"/>
        <item m="1" x="1461"/>
        <item m="1" x="1355"/>
        <item m="1" x="1380"/>
        <item m="1" x="1561"/>
        <item m="1" x="1505"/>
        <item m="1" x="1106"/>
        <item m="1" x="1252"/>
        <item m="1" x="1547"/>
        <item m="1" x="1537"/>
        <item m="1" x="1008"/>
        <item m="1" x="305"/>
        <item m="1" x="1047"/>
        <item m="1" x="1305"/>
        <item m="1" x="1054"/>
        <item m="1" x="615"/>
        <item m="1" x="171"/>
        <item m="1" x="1522"/>
        <item m="1" x="1070"/>
        <item m="1" x="1556"/>
        <item m="1" x="1040"/>
        <item m="1" x="1322"/>
        <item m="1" x="1611"/>
        <item m="1" x="1420"/>
        <item m="1" x="992"/>
        <item m="1" x="1314"/>
        <item m="1" x="1288"/>
        <item m="1" x="952"/>
        <item m="1" x="1494"/>
        <item m="1" x="1157"/>
        <item m="1" x="1096"/>
        <item m="1" x="1010"/>
        <item m="1" x="1474"/>
        <item m="1" x="109"/>
        <item m="1" x="1432"/>
        <item m="1" x="1444"/>
        <item m="1" x="1013"/>
        <item m="1" x="104"/>
        <item m="1" x="1254"/>
        <item m="1" x="119"/>
        <item m="1" x="1334"/>
        <item m="1" x="1238"/>
        <item m="1" x="1256"/>
        <item m="1" x="726"/>
        <item m="1" x="1564"/>
        <item m="1" x="1362"/>
        <item m="1" x="286"/>
        <item m="1" x="1393"/>
        <item m="1" x="1119"/>
        <item m="1" x="1575"/>
        <item m="1" x="1405"/>
        <item m="1" x="1600"/>
        <item m="1" x="389"/>
        <item m="1" x="1135"/>
        <item m="1" x="950"/>
        <item m="1" x="1525"/>
        <item m="1" x="1336"/>
        <item m="1" x="1587"/>
        <item m="1" x="1103"/>
        <item m="1" x="1024"/>
        <item m="1" x="1073"/>
        <item m="1" x="443"/>
        <item m="1" x="1105"/>
        <item m="1" x="1554"/>
        <item m="1" x="1138"/>
        <item m="1" x="965"/>
        <item m="1" x="1583"/>
        <item m="1" x="1080"/>
        <item m="1" x="1601"/>
        <item m="1" x="1412"/>
        <item m="1" x="1116"/>
        <item m="1" x="107"/>
        <item m="1" x="1311"/>
        <item m="1" x="974"/>
        <item m="1" x="289"/>
        <item m="1" x="675"/>
        <item m="1" x="1588"/>
        <item m="1" x="1596"/>
        <item m="1" x="106"/>
        <item m="1" x="1500"/>
        <item m="1" x="1037"/>
        <item m="1" x="1112"/>
        <item m="1" x="1390"/>
        <item m="1" x="1486"/>
        <item m="1" x="943"/>
        <item m="1" x="958"/>
        <item m="1" x="1226"/>
        <item m="1" x="1175"/>
        <item m="1" x="951"/>
        <item m="1" x="1507"/>
        <item m="1" x="1408"/>
        <item m="1" x="1403"/>
        <item m="1" x="1206"/>
        <item m="1" x="1363"/>
        <item m="1" x="1171"/>
        <item m="1" x="1243"/>
        <item m="1" x="1194"/>
        <item m="1" x="1423"/>
        <item m="1" x="1087"/>
        <item m="1" x="1186"/>
        <item m="1" x="1236"/>
        <item m="1" x="984"/>
        <item m="1" x="326"/>
        <item m="1" x="48"/>
        <item m="1" x="1508"/>
        <item m="1" x="1144"/>
        <item m="1" x="1443"/>
        <item m="1" x="1289"/>
        <item m="1" x="990"/>
        <item m="1" x="1145"/>
        <item m="1" x="1477"/>
        <item m="1" x="1531"/>
        <item m="1" x="1223"/>
        <item m="1" x="749"/>
        <item m="1" x="1345"/>
        <item m="1" x="1344"/>
        <item m="1" x="1292"/>
        <item m="1" x="1153"/>
        <item m="1" x="1459"/>
        <item m="1" x="1484"/>
        <item m="1" x="1356"/>
        <item m="1" x="1580"/>
        <item m="1" x="95"/>
        <item x="19"/>
        <item m="1" x="1510"/>
        <item m="1" x="39"/>
        <item m="1" x="1429"/>
        <item m="1" x="68"/>
        <item m="1" x="185"/>
        <item m="1" x="1293"/>
        <item m="1" x="1301"/>
        <item m="1" x="1286"/>
        <item m="1" x="1199"/>
        <item m="1" x="855"/>
        <item m="1" x="1208"/>
        <item m="1" x="1375"/>
        <item m="1" x="1339"/>
        <item m="1" x="1221"/>
        <item m="1" x="988"/>
        <item m="1" x="534"/>
        <item m="1" x="1228"/>
        <item m="1" x="1297"/>
        <item m="1" x="210"/>
        <item m="1" x="1542"/>
        <item m="1" x="1158"/>
        <item m="1" x="1276"/>
        <item m="1" x="1480"/>
        <item m="1" x="778"/>
        <item m="1" x="1378"/>
        <item m="1" x="1364"/>
        <item m="1" x="745"/>
        <item m="1" x="1527"/>
        <item m="1" x="1017"/>
        <item m="1" x="1329"/>
        <item m="1" x="1264"/>
        <item m="1" x="276"/>
        <item m="1" x="1558"/>
        <item m="1" x="1184"/>
        <item m="1" x="1519"/>
        <item x="5"/>
        <item m="1" x="410"/>
        <item m="1" x="1287"/>
        <item m="1" x="195"/>
        <item m="1" x="744"/>
        <item m="1" x="638"/>
        <item m="1" x="421"/>
        <item m="1" x="1464"/>
        <item m="1" x="436"/>
        <item m="1" x="138"/>
        <item m="1" x="1398"/>
        <item m="1" x="1146"/>
        <item m="1" x="1152"/>
        <item m="1" x="1214"/>
        <item m="1" x="1371"/>
        <item m="1" x="1142"/>
        <item m="1" x="846"/>
        <item m="1" x="839"/>
        <item m="1" x="1232"/>
        <item m="1" x="1062"/>
        <item m="1" x="986"/>
        <item m="1" x="1376"/>
        <item m="1" x="1094"/>
        <item m="1" x="1005"/>
        <item m="1" x="1610"/>
        <item m="1" x="1166"/>
        <item m="1" x="887"/>
        <item m="1" x="1552"/>
        <item m="1" x="1023"/>
        <item m="1" x="72"/>
        <item m="1" x="786"/>
        <item m="1" x="1306"/>
        <item m="1" x="1291"/>
        <item m="1" x="1395"/>
        <item m="1" x="1121"/>
        <item m="1" x="1317"/>
        <item m="1" x="1045"/>
        <item m="1" x="1369"/>
        <item m="1" x="263"/>
        <item m="1" x="1137"/>
        <item m="1" x="1239"/>
        <item m="1" x="203"/>
        <item m="1" x="1465"/>
        <item m="1" x="1222"/>
        <item m="1" x="1212"/>
        <item m="1" x="1267"/>
        <item m="1" x="968"/>
        <item m="1" x="1022"/>
        <item m="1" x="1298"/>
        <item m="1" x="1324"/>
        <item m="1" x="970"/>
        <item m="1" x="169"/>
        <item m="1" x="1377"/>
        <item m="1" x="1451"/>
        <item m="1" x="1048"/>
        <item m="1" x="319"/>
        <item m="1" x="277"/>
        <item m="1" x="1220"/>
        <item m="1" x="1497"/>
        <item m="1" x="1130"/>
        <item m="1" x="1209"/>
        <item m="1" x="1052"/>
        <item m="1" x="1399"/>
        <item m="1" x="1417"/>
        <item m="1" x="1406"/>
        <item m="1" x="1347"/>
        <item m="1" x="1449"/>
        <item x="8"/>
        <item m="1" x="1532"/>
        <item m="1" x="1310"/>
        <item m="1" x="1590"/>
        <item m="1" x="1540"/>
        <item m="1" x="1097"/>
        <item m="1" x="1006"/>
        <item m="1" x="1448"/>
        <item m="1" x="1069"/>
        <item m="1" x="1418"/>
        <item m="1" x="1031"/>
        <item m="1" x="998"/>
        <item m="1" x="1189"/>
        <item m="1" x="1091"/>
        <item m="1" x="1462"/>
        <item m="1" x="1084"/>
        <item m="1" x="1059"/>
        <item m="1" x="1450"/>
        <item m="1" x="1463"/>
        <item x="25"/>
        <item m="1" x="1605"/>
        <item m="1" x="1384"/>
        <item m="1" x="695"/>
        <item m="1" x="1195"/>
        <item m="1" x="1383"/>
        <item m="1" x="1513"/>
        <item m="1" x="1095"/>
        <item m="1" x="1178"/>
        <item m="1" x="1447"/>
        <item m="1" x="261"/>
        <item m="1" x="1535"/>
        <item m="1" x="1481"/>
        <item m="1" x="1245"/>
        <item m="1" x="1014"/>
        <item m="1" x="1172"/>
        <item m="1" x="1009"/>
        <item m="1" x="882"/>
        <item m="1" x="1401"/>
        <item m="1" x="1543"/>
        <item m="1" x="1546"/>
        <item m="1" x="1566"/>
        <item m="1" x="1315"/>
        <item m="1" x="1071"/>
        <item m="1" x="1169"/>
        <item m="1" x="1492"/>
        <item m="1" x="1563"/>
        <item m="1" x="1453"/>
        <item m="1" x="1079"/>
        <item m="1" x="1489"/>
        <item m="1" x="1098"/>
        <item m="1" x="102"/>
        <item m="1" x="1134"/>
        <item m="1" x="1572"/>
        <item m="1" x="1148"/>
        <item m="1" x="1164"/>
        <item x="28"/>
        <item m="1" x="1177"/>
        <item m="1" x="1155"/>
        <item m="1" x="973"/>
        <item m="1" x="1039"/>
        <item m="1" x="1181"/>
        <item m="1" x="1216"/>
        <item m="1" x="977"/>
        <item m="1" x="1279"/>
        <item m="1" x="1332"/>
        <item m="1" x="1559"/>
        <item m="1" x="1131"/>
        <item m="1" x="1560"/>
        <item m="1" x="1413"/>
        <item m="1" x="1331"/>
        <item m="1" x="1570"/>
        <item m="1" x="872"/>
        <item m="1" x="1562"/>
        <item m="1" x="1273"/>
        <item m="1" x="1149"/>
        <item m="1" x="1551"/>
        <item m="1" x="1211"/>
        <item m="1" x="1602"/>
        <item m="1" x="1491"/>
        <item m="1" x="1454"/>
        <item m="1" x="1328"/>
        <item m="1" x="1456"/>
        <item m="1" x="1483"/>
        <item m="1" x="1081"/>
        <item m="1" x="1422"/>
        <item m="1" x="1101"/>
        <item m="1" x="980"/>
        <item m="1" x="1354"/>
        <item m="1" x="1530"/>
        <item m="1" x="804"/>
        <item m="1" x="547"/>
        <item m="1" x="1538"/>
        <item m="1" x="1058"/>
        <item m="1" x="1102"/>
        <item m="1" x="1343"/>
        <item m="1" x="1349"/>
        <item m="1" x="1359"/>
        <item m="1" x="1604"/>
        <item m="1" x="1599"/>
        <item m="1" x="1594"/>
        <item m="1" x="1521"/>
        <item m="1" x="155"/>
        <item m="1" x="208"/>
        <item m="1" x="1514"/>
        <item m="1" x="1033"/>
        <item m="1" x="1099"/>
        <item m="1" x="1534"/>
        <item m="1" x="999"/>
        <item m="1" x="1365"/>
        <item m="1" x="1504"/>
        <item m="1" x="1437"/>
        <item m="1" x="1028"/>
        <item m="1" x="1043"/>
        <item m="1" x="1557"/>
        <item m="1" x="1595"/>
        <item m="1" x="1088"/>
        <item m="1" x="1592"/>
        <item m="1" x="1235"/>
        <item m="1" x="517"/>
        <item m="1" x="1282"/>
        <item m="1" x="1501"/>
        <item m="1" x="1479"/>
        <item m="1" x="1544"/>
        <item m="1" x="962"/>
        <item m="1" x="1125"/>
        <item m="1" x="1426"/>
        <item m="1" x="1392"/>
        <item m="1" x="976"/>
        <item m="1" x="1231"/>
        <item m="1" x="1589"/>
        <item m="1" x="1475"/>
        <item m="1" x="1165"/>
        <item m="1" x="1319"/>
        <item m="1" x="1271"/>
        <item m="1" x="982"/>
        <item m="1" x="1274"/>
        <item m="1" x="1167"/>
        <item m="1" x="1060"/>
        <item m="1" x="1539"/>
        <item m="1" x="1490"/>
        <item m="1" x="680"/>
        <item m="1" x="762"/>
        <item m="1" x="1113"/>
        <item m="1" x="1410"/>
        <item m="1" x="1396"/>
        <item m="1" x="1515"/>
        <item m="1" x="1597"/>
        <item m="1" x="1198"/>
        <item m="1" x="1427"/>
        <item m="1" x="1001"/>
        <item m="1" x="1568"/>
        <item m="1" x="1077"/>
        <item m="1" x="1391"/>
        <item m="1" x="454"/>
        <item m="1" x="686"/>
        <item m="1" x="1108"/>
        <item m="1" x="1581"/>
        <item m="1" x="1442"/>
        <item m="1" x="1038"/>
        <item m="1" x="1255"/>
        <item m="1" x="971"/>
        <item m="1" x="1439"/>
        <item m="1" x="1415"/>
        <item m="1" x="1075"/>
        <item m="1" x="515"/>
        <item m="1" x="1215"/>
        <item m="1" x="1593"/>
        <item m="1" x="1025"/>
        <item m="1" x="1367"/>
        <item m="1" x="1229"/>
        <item m="1" x="1536"/>
        <item m="1" x="1318"/>
        <item m="1" x="1608"/>
        <item m="1" x="1372"/>
        <item m="1" x="1030"/>
        <item m="1" x="592"/>
        <item m="1" x="1280"/>
        <item m="1" x="862"/>
        <item m="1" x="1517"/>
        <item m="1" x="1201"/>
        <item m="1" x="1272"/>
        <item m="1" x="1281"/>
        <item m="1" x="1253"/>
        <item m="1" x="960"/>
        <item m="1" x="1034"/>
        <item m="1" x="1469"/>
        <item m="1" x="1516"/>
        <item m="1" x="1326"/>
        <item m="1" x="1132"/>
        <item m="1" x="1262"/>
        <item m="1" x="1388"/>
        <item m="1" x="1337"/>
        <item m="1" x="1368"/>
        <item m="1" x="324"/>
        <item m="1" x="1126"/>
        <item m="1" x="705"/>
        <item m="1" x="132"/>
        <item m="1" x="927"/>
        <item m="1" x="1416"/>
        <item m="1" x="1224"/>
        <item m="1" x="1234"/>
        <item m="1" x="956"/>
        <item m="1" x="1036"/>
        <item m="1" x="1277"/>
        <item m="1" x="1115"/>
        <item m="1" x="1203"/>
        <item m="1" x="1578"/>
        <item m="1" x="1207"/>
        <item m="1" x="1114"/>
        <item m="1" x="1487"/>
        <item m="1" x="1495"/>
        <item m="1" x="1606"/>
        <item m="1" x="1185"/>
        <item m="1" x="1357"/>
        <item m="1" x="1065"/>
        <item m="1" x="1296"/>
        <item m="1" x="1573"/>
        <item m="1" x="1498"/>
        <item m="1" x="1160"/>
        <item m="1" x="1250"/>
        <item m="1" x="1569"/>
        <item m="1" x="1007"/>
        <item m="1" x="1015"/>
        <item m="1" x="1550"/>
        <item m="1" x="1260"/>
        <item m="1" x="70"/>
        <item m="1" x="1457"/>
        <item m="1" x="1066"/>
        <item m="1" x="963"/>
        <item m="1" x="961"/>
        <item m="1" x="1072"/>
        <item m="1" x="1109"/>
        <item m="1" x="1141"/>
        <item m="1" x="1063"/>
        <item m="1" x="1598"/>
        <item m="1" x="1549"/>
        <item m="1" x="1348"/>
        <item m="1" x="1217"/>
        <item m="1" x="978"/>
        <item m="1" x="1397"/>
        <item m="1" x="1197"/>
        <item m="1" x="1202"/>
        <item m="1" x="1127"/>
        <item m="1" x="1118"/>
        <item m="1" x="1268"/>
        <item m="1" x="1055"/>
        <item m="1" x="1053"/>
        <item m="1" x="1285"/>
        <item m="1" x="1503"/>
        <item m="1" x="1374"/>
        <item m="1" x="1304"/>
        <item m="1" x="1089"/>
        <item m="1" x="1308"/>
        <item m="1" x="1455"/>
        <item m="1" x="425"/>
        <item m="1" x="1366"/>
        <item m="1" x="1248"/>
        <item m="1" x="1607"/>
        <item m="1" x="829"/>
        <item m="1" x="1140"/>
        <item m="1" x="1074"/>
        <item m="1" x="1555"/>
        <item m="1" x="1122"/>
        <item m="1" x="1441"/>
        <item m="1" x="256"/>
        <item m="1" x="1174"/>
        <item m="1" x="1263"/>
        <item m="1" x="1358"/>
        <item m="1" x="528"/>
        <item m="1" x="1414"/>
        <item m="1" x="1421"/>
        <item m="1" x="972"/>
        <item m="1" x="1548"/>
        <item m="1" x="1485"/>
        <item m="1" x="1381"/>
        <item m="1" x="914"/>
        <item m="1" x="508"/>
        <item m="1" x="725"/>
        <item m="1" x="46"/>
        <item m="1" x="448"/>
        <item m="1" x="1180"/>
        <item m="1" x="1577"/>
        <item m="1" x="1002"/>
        <item m="1" x="1278"/>
        <item m="1" x="1323"/>
        <item m="1" x="983"/>
        <item m="1" x="1051"/>
        <item m="1" x="1591"/>
        <item m="1" x="1320"/>
        <item m="1" x="1151"/>
        <item m="1" x="923"/>
        <item m="1" x="1370"/>
        <item m="1" x="964"/>
        <item m="1" x="916"/>
        <item m="1" x="1133"/>
        <item m="1" x="1330"/>
        <item m="1" x="1533"/>
        <item m="1" x="1360"/>
        <item m="1" x="1049"/>
        <item m="1" x="1136"/>
        <item m="1" x="1219"/>
        <item m="1" x="985"/>
        <item m="1" x="1341"/>
        <item x="11"/>
        <item m="1" x="1016"/>
        <item m="1" x="1585"/>
        <item m="1" x="1518"/>
        <item m="1" x="777"/>
        <item m="1" x="1041"/>
        <item m="1" x="1249"/>
        <item m="1" x="959"/>
        <item m="1" x="583"/>
        <item m="1" x="204"/>
        <item m="1" x="584"/>
        <item m="1" x="585"/>
        <item m="1" x="586"/>
        <item m="1" x="587"/>
        <item m="1" x="588"/>
        <item m="1" x="589"/>
        <item m="1" x="591"/>
        <item m="1" x="593"/>
        <item m="1" x="595"/>
        <item m="1" x="597"/>
        <item m="1" x="598"/>
        <item m="1" x="599"/>
        <item m="1" x="600"/>
        <item m="1" x="601"/>
        <item m="1" x="742"/>
        <item m="1" x="602"/>
        <item m="1" x="603"/>
        <item m="1" x="604"/>
        <item m="1" x="605"/>
        <item m="1" x="607"/>
        <item m="1" x="519"/>
        <item m="1" x="608"/>
        <item m="1" x="609"/>
        <item m="1" x="610"/>
        <item m="1" x="611"/>
        <item m="1" x="612"/>
        <item m="1" x="613"/>
        <item m="1" x="614"/>
        <item m="1" x="616"/>
        <item m="1" x="617"/>
        <item m="1" x="618"/>
        <item m="1" x="619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4"/>
        <item m="1" x="635"/>
        <item m="1" x="636"/>
        <item m="1" x="637"/>
        <item m="1" x="639"/>
        <item m="1" x="640"/>
        <item m="1" x="641"/>
        <item m="1" x="642"/>
        <item m="1" x="1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435"/>
        <item m="1" x="655"/>
        <item m="1" x="656"/>
        <item m="1" x="657"/>
        <item m="1" x="658"/>
        <item x="13"/>
        <item m="1" x="659"/>
        <item m="1" x="661"/>
        <item m="1" x="663"/>
        <item m="1" x="664"/>
        <item m="1" x="665"/>
        <item m="1" x="666"/>
        <item m="1" x="668"/>
        <item m="1" x="669"/>
        <item m="1" x="670"/>
        <item m="1" x="671"/>
        <item m="1" x="672"/>
        <item m="1" x="673"/>
        <item m="1" x="674"/>
        <item m="1" x="221"/>
        <item m="1" x="676"/>
        <item m="1" x="677"/>
        <item m="1" x="678"/>
        <item m="1" x="679"/>
        <item m="1" x="681"/>
        <item m="1" x="682"/>
        <item m="1" x="683"/>
        <item m="1" x="684"/>
        <item m="1" x="685"/>
        <item m="1" x="687"/>
        <item m="1" x="689"/>
        <item m="1" x="690"/>
        <item m="1" x="1528"/>
        <item m="1" x="691"/>
        <item m="1" x="692"/>
        <item m="1" x="693"/>
        <item m="1" x="694"/>
        <item m="1" x="1050"/>
        <item m="1" x="698"/>
        <item m="1" x="470"/>
        <item m="1" x="699"/>
        <item m="1" x="1294"/>
        <item m="1" x="700"/>
        <item m="1" x="701"/>
        <item m="1" x="702"/>
        <item m="1" x="703"/>
        <item m="1" x="704"/>
        <item m="1" x="288"/>
        <item m="1" x="706"/>
        <item m="1" x="707"/>
        <item m="1" x="708"/>
        <item m="1" x="709"/>
        <item m="1" x="99"/>
        <item m="1" x="710"/>
        <item m="1" x="713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7"/>
        <item m="1" x="728"/>
        <item m="1" x="729"/>
        <item m="1" x="337"/>
        <item m="1" x="730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3"/>
        <item m="1" x="404"/>
        <item m="1" x="746"/>
        <item m="1" x="747"/>
        <item m="1" x="748"/>
        <item m="1" x="751"/>
        <item m="1" x="752"/>
        <item m="1" x="753"/>
        <item m="1" x="754"/>
        <item m="1" x="756"/>
        <item m="1" x="757"/>
        <item m="1" x="758"/>
        <item m="1" x="759"/>
        <item m="1" x="760"/>
        <item m="1" x="761"/>
        <item m="1" x="763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498"/>
        <item m="1" x="779"/>
        <item m="1" x="780"/>
        <item m="1" x="781"/>
        <item m="1" x="782"/>
        <item x="4"/>
        <item m="1" x="783"/>
        <item m="1" x="784"/>
        <item m="1" x="785"/>
        <item m="1" x="788"/>
        <item m="1" x="574"/>
        <item m="1" x="789"/>
        <item m="1" x="790"/>
        <item m="1" x="792"/>
        <item m="1" x="793"/>
        <item m="1" x="794"/>
        <item m="1" x="796"/>
        <item m="1" x="797"/>
        <item m="1" x="798"/>
        <item m="1" x="799"/>
        <item m="1" x="800"/>
        <item m="1" x="801"/>
        <item m="1" x="802"/>
        <item m="1" x="803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232"/>
        <item m="1" x="822"/>
        <item m="1" x="264"/>
        <item m="1" x="823"/>
        <item m="1" x="300"/>
        <item m="1" x="824"/>
        <item m="1" x="825"/>
        <item m="1" x="826"/>
        <item m="1" x="827"/>
        <item m="1" x="1346"/>
        <item m="1" x="697"/>
        <item m="1" x="696"/>
        <item m="1" x="828"/>
        <item m="1" x="830"/>
        <item m="1" x="831"/>
        <item m="1" x="833"/>
        <item m="1" x="832"/>
        <item m="1" x="1082"/>
        <item m="1" x="834"/>
        <item m="1" x="538"/>
        <item m="1" x="835"/>
        <item m="1" x="836"/>
        <item m="1" x="837"/>
        <item m="1" x="838"/>
        <item m="1" x="840"/>
        <item m="1" x="841"/>
        <item m="1" x="842"/>
        <item m="1" x="843"/>
        <item m="1" x="844"/>
        <item m="1" x="845"/>
        <item m="1" x="848"/>
        <item m="1" x="847"/>
        <item m="1" x="849"/>
        <item m="1" x="850"/>
        <item m="1" x="851"/>
        <item m="1" x="852"/>
        <item m="1" x="853"/>
        <item m="1" x="854"/>
        <item m="1" x="856"/>
        <item m="1" x="857"/>
        <item m="1" x="858"/>
        <item m="1" x="859"/>
        <item m="1" x="860"/>
        <item m="1" x="861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3"/>
        <item m="1" x="884"/>
        <item m="1" x="885"/>
        <item m="1" x="886"/>
        <item m="1" x="1176"/>
        <item m="1" x="888"/>
        <item m="1" x="889"/>
        <item m="1" x="890"/>
        <item m="1" x="485"/>
        <item m="1" x="891"/>
        <item m="1" x="893"/>
        <item m="1" x="894"/>
        <item m="1" x="895"/>
        <item m="1" x="896"/>
        <item m="1" x="897"/>
        <item m="1" x="892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231"/>
        <item m="1" x="907"/>
        <item m="1" x="908"/>
        <item m="1" x="909"/>
        <item m="1" x="910"/>
        <item m="1" x="911"/>
        <item m="1" x="156"/>
        <item m="1" x="912"/>
        <item m="1" x="913"/>
        <item m="1" x="473"/>
        <item m="1" x="915"/>
        <item m="1" x="917"/>
        <item m="1" x="918"/>
        <item m="1" x="919"/>
        <item m="1" x="920"/>
        <item m="1" x="921"/>
        <item m="1" x="922"/>
        <item m="1" x="924"/>
        <item m="1" x="925"/>
        <item m="1" x="926"/>
        <item m="1" x="928"/>
        <item m="1" x="929"/>
        <item m="1" x="930"/>
        <item m="1" x="931"/>
        <item m="1" x="932"/>
        <item m="1" x="933"/>
        <item m="1" x="934"/>
        <item m="1" x="936"/>
        <item m="1" x="937"/>
        <item m="1" x="938"/>
        <item m="1" x="939"/>
        <item m="1" x="940"/>
        <item m="1" x="941"/>
        <item m="1" x="942"/>
        <item m="1" x="255"/>
        <item m="1" x="944"/>
        <item m="1" x="949"/>
        <item m="1" x="945"/>
        <item m="1" x="946"/>
        <item m="1" x="111"/>
        <item m="1" x="947"/>
        <item m="1" x="948"/>
        <item m="1" x="40"/>
        <item m="1" x="42"/>
        <item m="1" x="43"/>
        <item m="1" x="45"/>
        <item m="1" x="582"/>
        <item m="1" x="49"/>
        <item m="1" x="50"/>
        <item m="1" x="47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6"/>
        <item m="1" x="67"/>
        <item m="1" x="69"/>
        <item m="1" x="71"/>
        <item m="1" x="73"/>
        <item m="1" x="74"/>
        <item m="1" x="75"/>
        <item m="1" x="580"/>
        <item m="1" x="76"/>
        <item m="1" x="79"/>
        <item m="1" x="80"/>
        <item m="1" x="81"/>
        <item m="1" x="82"/>
        <item m="1" x="83"/>
        <item m="1" x="84"/>
        <item m="1" x="85"/>
        <item m="1" x="579"/>
        <item m="1" x="87"/>
        <item m="1" x="88"/>
        <item m="1" x="89"/>
        <item m="1" x="86"/>
        <item m="1" x="90"/>
        <item m="1" x="92"/>
        <item m="1" x="93"/>
        <item m="1" x="94"/>
        <item m="1" x="96"/>
        <item m="1" x="97"/>
        <item m="1" x="98"/>
        <item m="1" x="578"/>
        <item m="1" x="101"/>
        <item m="1" x="103"/>
        <item m="1" x="108"/>
        <item m="1" x="110"/>
        <item m="1" x="112"/>
        <item m="1" x="113"/>
        <item m="1" x="114"/>
        <item m="1" x="115"/>
        <item m="1" x="116"/>
        <item m="1" x="117"/>
        <item m="1" x="118"/>
        <item m="1" x="100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3"/>
        <item m="1" x="134"/>
        <item m="1" x="135"/>
        <item m="1" x="136"/>
        <item m="1" x="137"/>
        <item m="1" x="139"/>
        <item m="1" x="142"/>
        <item m="1" x="143"/>
        <item m="1" x="144"/>
        <item m="1" x="145"/>
        <item m="1" x="147"/>
        <item m="1" x="148"/>
        <item m="1" x="149"/>
        <item m="1" x="150"/>
        <item m="1" x="151"/>
        <item m="1" x="152"/>
        <item m="1" x="575"/>
        <item m="1" x="154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70"/>
        <item m="1" x="172"/>
        <item m="1" x="173"/>
        <item m="1" x="174"/>
        <item m="1" x="175"/>
        <item m="1" x="176"/>
        <item m="1" x="178"/>
        <item m="1" x="179"/>
        <item m="1" x="180"/>
        <item m="1" x="182"/>
        <item m="1" x="183"/>
        <item m="1" x="184"/>
        <item m="1" x="186"/>
        <item m="1" x="187"/>
        <item m="1" x="189"/>
        <item m="1" x="190"/>
        <item m="1" x="191"/>
        <item m="1" x="192"/>
        <item m="1" x="193"/>
        <item m="1" x="194"/>
        <item m="1" x="196"/>
        <item m="1" x="197"/>
        <item m="1" x="198"/>
        <item m="1" x="199"/>
        <item m="1" x="200"/>
        <item m="1" x="205"/>
        <item m="1" x="206"/>
        <item m="1" x="207"/>
        <item m="1" x="209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9"/>
        <item m="1" x="230"/>
        <item m="1" x="220"/>
        <item m="1" x="222"/>
        <item m="1" x="223"/>
        <item m="1" x="224"/>
        <item m="1" x="225"/>
        <item m="1" x="226"/>
        <item m="1" x="227"/>
        <item m="1" x="228"/>
        <item m="1" x="233"/>
        <item m="1" x="234"/>
        <item m="1" x="237"/>
        <item m="1" x="238"/>
        <item m="1" x="240"/>
        <item m="1" x="241"/>
        <item m="1" x="243"/>
        <item m="1" x="244"/>
        <item m="1" x="245"/>
        <item m="1" x="246"/>
        <item m="1" x="248"/>
        <item m="1" x="249"/>
        <item m="1" x="250"/>
        <item m="1" x="251"/>
        <item m="1" x="252"/>
        <item m="1" x="253"/>
        <item m="1" x="254"/>
        <item m="1" x="257"/>
        <item m="1" x="258"/>
        <item m="1" x="259"/>
        <item m="1" x="260"/>
        <item m="1" x="265"/>
        <item m="1" x="266"/>
        <item m="1" x="267"/>
        <item m="1" x="270"/>
        <item m="1" x="271"/>
        <item m="1" x="272"/>
        <item m="1" x="576"/>
        <item m="1" x="274"/>
        <item m="1" x="577"/>
        <item m="1" x="279"/>
        <item m="1" x="281"/>
        <item m="1" x="282"/>
        <item m="1" x="283"/>
        <item m="1" x="284"/>
        <item m="1" x="285"/>
        <item m="1" x="290"/>
        <item m="1" x="291"/>
        <item m="1" x="153"/>
        <item m="1" x="273"/>
        <item m="1" x="275"/>
        <item m="1" x="292"/>
        <item m="1" x="293"/>
        <item m="1" x="294"/>
        <item m="1" x="295"/>
        <item m="1" x="296"/>
        <item m="1" x="297"/>
        <item m="1" x="298"/>
        <item m="1" x="299"/>
        <item m="1" x="301"/>
        <item m="1" x="303"/>
        <item m="1" x="304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7"/>
        <item m="1" x="318"/>
        <item m="1" x="320"/>
        <item m="1" x="321"/>
        <item m="1" x="322"/>
        <item m="1" x="323"/>
        <item m="1" x="325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6"/>
        <item m="1" x="407"/>
        <item m="1" x="408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2"/>
        <item m="1" x="423"/>
        <item m="1" x="424"/>
        <item m="1" x="426"/>
        <item m="1" x="427"/>
        <item m="1" x="428"/>
        <item m="1" x="430"/>
        <item m="1" x="431"/>
        <item m="1" x="432"/>
        <item m="1" x="433"/>
        <item m="1" x="434"/>
        <item m="1" x="437"/>
        <item m="1" x="438"/>
        <item m="1" x="440"/>
        <item m="1" x="441"/>
        <item m="1" x="442"/>
        <item m="1" x="444"/>
        <item m="1" x="445"/>
        <item m="1" x="446"/>
        <item m="1" x="447"/>
        <item m="1" x="449"/>
        <item m="1" x="450"/>
        <item m="1" x="451"/>
        <item m="1" x="452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7"/>
        <item m="1" x="468"/>
        <item m="1" x="469"/>
        <item m="1" x="471"/>
        <item m="1" x="472"/>
        <item m="1" x="474"/>
        <item m="1" x="475"/>
        <item m="1" x="477"/>
        <item m="1" x="478"/>
        <item m="1" x="479"/>
        <item m="1" x="480"/>
        <item m="1" x="482"/>
        <item m="1" x="483"/>
        <item m="1" x="484"/>
        <item m="1" x="571"/>
        <item m="1" x="487"/>
        <item m="1" x="280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9"/>
        <item m="1" x="500"/>
        <item m="1" x="503"/>
        <item m="1" x="507"/>
        <item m="1" x="504"/>
        <item m="1" x="505"/>
        <item m="1" x="506"/>
        <item m="1" x="509"/>
        <item m="1" x="511"/>
        <item m="1" x="512"/>
        <item m="1" x="514"/>
        <item m="1" x="516"/>
        <item m="1" x="572"/>
        <item m="1" x="573"/>
        <item m="1" x="518"/>
        <item m="1" x="520"/>
        <item m="1" x="521"/>
        <item m="1" x="522"/>
        <item m="1" x="523"/>
        <item m="1" x="524"/>
        <item m="1" x="525"/>
        <item m="1" x="526"/>
        <item m="1" x="527"/>
        <item m="1" x="513"/>
        <item m="1" x="529"/>
        <item m="1" x="530"/>
        <item m="1" x="531"/>
        <item m="1" x="532"/>
        <item m="1" x="533"/>
        <item m="1" x="486"/>
        <item m="1" x="535"/>
        <item m="1" x="536"/>
        <item m="1" x="537"/>
        <item m="1" x="539"/>
        <item m="1" x="540"/>
        <item m="1" x="541"/>
        <item m="1" x="542"/>
        <item m="1" x="543"/>
        <item m="1" x="544"/>
        <item m="1" x="545"/>
        <item m="1" x="546"/>
        <item m="1" x="548"/>
        <item m="1" x="549"/>
        <item m="1" x="550"/>
        <item m="1" x="551"/>
        <item m="1" x="552"/>
        <item m="1" x="553"/>
        <item m="1" x="554"/>
        <item m="1" x="556"/>
        <item m="1" x="570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x="7"/>
        <item x="9"/>
        <item x="10"/>
        <item x="12"/>
        <item x="14"/>
        <item x="15"/>
        <item x="16"/>
        <item x="17"/>
        <item x="20"/>
        <item x="22"/>
        <item x="23"/>
        <item x="24"/>
        <item x="27"/>
        <item x="29"/>
        <item x="30"/>
        <item x="31"/>
        <item x="33"/>
        <item m="1" x="38"/>
        <item x="34"/>
        <item x="35"/>
        <item x="3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pageFields count="3">
    <pageField fld="3" item="0" hier="-1"/>
    <pageField fld="7" hier="-1"/>
    <pageField fld="9" hier="-1"/>
  </pageFields>
  <dataFields count="2">
    <dataField name="Količina robe" fld="9" baseField="1" baseItem="1" numFmtId="4"/>
    <dataField name="Vrednost" fld="13" baseField="1" baseItem="1" numFmtId="4"/>
  </dataFields>
  <formats count="1">
    <format dxfId="487">
      <pivotArea field="1" type="button" dataOnly="0" labelOnly="1" outline="0"/>
    </format>
  </formats>
  <pivotTableStyleInfo name="PivotStyleDark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5000000}" name="Izvedena tabela2" cacheId="0" applyNumberFormats="0" applyBorderFormats="0" applyFontFormats="0" applyPatternFormats="0" applyAlignmentFormats="0" applyWidthHeightFormats="1" dataCaption="Vrednosti" errorCaption="0" showError="1" missingCaption="0" updatedVersion="8" minRefreshableVersion="3" asteriskTotals="1" enableDrill="0" useAutoFormatting="1" itemPrintTitles="1" createdVersion="5" indent="0" outline="1" outlineData="1" multipleFieldFilters="0">
  <location ref="A10:G41" firstHeaderRow="0" firstDataRow="1" firstDataCol="1" rowPageCount="7" colPageCount="1"/>
  <pivotFields count="48">
    <pivotField showAll="0" defaultSubtotal="0"/>
    <pivotField axis="axisRow" numFmtId="167" showAll="0" insertPageBreak="1" includeNewItemsInFilter="1" sortType="ascending">
      <items count="33">
        <item x="0"/>
        <item x="1"/>
        <item x="2"/>
        <item x="3"/>
        <item x="4"/>
        <item x="5"/>
        <item x="6"/>
        <item x="7"/>
        <item x="8"/>
        <item x="19"/>
        <item x="9"/>
        <item x="10"/>
        <item x="11"/>
        <item x="17"/>
        <item x="12"/>
        <item x="13"/>
        <item x="14"/>
        <item x="15"/>
        <item x="16"/>
        <item x="18"/>
        <item x="20"/>
        <item x="21"/>
        <item x="22"/>
        <item x="23"/>
        <item x="24"/>
        <item x="25"/>
        <item x="27"/>
        <item x="26"/>
        <item x="28"/>
        <item x="29"/>
        <item x="30"/>
        <item x="31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axis="axisPage" multipleItemSelectionAllowed="1" showAll="0">
      <items count="8">
        <item x="1"/>
        <item h="1" x="0"/>
        <item h="1" x="2"/>
        <item x="4"/>
        <item h="1" x="5"/>
        <item h="1" x="3"/>
        <item h="1" m="1" x="6"/>
        <item t="default"/>
      </items>
    </pivotField>
    <pivotField axis="axisPage" multipleItemSelectionAllowed="1" showAll="0">
      <items count="7">
        <item x="3"/>
        <item x="2"/>
        <item x="1"/>
        <item x="0"/>
        <item x="5"/>
        <item x="4"/>
        <item t="default"/>
      </items>
    </pivotField>
    <pivotField axis="axisPage" multipleItemSelectionAllowed="1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h="1" m="1" x="22"/>
        <item m="1" x="51"/>
        <item m="1" x="45"/>
        <item h="1" m="1" x="29"/>
        <item h="1"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h="1" m="1" x="20"/>
        <item m="1" x="48"/>
        <item x="9"/>
        <item x="10"/>
        <item m="1" x="34"/>
        <item x="12"/>
        <item h="1" m="1" x="19"/>
        <item h="1" m="1" x="16"/>
        <item m="1" x="36"/>
        <item m="1" x="37"/>
        <item m="1" x="39"/>
        <item h="1" m="1" x="15"/>
        <item m="1" x="40"/>
        <item h="1" m="1" x="14"/>
        <item x="11"/>
        <item h="1" m="1" x="18"/>
        <item h="1" m="1" x="17"/>
        <item h="1" m="1" x="21"/>
        <item h="1" m="1" x="24"/>
        <item h="1" m="1" x="25"/>
        <item h="1" m="1" x="26"/>
        <item h="1" m="1" x="28"/>
        <item h="1" m="1" x="30"/>
        <item h="1" m="1" x="31"/>
        <item h="1" m="1" x="32"/>
        <item h="1" m="1" x="33"/>
        <item t="default"/>
      </items>
    </pivotField>
    <pivotField axis="axisPage" multipleItemSelectionAllowed="1" showAll="0">
      <items count="7">
        <item x="1"/>
        <item x="2"/>
        <item x="0"/>
        <item x="3"/>
        <item x="4"/>
        <item x="5"/>
        <item t="default"/>
      </items>
    </pivotField>
    <pivotField axis="axisPage" multipleItemSelectionAllowed="1" showAll="0">
      <items count="21">
        <item x="8"/>
        <item x="12"/>
        <item sd="0" x="0"/>
        <item sd="0" x="2"/>
        <item sd="0" x="9"/>
        <item sd="0" x="1"/>
        <item sd="0" x="4"/>
        <item sd="0" x="11"/>
        <item sd="0" x="5"/>
        <item sd="0" x="3"/>
        <item sd="0" x="7"/>
        <item x="10"/>
        <item x="13"/>
        <item x="15"/>
        <item x="14"/>
        <item x="6"/>
        <item h="1" m="1" x="18"/>
        <item x="16"/>
        <item h="1" m="1" x="17"/>
        <item h="1" m="1" x="19"/>
        <item t="default"/>
      </items>
    </pivotField>
    <pivotField axis="axisPage" multipleItemSelectionAllowed="1" showAll="0">
      <items count="66">
        <item x="12"/>
        <item x="27"/>
        <item x="26"/>
        <item x="55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15"/>
        <item x="13"/>
        <item x="14"/>
        <item x="49"/>
        <item x="53"/>
        <item x="21"/>
        <item x="30"/>
        <item x="29"/>
        <item x="22"/>
        <item x="23"/>
        <item x="6"/>
        <item x="28"/>
        <item x="25"/>
        <item x="24"/>
        <item x="7"/>
        <item x="5"/>
        <item x="3"/>
        <item x="2"/>
        <item x="4"/>
        <item x="1"/>
        <item x="33"/>
        <item x="10"/>
        <item x="8"/>
        <item x="9"/>
        <item x="54"/>
        <item x="48"/>
        <item x="37"/>
        <item x="43"/>
        <item x="40"/>
        <item x="36"/>
        <item x="56"/>
        <item x="41"/>
        <item x="38"/>
        <item x="39"/>
        <item x="16"/>
        <item x="50"/>
        <item x="34"/>
        <item x="11"/>
        <item x="47"/>
        <item x="35"/>
        <item x="42"/>
        <item x="57"/>
        <item m="1" x="61"/>
        <item x="59"/>
        <item x="58"/>
        <item m="1" x="64"/>
        <item m="1" x="60"/>
        <item m="1" x="62"/>
        <item m="1" x="63"/>
        <item t="default"/>
      </items>
    </pivotField>
    <pivotField dataField="1" showAll="0"/>
    <pivotField dataField="1"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dataField="1"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1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7">
    <pageField fld="3" hier="-1"/>
    <pageField fld="4" hier="-1"/>
    <pageField fld="2" hier="-1"/>
    <pageField fld="5" hier="-1"/>
    <pageField fld="6" hier="-1"/>
    <pageField fld="7" hier="-1"/>
    <pageField fld="8" hier="-1"/>
  </pageFields>
  <dataFields count="6">
    <dataField name="Količina robe" fld="9" baseField="1" baseItem="1" numFmtId="4"/>
    <dataField name="Cena Dinarska" fld="10" subtotal="average" baseField="1" baseItem="1" numFmtId="4"/>
    <dataField name="Marža " fld="12" subtotal="average" baseField="1" baseItem="1" numFmtId="4"/>
    <dataField name="Vrednost" fld="13" baseField="1" baseItem="1" numFmtId="4"/>
    <dataField name="Isplaćeno" fld="15" baseField="30" baseItem="1" numFmtId="4"/>
    <dataField name="Zbir od Obračunska Vrednost" fld="35" baseField="1" baseItem="0" numFmtId="4"/>
  </dataFields>
  <formats count="3">
    <format dxfId="49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89">
      <pivotArea outline="0" fieldPosition="0">
        <references count="1">
          <reference field="4294967294" count="1">
            <x v="4"/>
          </reference>
        </references>
      </pivotArea>
    </format>
    <format dxfId="488">
      <pivotArea outline="0" fieldPosition="0">
        <references count="1">
          <reference field="4294967294" count="1">
            <x v="5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4000000}" name="Izvedena tabela13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R41:S42" firstHeaderRow="0" firstDataRow="1" firstDataCol="0" rowPageCount="3" colPageCount="1"/>
  <pivotFields count="48">
    <pivotField showAll="0" defaultSubtotal="0"/>
    <pivotField numFmtId="167" showAll="0" insertPageBreak="1" includeNewItemsInFilter="1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multipleItemSelectionAllowed="1" showAll="0"/>
    <pivotField showAll="0"/>
    <pivotField multipleItemSelectionAllowed="1" showAll="0"/>
    <pivotField axis="axisPage" multipleItemSelectionAllowed="1" showAll="0">
      <items count="21">
        <item x="8"/>
        <item x="12"/>
        <item h="1" sd="0" x="0"/>
        <item h="1" sd="0" x="2"/>
        <item h="1" sd="0" x="9"/>
        <item h="1" sd="0" x="1"/>
        <item h="1" sd="0" x="4"/>
        <item h="1" sd="0" x="11"/>
        <item h="1" sd="0" x="5"/>
        <item h="1" sd="0" x="3"/>
        <item h="1" sd="0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showAll="0"/>
    <pivotField axis="axisPage" dataField="1" showAll="0">
      <items count="1613">
        <item x="2"/>
        <item x="0"/>
        <item x="1"/>
        <item x="3"/>
        <item m="1" x="439"/>
        <item m="1" x="1086"/>
        <item m="1" x="594"/>
        <item m="1" x="1057"/>
        <item m="1" x="1242"/>
        <item m="1" x="969"/>
        <item x="18"/>
        <item m="1" x="476"/>
        <item m="1" x="1170"/>
        <item m="1" x="287"/>
        <item m="1" x="466"/>
        <item m="1" x="177"/>
        <item m="1" x="1460"/>
        <item m="1" x="1309"/>
        <item m="1" x="996"/>
        <item m="1" x="1352"/>
        <item m="1" x="1316"/>
        <item m="1" x="269"/>
        <item m="1" x="1270"/>
        <item m="1" x="41"/>
        <item m="1" x="1258"/>
        <item m="1" x="1046"/>
        <item m="1" x="1012"/>
        <item m="1" x="1093"/>
        <item m="1" x="262"/>
        <item m="1" x="1000"/>
        <item m="1" x="1586"/>
        <item x="21"/>
        <item m="1" x="1523"/>
        <item m="1" x="1251"/>
        <item m="1" x="316"/>
        <item m="1" x="1161"/>
        <item m="1" x="1335"/>
        <item m="1" x="590"/>
        <item m="1" x="235"/>
        <item m="1" x="1124"/>
        <item m="1" x="1327"/>
        <item m="1" x="1183"/>
        <item m="1" x="1400"/>
        <item m="1" x="1156"/>
        <item m="1" x="146"/>
        <item m="1" x="667"/>
        <item m="1" x="247"/>
        <item m="1" x="989"/>
        <item m="1" x="1182"/>
        <item m="1" x="1029"/>
        <item x="32"/>
        <item m="1" x="1373"/>
        <item m="1" x="44"/>
        <item m="1" x="1609"/>
        <item m="1" x="1021"/>
        <item m="1" x="1259"/>
        <item m="1" x="268"/>
        <item m="1" x="1284"/>
        <item m="1" x="1478"/>
        <item m="1" x="1445"/>
        <item m="1" x="1064"/>
        <item m="1" x="1452"/>
        <item m="1" x="1035"/>
        <item m="1" x="1162"/>
        <item m="1" x="278"/>
        <item m="1" x="140"/>
        <item m="1" x="1210"/>
        <item m="1" x="1430"/>
        <item m="1" x="1044"/>
        <item m="1" x="188"/>
        <item m="1" x="1265"/>
        <item m="1" x="1493"/>
        <item m="1" x="239"/>
        <item m="1" x="1056"/>
        <item m="1" x="966"/>
        <item m="1" x="935"/>
        <item m="1" x="1192"/>
        <item m="1" x="1092"/>
        <item m="1" x="1163"/>
        <item m="1" x="453"/>
        <item m="1" x="1205"/>
        <item m="1" x="1085"/>
        <item m="1" x="501"/>
        <item m="1" x="1520"/>
        <item m="1" x="1247"/>
        <item m="1" x="1404"/>
        <item m="1" x="1083"/>
        <item m="1" x="1204"/>
        <item m="1" x="1394"/>
        <item m="1" x="1409"/>
        <item m="1" x="1351"/>
        <item m="1" x="1218"/>
        <item m="1" x="1470"/>
        <item m="1" x="1188"/>
        <item m="1" x="1387"/>
        <item m="1" x="1436"/>
        <item m="1" x="1129"/>
        <item m="1" x="1246"/>
        <item m="1" x="1261"/>
        <item m="1" x="953"/>
        <item m="1" x="1111"/>
        <item m="1" x="1299"/>
        <item m="1" x="1526"/>
        <item m="1" x="1502"/>
        <item m="1" x="1042"/>
        <item m="1" x="1545"/>
        <item m="1" x="993"/>
        <item m="1" x="1139"/>
        <item m="1" x="1467"/>
        <item m="1" x="750"/>
        <item m="1" x="581"/>
        <item m="1" x="1385"/>
        <item m="1" x="1104"/>
        <item m="1" x="596"/>
        <item m="1" x="1233"/>
        <item m="1" x="1018"/>
        <item m="1" x="1382"/>
        <item m="1" x="975"/>
        <item m="1" x="65"/>
        <item m="1" x="1424"/>
        <item m="1" x="1143"/>
        <item m="1" x="236"/>
        <item m="1" x="360"/>
        <item m="1" x="181"/>
        <item m="1" x="1458"/>
        <item m="1" x="1076"/>
        <item m="1" x="1290"/>
        <item m="1" x="1173"/>
        <item m="1" x="981"/>
        <item m="1" x="1325"/>
        <item m="1" x="242"/>
        <item m="1" x="660"/>
        <item m="1" x="1428"/>
        <item m="1" x="1128"/>
        <item m="1" x="1425"/>
        <item m="1" x="620"/>
        <item m="1" x="1571"/>
        <item m="1" x="1027"/>
        <item m="1" x="1168"/>
        <item m="1" x="712"/>
        <item m="1" x="957"/>
        <item m="1" x="741"/>
        <item m="1" x="1004"/>
        <item m="1" x="1499"/>
        <item m="1" x="455"/>
        <item m="1" x="1466"/>
        <item m="1" x="1488"/>
        <item m="1" x="1067"/>
        <item m="1" x="1582"/>
        <item m="1" x="202"/>
        <item m="1" x="502"/>
        <item m="1" x="662"/>
        <item m="1" x="1506"/>
        <item m="1" x="1579"/>
        <item m="1" x="1302"/>
        <item m="1" x="1003"/>
        <item m="1" x="1225"/>
        <item m="1" x="1512"/>
        <item m="1" x="555"/>
        <item m="1" x="1379"/>
        <item m="1" x="409"/>
        <item m="1" x="1266"/>
        <item m="1" x="1473"/>
        <item m="1" x="955"/>
        <item m="1" x="78"/>
        <item m="1" x="1472"/>
        <item m="1" x="405"/>
        <item m="1" x="1020"/>
        <item m="1" x="1159"/>
        <item m="1" x="1295"/>
        <item m="1" x="1476"/>
        <item m="1" x="510"/>
        <item m="1" x="714"/>
        <item m="1" x="1313"/>
        <item m="1" x="1187"/>
        <item m="1" x="731"/>
        <item m="1" x="1240"/>
        <item m="1" x="1191"/>
        <item m="1" x="1019"/>
        <item m="1" x="1361"/>
        <item m="1" x="1434"/>
        <item m="1" x="967"/>
        <item m="1" x="1068"/>
        <item m="1" x="1078"/>
        <item m="1" x="1269"/>
        <item m="1" x="787"/>
        <item m="1" x="1482"/>
        <item m="1" x="995"/>
        <item m="1" x="1567"/>
        <item m="1" x="1241"/>
        <item m="1" x="791"/>
        <item m="1" x="1574"/>
        <item m="1" x="1524"/>
        <item m="1" x="1200"/>
        <item m="1" x="1353"/>
        <item m="1" x="1123"/>
        <item m="1" x="688"/>
        <item m="1" x="1213"/>
        <item m="1" x="1386"/>
        <item m="1" x="997"/>
        <item x="37"/>
        <item m="1" x="954"/>
        <item m="1" x="1120"/>
        <item m="1" x="1283"/>
        <item m="1" x="1584"/>
        <item m="1" x="1509"/>
        <item m="1" x="1342"/>
        <item m="1" x="77"/>
        <item m="1" x="1147"/>
        <item m="1" x="1303"/>
        <item m="1" x="1446"/>
        <item m="1" x="1321"/>
        <item m="1" x="1333"/>
        <item m="1" x="633"/>
        <item m="1" x="1496"/>
        <item m="1" x="1026"/>
        <item m="1" x="1107"/>
        <item m="1" x="1154"/>
        <item m="1" x="1150"/>
        <item m="1" x="1179"/>
        <item m="1" x="1190"/>
        <item m="1" x="1061"/>
        <item m="1" x="994"/>
        <item m="1" x="1227"/>
        <item m="1" x="1100"/>
        <item m="1" x="1471"/>
        <item m="1" x="429"/>
        <item m="1" x="764"/>
        <item m="1" x="755"/>
        <item m="1" x="1468"/>
        <item m="1" x="1553"/>
        <item m="1" x="1257"/>
        <item m="1" x="1110"/>
        <item m="1" x="201"/>
        <item m="1" x="1435"/>
        <item m="1" x="1237"/>
        <item m="1" x="1438"/>
        <item m="1" x="606"/>
        <item m="1" x="1402"/>
        <item m="1" x="795"/>
        <item m="1" x="1300"/>
        <item x="6"/>
        <item m="1" x="1433"/>
        <item m="1" x="105"/>
        <item m="1" x="1529"/>
        <item m="1" x="1032"/>
        <item m="1" x="1431"/>
        <item m="1" x="1312"/>
        <item m="1" x="1275"/>
        <item m="1" x="1541"/>
        <item m="1" x="711"/>
        <item m="1" x="1307"/>
        <item m="1" x="1576"/>
        <item m="1" x="1340"/>
        <item m="1" x="1407"/>
        <item m="1" x="1565"/>
        <item m="1" x="1411"/>
        <item m="1" x="1419"/>
        <item m="1" x="1244"/>
        <item m="1" x="1440"/>
        <item m="1" x="1193"/>
        <item m="1" x="991"/>
        <item x="26"/>
        <item m="1" x="91"/>
        <item m="1" x="987"/>
        <item m="1" x="1011"/>
        <item m="1" x="1196"/>
        <item m="1" x="1603"/>
        <item m="1" x="1511"/>
        <item m="1" x="1389"/>
        <item m="1" x="1090"/>
        <item m="1" x="1117"/>
        <item m="1" x="302"/>
        <item m="1" x="1350"/>
        <item m="1" x="979"/>
        <item m="1" x="481"/>
        <item m="1" x="1338"/>
        <item m="1" x="1230"/>
        <item m="1" x="1461"/>
        <item m="1" x="1355"/>
        <item m="1" x="1380"/>
        <item m="1" x="1561"/>
        <item m="1" x="1505"/>
        <item m="1" x="1106"/>
        <item m="1" x="1252"/>
        <item m="1" x="1547"/>
        <item m="1" x="1537"/>
        <item m="1" x="1008"/>
        <item m="1" x="305"/>
        <item m="1" x="1047"/>
        <item m="1" x="1305"/>
        <item m="1" x="1054"/>
        <item m="1" x="615"/>
        <item m="1" x="171"/>
        <item m="1" x="1522"/>
        <item m="1" x="1070"/>
        <item m="1" x="1556"/>
        <item m="1" x="1040"/>
        <item m="1" x="1322"/>
        <item m="1" x="1611"/>
        <item m="1" x="1420"/>
        <item m="1" x="992"/>
        <item m="1" x="1314"/>
        <item m="1" x="1288"/>
        <item m="1" x="952"/>
        <item m="1" x="1494"/>
        <item m="1" x="1157"/>
        <item m="1" x="1096"/>
        <item m="1" x="1010"/>
        <item m="1" x="1474"/>
        <item m="1" x="109"/>
        <item m="1" x="1432"/>
        <item m="1" x="1444"/>
        <item m="1" x="1013"/>
        <item m="1" x="104"/>
        <item m="1" x="1254"/>
        <item m="1" x="119"/>
        <item m="1" x="1334"/>
        <item m="1" x="1238"/>
        <item m="1" x="1256"/>
        <item m="1" x="726"/>
        <item m="1" x="1564"/>
        <item m="1" x="1362"/>
        <item m="1" x="286"/>
        <item m="1" x="1393"/>
        <item m="1" x="1119"/>
        <item m="1" x="1575"/>
        <item m="1" x="1405"/>
        <item m="1" x="1600"/>
        <item m="1" x="389"/>
        <item m="1" x="1135"/>
        <item m="1" x="950"/>
        <item m="1" x="1525"/>
        <item m="1" x="1336"/>
        <item m="1" x="1587"/>
        <item m="1" x="1103"/>
        <item m="1" x="1024"/>
        <item m="1" x="1073"/>
        <item m="1" x="443"/>
        <item m="1" x="1105"/>
        <item m="1" x="1554"/>
        <item m="1" x="1138"/>
        <item m="1" x="965"/>
        <item m="1" x="1583"/>
        <item m="1" x="1080"/>
        <item m="1" x="1601"/>
        <item m="1" x="1412"/>
        <item m="1" x="1116"/>
        <item m="1" x="107"/>
        <item m="1" x="1311"/>
        <item m="1" x="974"/>
        <item m="1" x="289"/>
        <item m="1" x="675"/>
        <item m="1" x="1588"/>
        <item m="1" x="1596"/>
        <item m="1" x="106"/>
        <item m="1" x="1500"/>
        <item m="1" x="1037"/>
        <item m="1" x="1112"/>
        <item m="1" x="1390"/>
        <item m="1" x="1486"/>
        <item m="1" x="943"/>
        <item m="1" x="958"/>
        <item m="1" x="1226"/>
        <item m="1" x="1175"/>
        <item m="1" x="951"/>
        <item m="1" x="1507"/>
        <item m="1" x="1408"/>
        <item m="1" x="1403"/>
        <item m="1" x="1206"/>
        <item m="1" x="1363"/>
        <item m="1" x="1171"/>
        <item m="1" x="1243"/>
        <item m="1" x="1194"/>
        <item m="1" x="1423"/>
        <item m="1" x="1087"/>
        <item m="1" x="1186"/>
        <item m="1" x="1236"/>
        <item m="1" x="984"/>
        <item m="1" x="326"/>
        <item m="1" x="48"/>
        <item m="1" x="1508"/>
        <item m="1" x="1144"/>
        <item m="1" x="1443"/>
        <item m="1" x="1289"/>
        <item m="1" x="990"/>
        <item m="1" x="1145"/>
        <item m="1" x="1477"/>
        <item m="1" x="1531"/>
        <item m="1" x="1223"/>
        <item m="1" x="749"/>
        <item m="1" x="1345"/>
        <item m="1" x="1344"/>
        <item m="1" x="1292"/>
        <item m="1" x="1153"/>
        <item m="1" x="1459"/>
        <item m="1" x="1484"/>
        <item m="1" x="1356"/>
        <item m="1" x="1580"/>
        <item m="1" x="95"/>
        <item x="19"/>
        <item m="1" x="1510"/>
        <item m="1" x="39"/>
        <item m="1" x="1429"/>
        <item m="1" x="68"/>
        <item m="1" x="185"/>
        <item m="1" x="1293"/>
        <item m="1" x="1301"/>
        <item m="1" x="1286"/>
        <item m="1" x="1199"/>
        <item m="1" x="855"/>
        <item m="1" x="1208"/>
        <item m="1" x="1375"/>
        <item m="1" x="1339"/>
        <item m="1" x="1221"/>
        <item m="1" x="988"/>
        <item m="1" x="534"/>
        <item m="1" x="1228"/>
        <item m="1" x="1297"/>
        <item m="1" x="210"/>
        <item m="1" x="1542"/>
        <item m="1" x="1158"/>
        <item m="1" x="1276"/>
        <item m="1" x="1480"/>
        <item m="1" x="778"/>
        <item m="1" x="1378"/>
        <item m="1" x="1364"/>
        <item m="1" x="745"/>
        <item m="1" x="1527"/>
        <item m="1" x="1017"/>
        <item m="1" x="1329"/>
        <item m="1" x="1264"/>
        <item m="1" x="276"/>
        <item m="1" x="1558"/>
        <item m="1" x="1184"/>
        <item m="1" x="1519"/>
        <item x="5"/>
        <item m="1" x="410"/>
        <item m="1" x="1287"/>
        <item m="1" x="195"/>
        <item m="1" x="744"/>
        <item m="1" x="638"/>
        <item m="1" x="421"/>
        <item m="1" x="1464"/>
        <item m="1" x="436"/>
        <item m="1" x="138"/>
        <item m="1" x="1398"/>
        <item m="1" x="1146"/>
        <item m="1" x="1152"/>
        <item m="1" x="1214"/>
        <item m="1" x="1371"/>
        <item m="1" x="1142"/>
        <item m="1" x="846"/>
        <item m="1" x="839"/>
        <item m="1" x="1232"/>
        <item m="1" x="1062"/>
        <item m="1" x="986"/>
        <item m="1" x="1376"/>
        <item m="1" x="1094"/>
        <item m="1" x="1005"/>
        <item m="1" x="1610"/>
        <item m="1" x="1166"/>
        <item m="1" x="887"/>
        <item m="1" x="1552"/>
        <item m="1" x="1023"/>
        <item m="1" x="72"/>
        <item m="1" x="786"/>
        <item m="1" x="1306"/>
        <item m="1" x="1291"/>
        <item m="1" x="1395"/>
        <item m="1" x="1121"/>
        <item m="1" x="1317"/>
        <item m="1" x="1045"/>
        <item m="1" x="1369"/>
        <item m="1" x="263"/>
        <item m="1" x="1137"/>
        <item m="1" x="1239"/>
        <item m="1" x="203"/>
        <item m="1" x="1465"/>
        <item m="1" x="1222"/>
        <item m="1" x="1212"/>
        <item m="1" x="1267"/>
        <item m="1" x="968"/>
        <item m="1" x="1022"/>
        <item m="1" x="1298"/>
        <item m="1" x="1324"/>
        <item m="1" x="970"/>
        <item m="1" x="169"/>
        <item m="1" x="1377"/>
        <item m="1" x="1451"/>
        <item m="1" x="1048"/>
        <item m="1" x="319"/>
        <item m="1" x="277"/>
        <item m="1" x="1220"/>
        <item m="1" x="1497"/>
        <item m="1" x="1130"/>
        <item m="1" x="1209"/>
        <item m="1" x="1052"/>
        <item m="1" x="1399"/>
        <item m="1" x="1417"/>
        <item m="1" x="1406"/>
        <item m="1" x="1347"/>
        <item m="1" x="1449"/>
        <item x="8"/>
        <item m="1" x="1532"/>
        <item m="1" x="1310"/>
        <item m="1" x="1590"/>
        <item m="1" x="1540"/>
        <item m="1" x="1097"/>
        <item m="1" x="1006"/>
        <item m="1" x="1448"/>
        <item m="1" x="1069"/>
        <item m="1" x="1418"/>
        <item m="1" x="1031"/>
        <item m="1" x="998"/>
        <item m="1" x="1189"/>
        <item m="1" x="1091"/>
        <item m="1" x="1462"/>
        <item m="1" x="1084"/>
        <item m="1" x="1059"/>
        <item m="1" x="1450"/>
        <item m="1" x="1463"/>
        <item x="25"/>
        <item m="1" x="1605"/>
        <item m="1" x="1384"/>
        <item m="1" x="695"/>
        <item m="1" x="1195"/>
        <item m="1" x="1383"/>
        <item m="1" x="1513"/>
        <item m="1" x="1095"/>
        <item m="1" x="1178"/>
        <item m="1" x="1447"/>
        <item m="1" x="261"/>
        <item m="1" x="1535"/>
        <item m="1" x="1481"/>
        <item m="1" x="1245"/>
        <item m="1" x="1014"/>
        <item m="1" x="1172"/>
        <item m="1" x="1009"/>
        <item m="1" x="882"/>
        <item m="1" x="1401"/>
        <item m="1" x="1543"/>
        <item m="1" x="1546"/>
        <item m="1" x="1566"/>
        <item m="1" x="1315"/>
        <item m="1" x="1071"/>
        <item m="1" x="1169"/>
        <item m="1" x="1492"/>
        <item m="1" x="1563"/>
        <item m="1" x="1453"/>
        <item m="1" x="1079"/>
        <item m="1" x="1489"/>
        <item m="1" x="1098"/>
        <item m="1" x="102"/>
        <item m="1" x="1134"/>
        <item m="1" x="1572"/>
        <item m="1" x="1148"/>
        <item m="1" x="1164"/>
        <item x="28"/>
        <item m="1" x="1177"/>
        <item m="1" x="1155"/>
        <item m="1" x="973"/>
        <item m="1" x="1039"/>
        <item m="1" x="1181"/>
        <item m="1" x="1216"/>
        <item m="1" x="977"/>
        <item m="1" x="1279"/>
        <item m="1" x="1332"/>
        <item m="1" x="1559"/>
        <item m="1" x="1131"/>
        <item m="1" x="1560"/>
        <item m="1" x="1413"/>
        <item m="1" x="1331"/>
        <item m="1" x="1570"/>
        <item m="1" x="872"/>
        <item m="1" x="1562"/>
        <item m="1" x="1273"/>
        <item m="1" x="1149"/>
        <item m="1" x="1551"/>
        <item m="1" x="1211"/>
        <item m="1" x="1602"/>
        <item m="1" x="1491"/>
        <item m="1" x="1454"/>
        <item m="1" x="1328"/>
        <item m="1" x="1456"/>
        <item m="1" x="1483"/>
        <item m="1" x="1081"/>
        <item m="1" x="1422"/>
        <item m="1" x="1101"/>
        <item m="1" x="980"/>
        <item m="1" x="1354"/>
        <item m="1" x="1530"/>
        <item m="1" x="804"/>
        <item m="1" x="547"/>
        <item m="1" x="1538"/>
        <item m="1" x="1058"/>
        <item m="1" x="1102"/>
        <item m="1" x="1343"/>
        <item m="1" x="1349"/>
        <item m="1" x="1359"/>
        <item m="1" x="1604"/>
        <item m="1" x="1599"/>
        <item m="1" x="1594"/>
        <item m="1" x="1521"/>
        <item m="1" x="155"/>
        <item m="1" x="208"/>
        <item m="1" x="1514"/>
        <item m="1" x="1033"/>
        <item m="1" x="1099"/>
        <item m="1" x="1534"/>
        <item m="1" x="999"/>
        <item m="1" x="1365"/>
        <item m="1" x="1504"/>
        <item m="1" x="1437"/>
        <item m="1" x="1028"/>
        <item m="1" x="1043"/>
        <item m="1" x="1557"/>
        <item m="1" x="1595"/>
        <item m="1" x="1088"/>
        <item m="1" x="1592"/>
        <item m="1" x="1235"/>
        <item m="1" x="517"/>
        <item m="1" x="1282"/>
        <item m="1" x="1501"/>
        <item m="1" x="1479"/>
        <item m="1" x="1544"/>
        <item m="1" x="962"/>
        <item m="1" x="1125"/>
        <item m="1" x="1426"/>
        <item m="1" x="1392"/>
        <item m="1" x="976"/>
        <item m="1" x="1231"/>
        <item m="1" x="1589"/>
        <item m="1" x="1475"/>
        <item m="1" x="1165"/>
        <item m="1" x="1319"/>
        <item m="1" x="1271"/>
        <item m="1" x="982"/>
        <item m="1" x="1274"/>
        <item m="1" x="1167"/>
        <item m="1" x="1060"/>
        <item m="1" x="1539"/>
        <item m="1" x="1490"/>
        <item m="1" x="680"/>
        <item m="1" x="762"/>
        <item m="1" x="1113"/>
        <item m="1" x="1410"/>
        <item m="1" x="1396"/>
        <item m="1" x="1515"/>
        <item m="1" x="1597"/>
        <item m="1" x="1198"/>
        <item m="1" x="1427"/>
        <item m="1" x="1001"/>
        <item m="1" x="1568"/>
        <item m="1" x="1077"/>
        <item m="1" x="1391"/>
        <item m="1" x="454"/>
        <item m="1" x="686"/>
        <item m="1" x="1108"/>
        <item m="1" x="1581"/>
        <item m="1" x="1442"/>
        <item m="1" x="1038"/>
        <item m="1" x="1255"/>
        <item m="1" x="971"/>
        <item m="1" x="1439"/>
        <item m="1" x="1415"/>
        <item m="1" x="1075"/>
        <item m="1" x="515"/>
        <item m="1" x="1215"/>
        <item m="1" x="1593"/>
        <item m="1" x="1025"/>
        <item m="1" x="1367"/>
        <item m="1" x="1229"/>
        <item m="1" x="1536"/>
        <item m="1" x="1318"/>
        <item m="1" x="1608"/>
        <item m="1" x="1372"/>
        <item m="1" x="1030"/>
        <item m="1" x="592"/>
        <item m="1" x="1280"/>
        <item m="1" x="862"/>
        <item m="1" x="1517"/>
        <item m="1" x="1201"/>
        <item m="1" x="1272"/>
        <item m="1" x="1281"/>
        <item m="1" x="1253"/>
        <item m="1" x="960"/>
        <item m="1" x="1034"/>
        <item m="1" x="1469"/>
        <item m="1" x="1516"/>
        <item m="1" x="1326"/>
        <item m="1" x="1132"/>
        <item m="1" x="1262"/>
        <item m="1" x="1388"/>
        <item m="1" x="1337"/>
        <item m="1" x="1368"/>
        <item m="1" x="324"/>
        <item m="1" x="1126"/>
        <item m="1" x="705"/>
        <item m="1" x="132"/>
        <item m="1" x="927"/>
        <item m="1" x="1416"/>
        <item m="1" x="1224"/>
        <item m="1" x="1234"/>
        <item m="1" x="956"/>
        <item m="1" x="1036"/>
        <item m="1" x="1277"/>
        <item m="1" x="1115"/>
        <item m="1" x="1203"/>
        <item m="1" x="1578"/>
        <item m="1" x="1207"/>
        <item m="1" x="1114"/>
        <item m="1" x="1487"/>
        <item m="1" x="1495"/>
        <item m="1" x="1606"/>
        <item m="1" x="1185"/>
        <item m="1" x="1357"/>
        <item m="1" x="1065"/>
        <item m="1" x="1296"/>
        <item m="1" x="1573"/>
        <item m="1" x="1498"/>
        <item m="1" x="1160"/>
        <item m="1" x="1250"/>
        <item m="1" x="1569"/>
        <item m="1" x="1007"/>
        <item m="1" x="1015"/>
        <item m="1" x="1550"/>
        <item m="1" x="1260"/>
        <item m="1" x="70"/>
        <item m="1" x="1457"/>
        <item m="1" x="1066"/>
        <item m="1" x="963"/>
        <item m="1" x="961"/>
        <item m="1" x="1072"/>
        <item m="1" x="1109"/>
        <item m="1" x="1141"/>
        <item m="1" x="1063"/>
        <item m="1" x="1598"/>
        <item m="1" x="1549"/>
        <item m="1" x="1348"/>
        <item m="1" x="1217"/>
        <item m="1" x="978"/>
        <item m="1" x="1397"/>
        <item m="1" x="1197"/>
        <item m="1" x="1202"/>
        <item m="1" x="1127"/>
        <item m="1" x="1118"/>
        <item m="1" x="1268"/>
        <item m="1" x="1055"/>
        <item m="1" x="1053"/>
        <item m="1" x="1285"/>
        <item m="1" x="1503"/>
        <item m="1" x="1374"/>
        <item m="1" x="1304"/>
        <item m="1" x="1089"/>
        <item m="1" x="1308"/>
        <item m="1" x="1455"/>
        <item m="1" x="425"/>
        <item m="1" x="1366"/>
        <item m="1" x="1248"/>
        <item m="1" x="1607"/>
        <item m="1" x="829"/>
        <item m="1" x="1140"/>
        <item m="1" x="1074"/>
        <item m="1" x="1555"/>
        <item m="1" x="1122"/>
        <item m="1" x="1441"/>
        <item m="1" x="256"/>
        <item m="1" x="1174"/>
        <item m="1" x="1263"/>
        <item m="1" x="1358"/>
        <item m="1" x="528"/>
        <item m="1" x="1414"/>
        <item m="1" x="1421"/>
        <item m="1" x="972"/>
        <item m="1" x="1548"/>
        <item m="1" x="1485"/>
        <item m="1" x="1381"/>
        <item m="1" x="914"/>
        <item m="1" x="508"/>
        <item m="1" x="725"/>
        <item m="1" x="46"/>
        <item m="1" x="448"/>
        <item m="1" x="1180"/>
        <item m="1" x="1577"/>
        <item m="1" x="1002"/>
        <item m="1" x="1278"/>
        <item m="1" x="1323"/>
        <item m="1" x="983"/>
        <item m="1" x="1051"/>
        <item m="1" x="1591"/>
        <item m="1" x="1320"/>
        <item m="1" x="1151"/>
        <item m="1" x="923"/>
        <item m="1" x="1370"/>
        <item m="1" x="964"/>
        <item m="1" x="916"/>
        <item m="1" x="1133"/>
        <item m="1" x="1330"/>
        <item m="1" x="1533"/>
        <item m="1" x="1360"/>
        <item m="1" x="1049"/>
        <item m="1" x="1136"/>
        <item m="1" x="1219"/>
        <item m="1" x="985"/>
        <item m="1" x="1341"/>
        <item x="11"/>
        <item m="1" x="1016"/>
        <item m="1" x="1585"/>
        <item m="1" x="1518"/>
        <item m="1" x="777"/>
        <item m="1" x="1041"/>
        <item m="1" x="1249"/>
        <item m="1" x="959"/>
        <item m="1" x="583"/>
        <item m="1" x="204"/>
        <item m="1" x="584"/>
        <item m="1" x="585"/>
        <item m="1" x="586"/>
        <item m="1" x="587"/>
        <item m="1" x="588"/>
        <item m="1" x="589"/>
        <item m="1" x="591"/>
        <item m="1" x="593"/>
        <item m="1" x="595"/>
        <item m="1" x="597"/>
        <item m="1" x="598"/>
        <item m="1" x="599"/>
        <item m="1" x="600"/>
        <item m="1" x="601"/>
        <item m="1" x="742"/>
        <item m="1" x="602"/>
        <item m="1" x="603"/>
        <item m="1" x="604"/>
        <item m="1" x="605"/>
        <item m="1" x="607"/>
        <item m="1" x="519"/>
        <item m="1" x="608"/>
        <item m="1" x="609"/>
        <item m="1" x="610"/>
        <item m="1" x="611"/>
        <item m="1" x="612"/>
        <item m="1" x="613"/>
        <item m="1" x="614"/>
        <item m="1" x="616"/>
        <item m="1" x="617"/>
        <item m="1" x="618"/>
        <item m="1" x="619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4"/>
        <item m="1" x="635"/>
        <item m="1" x="636"/>
        <item m="1" x="637"/>
        <item m="1" x="639"/>
        <item m="1" x="640"/>
        <item m="1" x="641"/>
        <item m="1" x="642"/>
        <item m="1" x="141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435"/>
        <item m="1" x="655"/>
        <item m="1" x="656"/>
        <item m="1" x="657"/>
        <item m="1" x="658"/>
        <item x="13"/>
        <item m="1" x="659"/>
        <item m="1" x="661"/>
        <item m="1" x="663"/>
        <item m="1" x="664"/>
        <item m="1" x="665"/>
        <item m="1" x="666"/>
        <item m="1" x="668"/>
        <item m="1" x="669"/>
        <item m="1" x="670"/>
        <item m="1" x="671"/>
        <item m="1" x="672"/>
        <item m="1" x="673"/>
        <item m="1" x="674"/>
        <item m="1" x="221"/>
        <item m="1" x="676"/>
        <item m="1" x="677"/>
        <item m="1" x="678"/>
        <item m="1" x="679"/>
        <item m="1" x="681"/>
        <item m="1" x="682"/>
        <item m="1" x="683"/>
        <item m="1" x="684"/>
        <item m="1" x="685"/>
        <item m="1" x="687"/>
        <item m="1" x="689"/>
        <item m="1" x="690"/>
        <item m="1" x="1528"/>
        <item m="1" x="691"/>
        <item m="1" x="692"/>
        <item m="1" x="693"/>
        <item m="1" x="694"/>
        <item m="1" x="1050"/>
        <item m="1" x="698"/>
        <item m="1" x="470"/>
        <item m="1" x="699"/>
        <item m="1" x="1294"/>
        <item m="1" x="700"/>
        <item m="1" x="701"/>
        <item m="1" x="702"/>
        <item m="1" x="703"/>
        <item m="1" x="704"/>
        <item m="1" x="288"/>
        <item m="1" x="706"/>
        <item m="1" x="707"/>
        <item m="1" x="708"/>
        <item m="1" x="709"/>
        <item m="1" x="99"/>
        <item m="1" x="710"/>
        <item m="1" x="713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7"/>
        <item m="1" x="728"/>
        <item m="1" x="729"/>
        <item m="1" x="337"/>
        <item m="1" x="730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3"/>
        <item m="1" x="404"/>
        <item m="1" x="746"/>
        <item m="1" x="747"/>
        <item m="1" x="748"/>
        <item m="1" x="751"/>
        <item m="1" x="752"/>
        <item m="1" x="753"/>
        <item m="1" x="754"/>
        <item m="1" x="756"/>
        <item m="1" x="757"/>
        <item m="1" x="758"/>
        <item m="1" x="759"/>
        <item m="1" x="760"/>
        <item m="1" x="761"/>
        <item m="1" x="763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498"/>
        <item m="1" x="779"/>
        <item m="1" x="780"/>
        <item m="1" x="781"/>
        <item m="1" x="782"/>
        <item x="4"/>
        <item m="1" x="783"/>
        <item m="1" x="784"/>
        <item m="1" x="785"/>
        <item m="1" x="788"/>
        <item m="1" x="574"/>
        <item m="1" x="789"/>
        <item m="1" x="790"/>
        <item m="1" x="792"/>
        <item m="1" x="793"/>
        <item m="1" x="794"/>
        <item m="1" x="796"/>
        <item m="1" x="797"/>
        <item m="1" x="798"/>
        <item m="1" x="799"/>
        <item m="1" x="800"/>
        <item m="1" x="801"/>
        <item m="1" x="802"/>
        <item m="1" x="803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232"/>
        <item m="1" x="822"/>
        <item m="1" x="264"/>
        <item m="1" x="823"/>
        <item m="1" x="300"/>
        <item m="1" x="824"/>
        <item m="1" x="825"/>
        <item m="1" x="826"/>
        <item m="1" x="827"/>
        <item m="1" x="1346"/>
        <item m="1" x="697"/>
        <item m="1" x="696"/>
        <item m="1" x="828"/>
        <item m="1" x="830"/>
        <item m="1" x="831"/>
        <item m="1" x="833"/>
        <item m="1" x="832"/>
        <item m="1" x="1082"/>
        <item m="1" x="834"/>
        <item m="1" x="538"/>
        <item m="1" x="835"/>
        <item m="1" x="836"/>
        <item m="1" x="837"/>
        <item m="1" x="838"/>
        <item m="1" x="840"/>
        <item m="1" x="841"/>
        <item m="1" x="842"/>
        <item m="1" x="843"/>
        <item m="1" x="844"/>
        <item m="1" x="845"/>
        <item m="1" x="848"/>
        <item m="1" x="847"/>
        <item m="1" x="849"/>
        <item m="1" x="850"/>
        <item m="1" x="851"/>
        <item m="1" x="852"/>
        <item m="1" x="853"/>
        <item m="1" x="854"/>
        <item m="1" x="856"/>
        <item m="1" x="857"/>
        <item m="1" x="858"/>
        <item m="1" x="859"/>
        <item m="1" x="860"/>
        <item m="1" x="861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3"/>
        <item m="1" x="884"/>
        <item m="1" x="885"/>
        <item m="1" x="886"/>
        <item m="1" x="1176"/>
        <item m="1" x="888"/>
        <item m="1" x="889"/>
        <item m="1" x="890"/>
        <item m="1" x="485"/>
        <item m="1" x="891"/>
        <item m="1" x="893"/>
        <item m="1" x="894"/>
        <item m="1" x="895"/>
        <item m="1" x="896"/>
        <item m="1" x="897"/>
        <item m="1" x="892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231"/>
        <item m="1" x="907"/>
        <item m="1" x="908"/>
        <item m="1" x="909"/>
        <item m="1" x="910"/>
        <item m="1" x="911"/>
        <item m="1" x="156"/>
        <item m="1" x="912"/>
        <item m="1" x="913"/>
        <item m="1" x="473"/>
        <item m="1" x="915"/>
        <item m="1" x="917"/>
        <item m="1" x="918"/>
        <item m="1" x="919"/>
        <item m="1" x="920"/>
        <item m="1" x="921"/>
        <item m="1" x="922"/>
        <item m="1" x="924"/>
        <item m="1" x="925"/>
        <item m="1" x="926"/>
        <item m="1" x="928"/>
        <item m="1" x="929"/>
        <item m="1" x="930"/>
        <item m="1" x="931"/>
        <item m="1" x="932"/>
        <item m="1" x="933"/>
        <item m="1" x="934"/>
        <item m="1" x="936"/>
        <item m="1" x="937"/>
        <item m="1" x="938"/>
        <item m="1" x="939"/>
        <item m="1" x="940"/>
        <item m="1" x="941"/>
        <item m="1" x="942"/>
        <item m="1" x="255"/>
        <item m="1" x="944"/>
        <item m="1" x="949"/>
        <item m="1" x="945"/>
        <item m="1" x="946"/>
        <item m="1" x="111"/>
        <item m="1" x="947"/>
        <item m="1" x="948"/>
        <item m="1" x="40"/>
        <item m="1" x="42"/>
        <item m="1" x="43"/>
        <item m="1" x="45"/>
        <item m="1" x="582"/>
        <item m="1" x="49"/>
        <item m="1" x="50"/>
        <item m="1" x="47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6"/>
        <item m="1" x="67"/>
        <item m="1" x="69"/>
        <item m="1" x="71"/>
        <item m="1" x="73"/>
        <item m="1" x="74"/>
        <item m="1" x="75"/>
        <item m="1" x="580"/>
        <item m="1" x="76"/>
        <item m="1" x="79"/>
        <item m="1" x="80"/>
        <item m="1" x="81"/>
        <item m="1" x="82"/>
        <item m="1" x="83"/>
        <item m="1" x="84"/>
        <item m="1" x="85"/>
        <item m="1" x="579"/>
        <item m="1" x="87"/>
        <item m="1" x="88"/>
        <item m="1" x="89"/>
        <item m="1" x="86"/>
        <item m="1" x="90"/>
        <item m="1" x="92"/>
        <item m="1" x="93"/>
        <item m="1" x="94"/>
        <item m="1" x="96"/>
        <item m="1" x="97"/>
        <item m="1" x="98"/>
        <item m="1" x="578"/>
        <item m="1" x="101"/>
        <item m="1" x="103"/>
        <item m="1" x="108"/>
        <item m="1" x="110"/>
        <item m="1" x="112"/>
        <item m="1" x="113"/>
        <item m="1" x="114"/>
        <item m="1" x="115"/>
        <item m="1" x="116"/>
        <item m="1" x="117"/>
        <item m="1" x="118"/>
        <item m="1" x="100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3"/>
        <item m="1" x="134"/>
        <item m="1" x="135"/>
        <item m="1" x="136"/>
        <item m="1" x="137"/>
        <item m="1" x="139"/>
        <item m="1" x="142"/>
        <item m="1" x="143"/>
        <item m="1" x="144"/>
        <item m="1" x="145"/>
        <item m="1" x="147"/>
        <item m="1" x="148"/>
        <item m="1" x="149"/>
        <item m="1" x="150"/>
        <item m="1" x="151"/>
        <item m="1" x="152"/>
        <item m="1" x="575"/>
        <item m="1" x="154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70"/>
        <item m="1" x="172"/>
        <item m="1" x="173"/>
        <item m="1" x="174"/>
        <item m="1" x="175"/>
        <item m="1" x="176"/>
        <item m="1" x="178"/>
        <item m="1" x="179"/>
        <item m="1" x="180"/>
        <item m="1" x="182"/>
        <item m="1" x="183"/>
        <item m="1" x="184"/>
        <item m="1" x="186"/>
        <item m="1" x="187"/>
        <item m="1" x="189"/>
        <item m="1" x="190"/>
        <item m="1" x="191"/>
        <item m="1" x="192"/>
        <item m="1" x="193"/>
        <item m="1" x="194"/>
        <item m="1" x="196"/>
        <item m="1" x="197"/>
        <item m="1" x="198"/>
        <item m="1" x="199"/>
        <item m="1" x="200"/>
        <item m="1" x="205"/>
        <item m="1" x="206"/>
        <item m="1" x="207"/>
        <item m="1" x="209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9"/>
        <item m="1" x="230"/>
        <item m="1" x="220"/>
        <item m="1" x="222"/>
        <item m="1" x="223"/>
        <item m="1" x="224"/>
        <item m="1" x="225"/>
        <item m="1" x="226"/>
        <item m="1" x="227"/>
        <item m="1" x="228"/>
        <item m="1" x="233"/>
        <item m="1" x="234"/>
        <item m="1" x="237"/>
        <item m="1" x="238"/>
        <item m="1" x="240"/>
        <item m="1" x="241"/>
        <item m="1" x="243"/>
        <item m="1" x="244"/>
        <item m="1" x="245"/>
        <item m="1" x="246"/>
        <item m="1" x="248"/>
        <item m="1" x="249"/>
        <item m="1" x="250"/>
        <item m="1" x="251"/>
        <item m="1" x="252"/>
        <item m="1" x="253"/>
        <item m="1" x="254"/>
        <item m="1" x="257"/>
        <item m="1" x="258"/>
        <item m="1" x="259"/>
        <item m="1" x="260"/>
        <item m="1" x="265"/>
        <item m="1" x="266"/>
        <item m="1" x="267"/>
        <item m="1" x="270"/>
        <item m="1" x="271"/>
        <item m="1" x="272"/>
        <item m="1" x="576"/>
        <item m="1" x="274"/>
        <item m="1" x="577"/>
        <item m="1" x="279"/>
        <item m="1" x="281"/>
        <item m="1" x="282"/>
        <item m="1" x="283"/>
        <item m="1" x="284"/>
        <item m="1" x="285"/>
        <item m="1" x="290"/>
        <item m="1" x="291"/>
        <item m="1" x="153"/>
        <item m="1" x="273"/>
        <item m="1" x="275"/>
        <item m="1" x="292"/>
        <item m="1" x="293"/>
        <item m="1" x="294"/>
        <item m="1" x="295"/>
        <item m="1" x="296"/>
        <item m="1" x="297"/>
        <item m="1" x="298"/>
        <item m="1" x="299"/>
        <item m="1" x="301"/>
        <item m="1" x="303"/>
        <item m="1" x="304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7"/>
        <item m="1" x="318"/>
        <item m="1" x="320"/>
        <item m="1" x="321"/>
        <item m="1" x="322"/>
        <item m="1" x="323"/>
        <item m="1" x="325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6"/>
        <item m="1" x="407"/>
        <item m="1" x="408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2"/>
        <item m="1" x="423"/>
        <item m="1" x="424"/>
        <item m="1" x="426"/>
        <item m="1" x="427"/>
        <item m="1" x="428"/>
        <item m="1" x="430"/>
        <item m="1" x="431"/>
        <item m="1" x="432"/>
        <item m="1" x="433"/>
        <item m="1" x="434"/>
        <item m="1" x="437"/>
        <item m="1" x="438"/>
        <item m="1" x="440"/>
        <item m="1" x="441"/>
        <item m="1" x="442"/>
        <item m="1" x="444"/>
        <item m="1" x="445"/>
        <item m="1" x="446"/>
        <item m="1" x="447"/>
        <item m="1" x="449"/>
        <item m="1" x="450"/>
        <item m="1" x="451"/>
        <item m="1" x="452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7"/>
        <item m="1" x="468"/>
        <item m="1" x="469"/>
        <item m="1" x="471"/>
        <item m="1" x="472"/>
        <item m="1" x="474"/>
        <item m="1" x="475"/>
        <item m="1" x="477"/>
        <item m="1" x="478"/>
        <item m="1" x="479"/>
        <item m="1" x="480"/>
        <item m="1" x="482"/>
        <item m="1" x="483"/>
        <item m="1" x="484"/>
        <item m="1" x="571"/>
        <item m="1" x="487"/>
        <item m="1" x="280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9"/>
        <item m="1" x="500"/>
        <item m="1" x="503"/>
        <item m="1" x="507"/>
        <item m="1" x="504"/>
        <item m="1" x="505"/>
        <item m="1" x="506"/>
        <item m="1" x="509"/>
        <item m="1" x="511"/>
        <item m="1" x="512"/>
        <item m="1" x="514"/>
        <item m="1" x="516"/>
        <item m="1" x="572"/>
        <item m="1" x="573"/>
        <item m="1" x="518"/>
        <item m="1" x="520"/>
        <item m="1" x="521"/>
        <item m="1" x="522"/>
        <item m="1" x="523"/>
        <item m="1" x="524"/>
        <item m="1" x="525"/>
        <item m="1" x="526"/>
        <item m="1" x="527"/>
        <item m="1" x="513"/>
        <item m="1" x="529"/>
        <item m="1" x="530"/>
        <item m="1" x="531"/>
        <item m="1" x="532"/>
        <item m="1" x="533"/>
        <item m="1" x="486"/>
        <item m="1" x="535"/>
        <item m="1" x="536"/>
        <item m="1" x="537"/>
        <item m="1" x="539"/>
        <item m="1" x="540"/>
        <item m="1" x="541"/>
        <item m="1" x="542"/>
        <item m="1" x="543"/>
        <item m="1" x="544"/>
        <item m="1" x="545"/>
        <item m="1" x="546"/>
        <item m="1" x="548"/>
        <item m="1" x="549"/>
        <item m="1" x="550"/>
        <item m="1" x="551"/>
        <item m="1" x="552"/>
        <item m="1" x="553"/>
        <item m="1" x="554"/>
        <item m="1" x="556"/>
        <item m="1" x="570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x="7"/>
        <item x="9"/>
        <item x="10"/>
        <item x="12"/>
        <item x="14"/>
        <item x="15"/>
        <item x="16"/>
        <item x="17"/>
        <item x="20"/>
        <item x="22"/>
        <item x="23"/>
        <item x="24"/>
        <item x="27"/>
        <item x="29"/>
        <item x="30"/>
        <item x="31"/>
        <item x="33"/>
        <item m="1" x="38"/>
        <item x="34"/>
        <item x="35"/>
        <item x="3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pageFields count="3">
    <pageField fld="3" item="0" hier="-1"/>
    <pageField fld="7" hier="-1"/>
    <pageField fld="9" hier="-1"/>
  </pageFields>
  <dataFields count="2">
    <dataField name="Količina robe" fld="9" baseField="1" baseItem="1" numFmtId="4"/>
    <dataField name="Vrednost" fld="13" baseField="1" baseItem="1" numFmtId="4"/>
  </dataFields>
  <formats count="1">
    <format dxfId="491">
      <pivotArea field="1" type="button" dataOnly="0" labelOnly="1" outline="0"/>
    </format>
  </formats>
  <pivotTableStyleInfo name="PivotStyleDark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Izvedena tabela4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U11:AA27" firstHeaderRow="0" firstDataRow="1" firstDataCol="1" rowPageCount="6" colPageCount="1"/>
  <pivotFields count="48">
    <pivotField showAll="0" defaultSubtotal="0"/>
    <pivotField axis="axisRow" numFmtId="167" showAll="0" insertPageBreak="1" includeNewItemsInFilter="1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axis="axisPage" multipleItemSelectionAllowed="1" showAll="0">
      <items count="8">
        <item h="1" x="1"/>
        <item h="1" x="0"/>
        <item h="1" x="2"/>
        <item x="4"/>
        <item h="1" x="5"/>
        <item h="1" x="3"/>
        <item h="1" m="1" x="6"/>
        <item t="default"/>
      </items>
    </pivotField>
    <pivotField axis="axisPage" multipleItemSelectionAllowed="1" showAll="0">
      <items count="7">
        <item x="3"/>
        <item x="2"/>
        <item x="1"/>
        <item x="0"/>
        <item x="5"/>
        <item x="4"/>
        <item t="default"/>
      </items>
    </pivotField>
    <pivotField axis="axisPage" multipleItemSelectionAllowed="1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x="1"/>
        <item x="2"/>
        <item x="0"/>
        <item x="3"/>
        <item x="4"/>
        <item x="5"/>
        <item t="default"/>
      </items>
    </pivotField>
    <pivotField axis="axisPage" multipleItemSelectionAllowed="1" showAll="0">
      <items count="21">
        <item x="8"/>
        <item x="12"/>
        <item sd="0" x="0"/>
        <item sd="0" x="2"/>
        <item sd="0" x="9"/>
        <item sd="0" x="1"/>
        <item sd="0" x="4"/>
        <item sd="0" x="11"/>
        <item sd="0" x="5"/>
        <item sd="0" x="3"/>
        <item sd="0" x="7"/>
        <item x="10"/>
        <item x="13"/>
        <item x="15"/>
        <item x="14"/>
        <item x="6"/>
        <item m="1" x="18"/>
        <item x="16"/>
        <item m="1" x="17"/>
        <item m="1" x="19"/>
        <item t="default"/>
      </items>
    </pivotField>
    <pivotField axis="axisPage" multipleItemSelectionAllowed="1" showAll="0">
      <items count="66">
        <item x="12"/>
        <item x="27"/>
        <item x="26"/>
        <item x="55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15"/>
        <item x="13"/>
        <item x="14"/>
        <item x="49"/>
        <item x="53"/>
        <item x="21"/>
        <item x="30"/>
        <item x="29"/>
        <item x="22"/>
        <item x="23"/>
        <item x="6"/>
        <item x="28"/>
        <item x="25"/>
        <item x="24"/>
        <item x="7"/>
        <item x="5"/>
        <item x="3"/>
        <item x="2"/>
        <item x="4"/>
        <item x="1"/>
        <item x="33"/>
        <item x="10"/>
        <item x="8"/>
        <item x="9"/>
        <item x="54"/>
        <item x="48"/>
        <item x="37"/>
        <item x="43"/>
        <item x="40"/>
        <item x="36"/>
        <item x="56"/>
        <item x="41"/>
        <item x="38"/>
        <item x="39"/>
        <item x="16"/>
        <item x="50"/>
        <item x="34"/>
        <item x="11"/>
        <item x="47"/>
        <item x="35"/>
        <item x="42"/>
        <item x="57"/>
        <item m="1" x="61"/>
        <item x="59"/>
        <item x="58"/>
        <item m="1" x="64"/>
        <item m="1" x="60"/>
        <item m="1" x="62"/>
        <item m="1" x="63"/>
        <item t="default"/>
      </items>
    </pivotField>
    <pivotField dataField="1" showAll="0"/>
    <pivotField dataField="1"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dataField="1"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6">
    <i>
      <x/>
    </i>
    <i>
      <x v="3"/>
    </i>
    <i>
      <x v="12"/>
    </i>
    <i>
      <x v="13"/>
    </i>
    <i>
      <x v="19"/>
    </i>
    <i>
      <x v="20"/>
    </i>
    <i>
      <x v="21"/>
    </i>
    <i>
      <x v="22"/>
    </i>
    <i>
      <x v="23"/>
    </i>
    <i>
      <x v="24"/>
    </i>
    <i>
      <x v="26"/>
    </i>
    <i>
      <x v="28"/>
    </i>
    <i>
      <x v="29"/>
    </i>
    <i>
      <x v="30"/>
    </i>
    <i>
      <x v="3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6">
    <pageField fld="3" hier="-1"/>
    <pageField fld="4" hier="-1"/>
    <pageField fld="5" hier="-1"/>
    <pageField fld="6" hier="-1"/>
    <pageField fld="7" hier="-1"/>
    <pageField fld="8" hier="-1"/>
  </pageFields>
  <dataFields count="6">
    <dataField name="Količina robe" fld="9" baseField="1" baseItem="1" numFmtId="4"/>
    <dataField name="Cena Dinarska" fld="10" subtotal="average" baseField="1" baseItem="1" numFmtId="4"/>
    <dataField name="Marža " fld="12" subtotal="average" baseField="1" baseItem="1" numFmtId="4"/>
    <dataField name="Vrednost" fld="13" baseField="1" baseItem="1" numFmtId="4"/>
    <dataField name="Isplaćeno" fld="15" baseField="30" baseItem="1" numFmtId="4"/>
    <dataField name="Sum of Vrednost za Isplatu" fld="33" baseField="1" baseItem="1" numFmtId="4"/>
  </dataFields>
  <formats count="3">
    <format dxfId="49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93">
      <pivotArea outline="0" fieldPosition="0">
        <references count="1">
          <reference field="4294967294" count="1">
            <x v="4"/>
          </reference>
        </references>
      </pivotArea>
    </format>
    <format dxfId="492">
      <pivotArea outline="0" fieldPosition="0">
        <references count="1">
          <reference field="4294967294" count="1">
            <x v="5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B000000}" name="Izvedena tabela4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 chartFormat="2">
  <location ref="M11:N13" firstHeaderRow="1" firstDataRow="1" firstDataCol="1" rowPageCount="7" colPageCount="1"/>
  <pivotFields count="48">
    <pivotField showAll="0" defaultSubtotal="0"/>
    <pivotField axis="axisRow" numFmtId="167" showAll="0" insertPageBreak="1" includeNewItemsInFilter="1" sortType="ascending">
      <items count="33">
        <item x="0"/>
        <item x="1"/>
        <item x="2"/>
        <item x="3"/>
        <item x="4"/>
        <item x="5"/>
        <item x="6"/>
        <item x="7"/>
        <item x="8"/>
        <item x="19"/>
        <item x="9"/>
        <item x="10"/>
        <item x="11"/>
        <item x="17"/>
        <item x="12"/>
        <item x="13"/>
        <item x="14"/>
        <item x="15"/>
        <item x="16"/>
        <item x="18"/>
        <item x="20"/>
        <item x="21"/>
        <item x="22"/>
        <item x="23"/>
        <item x="24"/>
        <item x="25"/>
        <item x="27"/>
        <item x="26"/>
        <item x="28"/>
        <item x="29"/>
        <item x="30"/>
        <item x="31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multipleItemSelectionAllowed="1" showAll="0">
      <items count="7">
        <item x="3"/>
        <item x="2"/>
        <item x="1"/>
        <item x="0"/>
        <item x="5"/>
        <item x="4"/>
        <item t="default"/>
      </items>
    </pivotField>
    <pivotField showAll="0"/>
    <pivotField axis="axisPage" multipleItemSelectionAllowed="1" showAll="0">
      <items count="7">
        <item x="1"/>
        <item x="2"/>
        <item x="0"/>
        <item x="3"/>
        <item x="4"/>
        <item x="5"/>
        <item t="default"/>
      </items>
    </pivotField>
    <pivotField axis="axisPage" multipleItemSelectionAllowed="1" showAll="0">
      <items count="21">
        <item h="1" x="8"/>
        <item h="1" x="12"/>
        <item sd="0" x="0"/>
        <item sd="0" x="2"/>
        <item h="1" sd="0" x="9"/>
        <item h="1" sd="0" x="1"/>
        <item h="1" sd="0" x="4"/>
        <item h="1" sd="0" x="11"/>
        <item h="1" sd="0" x="5"/>
        <item h="1" sd="0" x="3"/>
        <item h="1" sd="0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Page" multipleItemSelectionAllowed="1" showAll="0">
      <items count="66">
        <item x="12"/>
        <item x="27"/>
        <item x="26"/>
        <item x="55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15"/>
        <item x="13"/>
        <item x="14"/>
        <item x="49"/>
        <item x="53"/>
        <item x="21"/>
        <item x="30"/>
        <item x="29"/>
        <item x="22"/>
        <item x="23"/>
        <item x="6"/>
        <item x="28"/>
        <item x="25"/>
        <item x="24"/>
        <item x="7"/>
        <item x="5"/>
        <item x="3"/>
        <item x="2"/>
        <item x="4"/>
        <item x="1"/>
        <item x="33"/>
        <item x="10"/>
        <item x="8"/>
        <item x="9"/>
        <item x="54"/>
        <item x="48"/>
        <item x="37"/>
        <item x="43"/>
        <item x="40"/>
        <item x="36"/>
        <item x="56"/>
        <item x="41"/>
        <item x="38"/>
        <item x="39"/>
        <item x="16"/>
        <item x="50"/>
        <item x="34"/>
        <item x="11"/>
        <item x="47"/>
        <item x="35"/>
        <item x="42"/>
        <item x="57"/>
        <item m="1" x="61"/>
        <item x="59"/>
        <item x="58"/>
        <item m="1" x="64"/>
        <item m="1" x="60"/>
        <item m="1" x="62"/>
        <item m="1" x="63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8">
        <item x="0"/>
        <item x="1"/>
        <item m="1" x="6"/>
        <item m="1" x="5"/>
        <item m="1" x="3"/>
        <item m="1" x="4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">
    <i>
      <x v="2"/>
    </i>
    <i t="grand">
      <x/>
    </i>
  </rowItems>
  <colItems count="1">
    <i/>
  </colItems>
  <pageFields count="7">
    <pageField fld="3" item="1" hier="-1"/>
    <pageField fld="4" hier="-1"/>
    <pageField fld="2" hier="-1"/>
    <pageField fld="16" hier="-1"/>
    <pageField fld="6" hier="-1"/>
    <pageField fld="7" hier="-1"/>
    <pageField fld="8" hier="-1"/>
  </pageFields>
  <dataFields count="1">
    <dataField name="Zbir od Količina" fld="9" baseField="1" baseItem="2" numFmtId="4"/>
  </dataFields>
  <chartFormats count="1">
    <chartFormat chart="1" format="6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2" showRowHeaders="1" showColHeaders="1" showRowStripes="0" showColStripes="0" showLastColumn="1"/>
  <filters count="1">
    <filter fld="1" type="dateNewerThan" evalOrder="-1" id="1">
      <autoFilter ref="A1">
        <filterColumn colId="0">
          <customFilters>
            <customFilter operator="greaterThan" val="4398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A000000}" name="Izvedena tabela15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 chartFormat="1">
  <location ref="B11:I12" firstHeaderRow="0" firstDataRow="1" firstDataCol="1" rowPageCount="7" colPageCount="1"/>
  <pivotFields count="48">
    <pivotField showAll="0" defaultSubtotal="0"/>
    <pivotField axis="axisRow" numFmtId="167" showAll="0" insertPageBreak="1" includeNewItemsInFilter="1" sortType="ascending">
      <items count="33">
        <item sd="0" x="0"/>
        <item x="1"/>
        <item x="2"/>
        <item x="3"/>
        <item x="4"/>
        <item x="5"/>
        <item x="6"/>
        <item x="7"/>
        <item x="8"/>
        <item x="19"/>
        <item x="9"/>
        <item x="10"/>
        <item x="11"/>
        <item x="17"/>
        <item x="12"/>
        <item x="13"/>
        <item x="14"/>
        <item x="15"/>
        <item x="16"/>
        <item x="18"/>
        <item x="20"/>
        <item x="21"/>
        <item x="22"/>
        <item x="23"/>
        <item x="24"/>
        <item x="25"/>
        <item x="27"/>
        <item x="26"/>
        <item x="28"/>
        <item x="29"/>
        <item x="30"/>
        <item x="31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axis="axisPage" multipleItemSelectionAllowed="1" showAll="0">
      <items count="8">
        <item h="1" x="1"/>
        <item x="0"/>
        <item h="1" x="2"/>
        <item h="1" x="4"/>
        <item x="5"/>
        <item h="1" x="3"/>
        <item h="1" m="1" x="6"/>
        <item t="default"/>
      </items>
    </pivotField>
    <pivotField axis="axisPage" multipleItemSelectionAllowed="1" showAll="0">
      <items count="7">
        <item x="3"/>
        <item h="1" x="2"/>
        <item h="1" x="1"/>
        <item x="0"/>
        <item h="1" x="5"/>
        <item h="1" x="4"/>
        <item t="default"/>
      </items>
    </pivotField>
    <pivotField axis="axisPage" multipleItemSelectionAllowed="1" showAll="0">
      <items count="63">
        <item x="0"/>
        <item h="1" x="2"/>
        <item h="1" x="1"/>
        <item h="1" x="3"/>
        <item h="1" x="8"/>
        <item h="1" x="4"/>
        <item h="1" x="6"/>
        <item h="1" x="5"/>
        <item h="1" x="7"/>
        <item m="1" x="50"/>
        <item h="1" x="13"/>
        <item h="1" m="1" x="22"/>
        <item m="1" x="51"/>
        <item m="1" x="45"/>
        <item h="1" m="1" x="29"/>
        <item h="1" m="1" x="23"/>
        <item m="1" x="59"/>
        <item m="1" x="58"/>
        <item h="1" m="1" x="38"/>
        <item h="1" m="1" x="56"/>
        <item h="1" m="1" x="35"/>
        <item m="1" x="52"/>
        <item h="1" m="1" x="27"/>
        <item m="1" x="54"/>
        <item h="1" m="1" x="44"/>
        <item h="1" m="1" x="41"/>
        <item h="1" m="1" x="46"/>
        <item h="1" m="1" x="61"/>
        <item h="1" m="1" x="43"/>
        <item h="1" m="1" x="57"/>
        <item h="1" m="1" x="47"/>
        <item h="1" m="1" x="55"/>
        <item h="1" m="1" x="49"/>
        <item h="1" m="1" x="53"/>
        <item h="1" m="1" x="60"/>
        <item h="1" m="1" x="42"/>
        <item h="1" m="1" x="20"/>
        <item h="1" m="1" x="48"/>
        <item h="1" x="9"/>
        <item h="1" x="10"/>
        <item h="1" m="1" x="34"/>
        <item x="12"/>
        <item h="1" m="1" x="19"/>
        <item h="1" m="1" x="16"/>
        <item h="1" m="1" x="36"/>
        <item h="1" m="1" x="37"/>
        <item h="1" m="1" x="39"/>
        <item h="1" m="1" x="15"/>
        <item h="1" m="1" x="40"/>
        <item h="1" m="1" x="14"/>
        <item h="1" x="11"/>
        <item h="1" m="1" x="18"/>
        <item h="1" m="1" x="17"/>
        <item h="1" m="1" x="21"/>
        <item h="1" m="1" x="24"/>
        <item h="1" m="1" x="25"/>
        <item h="1" m="1" x="26"/>
        <item h="1" m="1" x="28"/>
        <item h="1" m="1" x="30"/>
        <item h="1" m="1" x="31"/>
        <item h="1" m="1" x="32"/>
        <item h="1" m="1" x="33"/>
        <item t="default"/>
      </items>
    </pivotField>
    <pivotField axis="axisPage" multipleItemSelectionAllowed="1" showAll="0">
      <items count="7">
        <item x="1"/>
        <item x="2"/>
        <item x="0"/>
        <item x="3"/>
        <item x="4"/>
        <item x="5"/>
        <item t="default"/>
      </items>
    </pivotField>
    <pivotField axis="axisPage" multipleItemSelectionAllowed="1" showAll="0">
      <items count="21">
        <item h="1" x="8"/>
        <item h="1" x="12"/>
        <item h="1" sd="0" x="0"/>
        <item h="1" sd="0" x="2"/>
        <item sd="0" x="9"/>
        <item h="1" sd="0" x="1"/>
        <item h="1" sd="0" x="4"/>
        <item h="1" sd="0" x="11"/>
        <item h="1" sd="0" x="5"/>
        <item h="1" sd="0" x="3"/>
        <item h="1" sd="0" x="7"/>
        <item h="1" x="10"/>
        <item h="1" x="13"/>
        <item h="1" x="15"/>
        <item h="1" x="14"/>
        <item h="1" x="6"/>
        <item m="1" x="18"/>
        <item h="1" x="16"/>
        <item h="1" m="1" x="17"/>
        <item h="1" m="1" x="19"/>
        <item t="default"/>
      </items>
    </pivotField>
    <pivotField axis="axisRow" multipleItemSelectionAllowed="1" showAll="0">
      <items count="66">
        <item x="12"/>
        <item x="27"/>
        <item x="26"/>
        <item x="55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15"/>
        <item x="13"/>
        <item x="14"/>
        <item x="49"/>
        <item x="53"/>
        <item x="21"/>
        <item x="30"/>
        <item x="29"/>
        <item x="22"/>
        <item x="23"/>
        <item x="6"/>
        <item x="28"/>
        <item x="25"/>
        <item x="24"/>
        <item x="7"/>
        <item x="5"/>
        <item x="3"/>
        <item x="2"/>
        <item x="4"/>
        <item x="1"/>
        <item x="33"/>
        <item x="10"/>
        <item x="8"/>
        <item x="9"/>
        <item x="54"/>
        <item x="48"/>
        <item x="37"/>
        <item x="43"/>
        <item x="40"/>
        <item x="36"/>
        <item x="56"/>
        <item x="41"/>
        <item x="38"/>
        <item x="39"/>
        <item x="16"/>
        <item x="50"/>
        <item x="34"/>
        <item x="11"/>
        <item x="47"/>
        <item x="35"/>
        <item x="42"/>
        <item x="57"/>
        <item m="1" x="61"/>
        <item x="59"/>
        <item x="58"/>
        <item m="1" x="64"/>
        <item m="1" x="60"/>
        <item m="1" x="62"/>
        <item m="1" x="63"/>
        <item t="default"/>
      </items>
    </pivotField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  <pivotField axis="axisPage" showAll="0">
      <items count="8">
        <item x="0"/>
        <item x="1"/>
        <item m="1" x="6"/>
        <item m="1" x="5"/>
        <item m="1" x="3"/>
        <item m="1" x="4"/>
        <item m="1" x="2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"/>
    <field x="8"/>
  </rowFields>
  <rowItems count="1"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7">
    <pageField fld="3" hier="-1"/>
    <pageField fld="4" hier="-1"/>
    <pageField fld="5" hier="-1"/>
    <pageField fld="2" hier="-1"/>
    <pageField fld="16" hier="-1"/>
    <pageField fld="6" hier="-1"/>
    <pageField fld="7" hier="-1"/>
  </pageFields>
  <dataFields count="7">
    <dataField name="Količina " fld="9" baseField="1" baseItem="1" numFmtId="4"/>
    <dataField name="Iznos Din " fld="13" baseField="1" baseItem="1" numFmtId="168"/>
    <dataField name="Iznos EUR " fld="14" baseField="1" baseItem="1" numFmtId="166"/>
    <dataField name="Cena Din " fld="10" subtotal="average" baseField="1" baseItem="1" numFmtId="168"/>
    <dataField name="Cena EUR " fld="11" subtotal="average" baseField="1" baseItem="1" numFmtId="166"/>
    <dataField name="Uplate EUR " fld="22" baseField="1" baseItem="1" numFmtId="166"/>
    <dataField name="Uplata Din " fld="21" baseField="1" baseItem="1" numFmtId="168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9000000}" name="Izvedena tabela1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 chartFormat="4">
  <location ref="P11:T16" firstHeaderRow="0" firstDataRow="1" firstDataCol="1" rowPageCount="6" colPageCount="1"/>
  <pivotFields count="48">
    <pivotField showAll="0" defaultSubtotal="0"/>
    <pivotField axis="axisRow" numFmtId="167" showAll="0" insertPageBreak="1" includeNewItemsInFilter="1" sortType="ascending">
      <items count="33">
        <item x="0"/>
        <item x="1"/>
        <item x="2"/>
        <item x="3"/>
        <item x="4"/>
        <item x="5"/>
        <item x="6"/>
        <item x="7"/>
        <item x="8"/>
        <item x="19"/>
        <item x="9"/>
        <item x="10"/>
        <item x="11"/>
        <item x="17"/>
        <item x="12"/>
        <item x="13"/>
        <item x="14"/>
        <item x="15"/>
        <item x="16"/>
        <item x="18"/>
        <item x="20"/>
        <item x="21"/>
        <item x="22"/>
        <item x="23"/>
        <item x="24"/>
        <item x="25"/>
        <item x="27"/>
        <item x="26"/>
        <item x="28"/>
        <item x="29"/>
        <item x="30"/>
        <item x="31"/>
        <item t="default"/>
      </items>
    </pivotField>
    <pivotField showAll="0"/>
    <pivotField axis="axisPage" multipleItemSelectionAllowed="1" showAll="0">
      <items count="8">
        <item h="1" x="1"/>
        <item x="0"/>
        <item h="1" x="2"/>
        <item h="1" x="4"/>
        <item h="1" x="5"/>
        <item h="1" x="3"/>
        <item h="1" m="1" x="6"/>
        <item t="default"/>
      </items>
    </pivotField>
    <pivotField axis="axisPage" multipleItemSelectionAllowed="1" showAll="0">
      <items count="7">
        <item x="3"/>
        <item x="2"/>
        <item x="1"/>
        <item x="0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multipleItemSelectionAllowed="1" showAll="0"/>
    <pivotField axis="axisPage" multipleItemSelectionAllowed="1" showAll="0">
      <items count="21">
        <item x="8"/>
        <item x="12"/>
        <item x="0"/>
        <item sd="0" x="2"/>
        <item x="9"/>
        <item sd="0" x="1"/>
        <item sd="0" x="4"/>
        <item sd="0" x="11"/>
        <item sd="0" x="5"/>
        <item sd="0" x="3"/>
        <item sd="0" x="7"/>
        <item x="10"/>
        <item x="13"/>
        <item x="15"/>
        <item x="14"/>
        <item x="6"/>
        <item m="1" x="18"/>
        <item x="16"/>
        <item m="1" x="17"/>
        <item m="1" x="19"/>
        <item t="default"/>
      </items>
    </pivotField>
    <pivotField axis="axisPage" multipleItemSelectionAllowed="1" showAll="0">
      <items count="66">
        <item x="12"/>
        <item x="27"/>
        <item x="26"/>
        <item x="55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15"/>
        <item x="13"/>
        <item x="14"/>
        <item x="49"/>
        <item x="53"/>
        <item x="21"/>
        <item x="30"/>
        <item x="29"/>
        <item x="22"/>
        <item x="23"/>
        <item x="6"/>
        <item x="28"/>
        <item x="25"/>
        <item x="24"/>
        <item x="7"/>
        <item x="5"/>
        <item x="3"/>
        <item x="2"/>
        <item x="4"/>
        <item x="1"/>
        <item x="33"/>
        <item x="10"/>
        <item x="8"/>
        <item x="9"/>
        <item x="54"/>
        <item x="48"/>
        <item x="37"/>
        <item x="43"/>
        <item x="40"/>
        <item x="36"/>
        <item x="56"/>
        <item x="41"/>
        <item x="38"/>
        <item x="39"/>
        <item x="16"/>
        <item x="50"/>
        <item x="34"/>
        <item x="11"/>
        <item x="47"/>
        <item x="35"/>
        <item x="42"/>
        <item x="57"/>
        <item m="1" x="61"/>
        <item x="59"/>
        <item x="58"/>
        <item m="1" x="64"/>
        <item m="1" x="60"/>
        <item m="1" x="62"/>
        <item m="1" x="63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showAll="0"/>
    <pivotField axis="axisPage" multipleItemSelectionAllowed="1" showAll="0">
      <items count="8">
        <item x="0"/>
        <item x="1"/>
        <item m="1" x="6"/>
        <item m="1" x="5"/>
        <item m="1" x="3"/>
        <item m="1" x="4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dataField="1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5">
    <i>
      <x/>
    </i>
    <i>
      <x v="2"/>
    </i>
    <i>
      <x v="3"/>
    </i>
    <i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6">
    <pageField fld="3" hier="-1"/>
    <pageField fld="4" hier="-1"/>
    <pageField fld="5" hier="-1"/>
    <pageField fld="7" hier="-1"/>
    <pageField fld="8" hier="-1"/>
    <pageField fld="16" hier="-1"/>
  </pageFields>
  <dataFields count="4">
    <dataField name="Zbir od Količina" fld="9" baseField="1" baseItem="0" numFmtId="4"/>
    <dataField name="Zbir od Cena Din" fld="10" baseField="0" baseItem="0"/>
    <dataField name="Zbir od Cena EUR" fld="11" baseField="1" baseItem="0"/>
    <dataField name="Sum of Ugovorena Količina" fld="42" baseField="0" baseItem="0"/>
  </dataFields>
  <chartFormats count="5">
    <chartFormat chart="1" format="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D000000}" name="Izvedena tabela5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N7:O17" firstHeaderRow="1" firstDataRow="1" firstDataCol="1" rowPageCount="4" colPageCount="1"/>
  <pivotFields count="48">
    <pivotField showAll="0" defaultSubtotal="0"/>
    <pivotField axis="axisRow" numFmtId="14" showAll="0" sortType="ascending">
      <items count="33">
        <item x="0"/>
        <item h="1" x="1"/>
        <item h="1" x="2"/>
        <item h="1" x="3"/>
        <item h="1" x="4"/>
        <item h="1" x="5"/>
        <item h="1" x="6"/>
        <item h="1" x="7"/>
        <item h="1" x="8"/>
        <item h="1" x="19"/>
        <item h="1" x="9"/>
        <item h="1" x="10"/>
        <item h="1" x="11"/>
        <item h="1" x="17"/>
        <item h="1" x="12"/>
        <item h="1" x="13"/>
        <item h="1" x="14"/>
        <item h="1" x="15"/>
        <item h="1" x="16"/>
        <item h="1" x="18"/>
        <item h="1" x="20"/>
        <item h="1" x="21"/>
        <item h="1" x="22"/>
        <item h="1" x="23"/>
        <item h="1" x="24"/>
        <item h="1" x="25"/>
        <item h="1" x="27"/>
        <item h="1" x="26"/>
        <item h="1" x="28"/>
        <item h="1" x="29"/>
        <item h="1" x="30"/>
        <item h="1" x="31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axis="axisPage" multipleItemSelectionAllowed="1" showAll="0">
      <items count="8">
        <item h="1" x="1"/>
        <item h="1" x="0"/>
        <item x="2"/>
        <item h="1" x="4"/>
        <item h="1" x="5"/>
        <item h="1" x="3"/>
        <item h="1"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x="2"/>
        <item m="1" x="3"/>
        <item t="default"/>
      </items>
    </pivotField>
    <pivotField axis="axisPage" showAll="0">
      <items count="11">
        <item x="1"/>
        <item x="0"/>
        <item x="7"/>
        <item x="3"/>
        <item x="4"/>
        <item x="6"/>
        <item x="8"/>
        <item x="5"/>
        <item x="2"/>
        <item m="1" x="9"/>
        <item t="default"/>
      </items>
    </pivotField>
    <pivotField axis="axisRow" showAll="0">
      <items count="37">
        <item x="1"/>
        <item x="0"/>
        <item x="7"/>
        <item x="4"/>
        <item x="3"/>
        <item x="2"/>
        <item x="6"/>
        <item x="5"/>
        <item x="8"/>
        <item x="15"/>
        <item x="13"/>
        <item x="22"/>
        <item m="1" x="35"/>
        <item x="21"/>
        <item x="12"/>
        <item x="16"/>
        <item x="19"/>
        <item x="17"/>
        <item x="10"/>
        <item x="9"/>
        <item m="1" x="26"/>
        <item x="11"/>
        <item m="1" x="25"/>
        <item m="1" x="27"/>
        <item m="1" x="29"/>
        <item m="1" x="24"/>
        <item x="20"/>
        <item x="18"/>
        <item x="14"/>
        <item m="1" x="28"/>
        <item m="1" x="30"/>
        <item m="1" x="31"/>
        <item m="1" x="34"/>
        <item m="1" x="32"/>
        <item m="1" x="33"/>
        <item m="1" x="23"/>
        <item t="default"/>
      </items>
    </pivotField>
    <pivotField dataField="1"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"/>
    <field x="19"/>
  </rowFields>
  <rowItems count="10">
    <i>
      <x/>
    </i>
    <i r="1"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pageFields count="4">
    <pageField fld="3" hier="-1"/>
    <pageField fld="2" hier="-1"/>
    <pageField fld="18" hier="-1"/>
    <pageField fld="17" hier="-1"/>
  </pageFields>
  <dataFields count="1">
    <dataField name="Zbir od Iznos Troška" fld="20" baseField="1" baseItem="0" numFmtId="4"/>
  </dataFields>
  <pivotTableStyleInfo name="PivotStyleDark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C000000}" name="Izvedena tabela3" cacheId="0" applyNumberFormats="0" applyBorderFormats="0" applyFontFormats="0" applyPatternFormats="0" applyAlignmentFormats="0" applyWidthHeightFormats="1" dataCaption="Vrednosti" errorCaption="0" showError="1" missingCaption="0" updatedVersion="8" minRefreshableVersion="3" asteriskTotals="1" useAutoFormatting="1" itemPrintTitles="1" createdVersion="5" indent="0" outline="1" outlineData="1" multipleFieldFilters="0" chartFormat="11">
  <location ref="B8:C23" firstHeaderRow="1" firstDataRow="1" firstDataCol="1" rowPageCount="5" colPageCount="1"/>
  <pivotFields count="48">
    <pivotField showAll="0" defaultSubtotal="0"/>
    <pivotField axis="axisRow" numFmtId="14" showAll="0" sortType="ascending">
      <items count="33">
        <item x="0"/>
        <item x="1"/>
        <item x="2"/>
        <item x="3"/>
        <item x="4"/>
        <item x="5"/>
        <item x="6"/>
        <item x="7"/>
        <item x="8"/>
        <item x="19"/>
        <item x="9"/>
        <item x="10"/>
        <item x="11"/>
        <item x="17"/>
        <item x="12"/>
        <item x="13"/>
        <item x="14"/>
        <item x="15"/>
        <item x="16"/>
        <item x="18"/>
        <item x="20"/>
        <item x="21"/>
        <item x="22"/>
        <item x="23"/>
        <item x="24"/>
        <item x="25"/>
        <item x="27"/>
        <item x="26"/>
        <item x="28"/>
        <item x="29"/>
        <item x="30"/>
        <item x="31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axis="axisPage" multipleItemSelectionAllowed="1" showAll="0">
      <items count="8">
        <item h="1" x="1"/>
        <item h="1" x="0"/>
        <item x="2"/>
        <item h="1" x="4"/>
        <item h="1" x="5"/>
        <item h="1" x="3"/>
        <item h="1"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x="2"/>
        <item m="1" x="3"/>
        <item t="default"/>
      </items>
    </pivotField>
    <pivotField axis="axisPage" showAll="0">
      <items count="11">
        <item x="1"/>
        <item x="0"/>
        <item x="7"/>
        <item x="3"/>
        <item x="4"/>
        <item x="6"/>
        <item x="8"/>
        <item x="5"/>
        <item x="2"/>
        <item m="1" x="9"/>
        <item t="default"/>
      </items>
    </pivotField>
    <pivotField axis="axisPage" showAll="0">
      <items count="37">
        <item x="1"/>
        <item x="0"/>
        <item x="7"/>
        <item x="4"/>
        <item x="3"/>
        <item x="2"/>
        <item x="6"/>
        <item x="5"/>
        <item x="8"/>
        <item x="15"/>
        <item x="13"/>
        <item x="22"/>
        <item m="1" x="35"/>
        <item x="21"/>
        <item x="12"/>
        <item x="16"/>
        <item x="19"/>
        <item x="17"/>
        <item x="10"/>
        <item x="9"/>
        <item m="1" x="26"/>
        <item x="11"/>
        <item m="1" x="25"/>
        <item m="1" x="27"/>
        <item m="1" x="29"/>
        <item m="1" x="24"/>
        <item x="20"/>
        <item x="18"/>
        <item x="14"/>
        <item m="1" x="28"/>
        <item m="1" x="30"/>
        <item m="1" x="31"/>
        <item m="1" x="34"/>
        <item m="1" x="32"/>
        <item m="1" x="33"/>
        <item m="1" x="23"/>
        <item t="default"/>
      </items>
    </pivotField>
    <pivotField dataField="1"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5">
    <i>
      <x v="14"/>
    </i>
    <i>
      <x v="16"/>
    </i>
    <i>
      <x v="17"/>
    </i>
    <i>
      <x v="18"/>
    </i>
    <i>
      <x v="20"/>
    </i>
    <i>
      <x v="21"/>
    </i>
    <i>
      <x v="22"/>
    </i>
    <i>
      <x v="24"/>
    </i>
    <i>
      <x v="25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pageFields count="5">
    <pageField fld="3" hier="-1"/>
    <pageField fld="2" hier="-1"/>
    <pageField fld="18" hier="-1"/>
    <pageField fld="17" hier="-1"/>
    <pageField fld="19" hier="-1"/>
  </pageFields>
  <dataFields count="1">
    <dataField name="Zbir od Iznos Troška" fld="20" baseField="1" baseItem="0" numFmtId="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5" showRowHeaders="1" showColHeaders="1" showRowStripes="0" showColStripes="0" showLastColumn="1"/>
  <filters count="1">
    <filter fld="1" type="yearToDate" evalOrder="-1" id="6">
      <autoFilter ref="A1">
        <filterColumn colId="0">
          <dynamicFilter type="yearToDate" val="46023" maxVal="4619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10000000}" name="PivotTable1" cacheId="0" applyNumberFormats="0" applyBorderFormats="0" applyFontFormats="0" applyPatternFormats="0" applyAlignmentFormats="0" applyWidthHeightFormats="1" dataCaption="Vrednosti" errorCaption="0" showError="1" missingCaption="0" updatedVersion="8" minRefreshableVersion="3" asteriskTotals="1" enableDrill="0" useAutoFormatting="1" itemPrintTitles="1" createdVersion="5" indent="0" outline="1" outlineData="1" multipleFieldFilters="0">
  <location ref="B8:D61" firstHeaderRow="0" firstDataRow="1" firstDataCol="1" rowPageCount="5" colPageCount="1"/>
  <pivotFields count="48">
    <pivotField showAll="0" defaultSubtotal="0"/>
    <pivotField numFmtId="167" showAll="0" insertPageBreak="1" includeNewItemsInFilter="1" sortType="ascending"/>
    <pivotField axis="axisPage" showAll="0">
      <items count="5">
        <item x="0"/>
        <item x="1"/>
        <item x="2"/>
        <item x="3"/>
        <item t="default"/>
      </items>
    </pivotField>
    <pivotField axis="axisPage" multipleItemSelectionAllowed="1" showAll="0">
      <items count="8">
        <item h="1" x="1"/>
        <item x="0"/>
        <item h="1" x="2"/>
        <item h="1" x="4"/>
        <item h="1" x="5"/>
        <item x="3"/>
        <item h="1" m="1" x="6"/>
        <item t="default"/>
      </items>
    </pivotField>
    <pivotField axis="axisPage" multipleItemSelectionAllowed="1" showAll="0">
      <items count="7">
        <item x="3"/>
        <item x="2"/>
        <item x="1"/>
        <item x="0"/>
        <item x="5"/>
        <item x="4"/>
        <item t="default"/>
      </items>
    </pivotField>
    <pivotField axis="axisRow" multipleItemSelectionAllowed="1" showAll="0">
      <items count="63">
        <item x="0"/>
        <item x="2"/>
        <item x="1"/>
        <item x="3"/>
        <item x="8"/>
        <item x="4"/>
        <item x="6"/>
        <item n="Apollo" x="5"/>
        <item h="1" x="7"/>
        <item h="1" m="1" x="50"/>
        <item h="1" x="13"/>
        <item h="1" m="1" x="22"/>
        <item h="1" m="1" x="51"/>
        <item h="1" m="1" x="45"/>
        <item h="1" m="1" x="29"/>
        <item h="1" m="1" x="23"/>
        <item h="1" m="1" x="59"/>
        <item h="1" m="1" x="58"/>
        <item h="1" m="1" x="38"/>
        <item h="1" m="1" x="56"/>
        <item h="1" m="1" x="35"/>
        <item h="1" m="1" x="52"/>
        <item h="1" m="1" x="27"/>
        <item h="1" m="1" x="54"/>
        <item h="1" m="1" x="44"/>
        <item h="1" m="1" x="41"/>
        <item h="1" m="1" x="46"/>
        <item h="1" m="1" x="61"/>
        <item h="1" m="1" x="43"/>
        <item h="1" m="1" x="57"/>
        <item h="1" m="1" x="47"/>
        <item h="1" m="1" x="55"/>
        <item h="1" m="1" x="49"/>
        <item h="1" m="1" x="53"/>
        <item h="1" m="1" x="60"/>
        <item h="1" m="1" x="42"/>
        <item h="1" m="1" x="20"/>
        <item h="1" m="1" x="48"/>
        <item h="1" x="9"/>
        <item h="1" x="10"/>
        <item h="1" m="1" x="34"/>
        <item h="1" x="12"/>
        <item h="1" m="1" x="19"/>
        <item h="1" m="1" x="16"/>
        <item h="1" m="1" x="36"/>
        <item h="1" m="1" x="37"/>
        <item h="1" m="1" x="39"/>
        <item h="1" m="1" x="15"/>
        <item h="1" m="1" x="40"/>
        <item h="1" m="1" x="14"/>
        <item h="1" x="11"/>
        <item h="1" m="1" x="18"/>
        <item h="1" m="1" x="17"/>
        <item h="1" m="1" x="21"/>
        <item h="1" m="1" x="24"/>
        <item h="1" m="1" x="25"/>
        <item h="1" m="1" x="26"/>
        <item h="1" m="1" x="28"/>
        <item h="1" m="1" x="30"/>
        <item h="1" m="1" x="31"/>
        <item h="1" m="1" x="32"/>
        <item h="1" m="1" x="33"/>
        <item t="default"/>
      </items>
    </pivotField>
    <pivotField multipleItemSelectionAllowed="1" showAll="0"/>
    <pivotField axis="axisPage" multipleItemSelectionAllowed="1" showAll="0">
      <items count="21">
        <item x="8"/>
        <item sd="0" x="12"/>
        <item x="0"/>
        <item sd="0" x="2"/>
        <item x="9"/>
        <item sd="0" x="1"/>
        <item sd="0" x="4"/>
        <item sd="0" x="11"/>
        <item sd="0" x="5"/>
        <item sd="0" x="3"/>
        <item sd="0" x="7"/>
        <item x="10"/>
        <item x="13"/>
        <item x="15"/>
        <item x="14"/>
        <item x="6"/>
        <item m="1" x="18"/>
        <item x="16"/>
        <item m="1" x="17"/>
        <item m="1" x="19"/>
        <item t="default"/>
      </items>
    </pivotField>
    <pivotField axis="axisRow" multipleItemSelectionAllowed="1" showAll="0">
      <items count="66">
        <item x="12"/>
        <item x="27"/>
        <item x="26"/>
        <item x="55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15"/>
        <item x="13"/>
        <item x="14"/>
        <item x="49"/>
        <item x="53"/>
        <item x="21"/>
        <item x="30"/>
        <item x="29"/>
        <item x="22"/>
        <item x="23"/>
        <item x="6"/>
        <item x="28"/>
        <item x="25"/>
        <item x="24"/>
        <item x="7"/>
        <item x="5"/>
        <item x="3"/>
        <item x="2"/>
        <item x="4"/>
        <item x="1"/>
        <item x="33"/>
        <item x="10"/>
        <item x="8"/>
        <item x="9"/>
        <item x="54"/>
        <item x="48"/>
        <item x="37"/>
        <item x="43"/>
        <item x="40"/>
        <item x="36"/>
        <item x="56"/>
        <item x="41"/>
        <item x="38"/>
        <item x="39"/>
        <item x="16"/>
        <item x="50"/>
        <item x="34"/>
        <item x="11"/>
        <item x="47"/>
        <item x="35"/>
        <item x="42"/>
        <item x="57"/>
        <item m="1" x="61"/>
        <item x="59"/>
        <item x="58"/>
        <item m="1" x="64"/>
        <item m="1" x="60"/>
        <item m="1" x="62"/>
        <item m="1" x="63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8">
        <item x="0"/>
        <item x="1"/>
        <item m="1" x="6"/>
        <item m="1" x="5"/>
        <item m="1" x="3"/>
        <item m="1" x="4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dataField="1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8"/>
    <field x="5"/>
  </rowFields>
  <rowItems count="53">
    <i>
      <x v="3"/>
    </i>
    <i r="1">
      <x v="7"/>
    </i>
    <i>
      <x v="4"/>
    </i>
    <i r="1">
      <x/>
    </i>
    <i r="1">
      <x v="7"/>
    </i>
    <i>
      <x v="5"/>
    </i>
    <i r="1">
      <x/>
    </i>
    <i r="1">
      <x v="7"/>
    </i>
    <i>
      <x v="6"/>
    </i>
    <i r="1">
      <x v="7"/>
    </i>
    <i>
      <x v="7"/>
    </i>
    <i r="1">
      <x v="7"/>
    </i>
    <i>
      <x v="13"/>
    </i>
    <i r="1">
      <x v="7"/>
    </i>
    <i>
      <x v="14"/>
    </i>
    <i r="1">
      <x v="7"/>
    </i>
    <i>
      <x v="15"/>
    </i>
    <i r="1">
      <x/>
    </i>
    <i r="1">
      <x v="7"/>
    </i>
    <i>
      <x v="16"/>
    </i>
    <i r="1">
      <x v="7"/>
    </i>
    <i>
      <x v="17"/>
    </i>
    <i r="1">
      <x v="7"/>
    </i>
    <i>
      <x v="18"/>
    </i>
    <i r="1">
      <x v="7"/>
    </i>
    <i>
      <x v="19"/>
    </i>
    <i r="1">
      <x v="4"/>
    </i>
    <i r="1">
      <x v="7"/>
    </i>
    <i>
      <x v="20"/>
    </i>
    <i r="1">
      <x v="7"/>
    </i>
    <i>
      <x v="21"/>
    </i>
    <i r="1">
      <x v="7"/>
    </i>
    <i>
      <x v="22"/>
    </i>
    <i r="1">
      <x/>
    </i>
    <i r="1">
      <x v="7"/>
    </i>
    <i>
      <x v="23"/>
    </i>
    <i r="1">
      <x/>
    </i>
    <i r="1">
      <x v="7"/>
    </i>
    <i>
      <x v="26"/>
    </i>
    <i r="1">
      <x/>
    </i>
    <i r="1">
      <x v="7"/>
    </i>
    <i>
      <x v="27"/>
    </i>
    <i r="1">
      <x/>
    </i>
    <i r="1">
      <x v="7"/>
    </i>
    <i>
      <x v="28"/>
    </i>
    <i r="1">
      <x v="7"/>
    </i>
    <i>
      <x v="40"/>
    </i>
    <i r="1">
      <x v="7"/>
    </i>
    <i>
      <x v="51"/>
    </i>
    <i r="1">
      <x v="7"/>
    </i>
    <i>
      <x v="57"/>
    </i>
    <i r="1">
      <x v="4"/>
    </i>
    <i t="grand">
      <x/>
    </i>
  </rowItems>
  <colFields count="1">
    <field x="-2"/>
  </colFields>
  <colItems count="2">
    <i>
      <x/>
    </i>
    <i i="1">
      <x v="1"/>
    </i>
  </colItems>
  <pageFields count="5">
    <pageField fld="3" hier="-1"/>
    <pageField fld="16" hier="-1"/>
    <pageField fld="4" hier="-1"/>
    <pageField fld="2" hier="-1"/>
    <pageField fld="7" hier="-1"/>
  </pageFields>
  <dataFields count="2">
    <dataField name="Količina robe" fld="9" baseField="1" baseItem="1" numFmtId="4"/>
    <dataField name="Sum of Ugovorena Količina" fld="42" baseField="1" baseItem="0" numFmtId="4"/>
  </dataFields>
  <formats count="1">
    <format dxfId="245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F000000}" name="PivotTable5" cacheId="0" applyNumberFormats="0" applyBorderFormats="0" applyFontFormats="0" applyPatternFormats="0" applyAlignmentFormats="0" applyWidthHeightFormats="1" dataCaption="Vrednosti" errorCaption="0" showError="1" updatedVersion="8" minRefreshableVersion="3" asteriskTotals="1" useAutoFormatting="1" itemPrintTitles="1" createdVersion="5" indent="0" outline="1" outlineData="1" multipleFieldFilters="0">
  <location ref="F8:H15" firstHeaderRow="0" firstDataRow="1" firstDataCol="1" rowPageCount="1" colPageCount="1"/>
  <pivotFields count="48">
    <pivotField axis="axisRow" showAll="0" defaultSubtotal="0">
      <items count="20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4"/>
        <item m="1" x="1735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</items>
    </pivotField>
    <pivotField axis="axisRow" numFmtId="167" showAll="0" insertPageBreak="1" includeNewItemsInFilter="1" sortType="ascending">
      <items count="33">
        <item x="0"/>
        <item h="1" x="1"/>
        <item h="1" x="2"/>
        <item x="3"/>
        <item x="4"/>
        <item x="5"/>
        <item x="6"/>
        <item x="7"/>
        <item x="8"/>
        <item x="19"/>
        <item x="9"/>
        <item x="10"/>
        <item x="11"/>
        <item x="17"/>
        <item x="12"/>
        <item x="13"/>
        <item x="14"/>
        <item x="15"/>
        <item x="16"/>
        <item x="18"/>
        <item x="20"/>
        <item x="21"/>
        <item x="22"/>
        <item x="23"/>
        <item x="24"/>
        <item x="25"/>
        <item x="27"/>
        <item x="26"/>
        <item x="28"/>
        <item x="29"/>
        <item x="30"/>
        <item x="31"/>
        <item t="default"/>
      </items>
    </pivotField>
    <pivotField showAll="0"/>
    <pivotField axis="axisPage" multipleItemSelectionAllowed="1" showAll="0">
      <items count="8">
        <item h="1" x="1"/>
        <item h="1" x="0"/>
        <item h="1" x="2"/>
        <item h="1" x="4"/>
        <item x="5"/>
        <item h="1" x="3"/>
        <item h="1" m="1" x="6"/>
        <item t="default"/>
      </items>
    </pivotField>
    <pivotField multipleItemSelectionAllowed="1" showAll="0"/>
    <pivotField axis="axisRow" showAll="0">
      <items count="63">
        <item x="0"/>
        <item x="2"/>
        <item sd="0"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multipleItemSelectionAllowed="1"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5"/>
  </rowFields>
  <rowItems count="7">
    <i>
      <x/>
    </i>
    <i r="1">
      <x v="112"/>
    </i>
    <i r="2">
      <x v="7"/>
    </i>
    <i>
      <x v="4"/>
    </i>
    <i r="1">
      <x v="134"/>
    </i>
    <i r="2"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um of Uplate EUR" fld="22" baseField="1" baseItem="235" numFmtId="4"/>
    <dataField name="Sum of Uplata Din" fld="21" baseField="1" baseItem="228" numFmtId="4"/>
  </dataFields>
  <formats count="3">
    <format dxfId="248">
      <pivotArea field="1" type="button" dataOnly="0" labelOnly="1" outline="0" axis="axisRow" fieldPosition="0"/>
    </format>
    <format dxfId="247">
      <pivotArea outline="0" fieldPosition="0">
        <references count="1">
          <reference field="4294967294" count="1">
            <x v="0"/>
          </reference>
        </references>
      </pivotArea>
    </format>
    <format dxfId="246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E000000}" name="PivotTable2" cacheId="0" applyNumberFormats="0" applyBorderFormats="0" applyFontFormats="0" applyPatternFormats="0" applyAlignmentFormats="0" applyWidthHeightFormats="1" dataCaption="Vrednosti" errorCaption="0" showError="1" updatedVersion="8" minRefreshableVersion="3" asteriskTotals="1" useAutoFormatting="1" itemPrintTitles="1" createdVersion="5" indent="0" outline="1" outlineData="1" multipleFieldFilters="0">
  <location ref="J11:Q27" firstHeaderRow="0" firstDataRow="1" firstDataCol="1" rowPageCount="4" colPageCount="1"/>
  <pivotFields count="48">
    <pivotField showAll="0" defaultSubtotal="0"/>
    <pivotField axis="axisRow" numFmtId="167" showAll="0" insertPageBreak="1" includeNewItemsInFilter="1" sortType="ascending">
      <items count="33">
        <item x="0"/>
        <item h="1" x="1"/>
        <item h="1" x="2"/>
        <item x="3"/>
        <item x="4"/>
        <item x="5"/>
        <item x="6"/>
        <item x="7"/>
        <item x="8"/>
        <item x="19"/>
        <item x="9"/>
        <item x="10"/>
        <item x="11"/>
        <item x="17"/>
        <item x="12"/>
        <item x="13"/>
        <item x="14"/>
        <item x="15"/>
        <item x="16"/>
        <item x="18"/>
        <item x="20"/>
        <item x="21"/>
        <item x="22"/>
        <item x="23"/>
        <item x="24"/>
        <item x="25"/>
        <item x="27"/>
        <item x="26"/>
        <item x="28"/>
        <item x="29"/>
        <item x="30"/>
        <item x="31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axis="axisPage" multipleItemSelectionAllowed="1" showAll="0">
      <items count="8">
        <item h="1" x="1"/>
        <item x="0"/>
        <item h="1" x="2"/>
        <item h="1" x="4"/>
        <item x="5"/>
        <item h="1" x="3"/>
        <item h="1" m="1" x="6"/>
        <item t="default"/>
      </items>
    </pivotField>
    <pivotField multipleItemSelectionAllowed="1" showAll="0"/>
    <pivotField axis="axisRow" showAll="0">
      <items count="63">
        <item x="0"/>
        <item h="1" x="2"/>
        <item h="1" sd="0" x="1"/>
        <item h="1" x="3"/>
        <item h="1" x="8"/>
        <item h="1" x="4"/>
        <item h="1" x="6"/>
        <item h="1" x="5"/>
        <item h="1" x="7"/>
        <item h="1" m="1" x="50"/>
        <item h="1" x="13"/>
        <item h="1" m="1" x="22"/>
        <item h="1" m="1" x="51"/>
        <item h="1" m="1" x="45"/>
        <item h="1" m="1" x="29"/>
        <item h="1" m="1" x="23"/>
        <item h="1" m="1" x="59"/>
        <item h="1" m="1" x="58"/>
        <item h="1" m="1" x="38"/>
        <item h="1" m="1" x="56"/>
        <item h="1" m="1" x="35"/>
        <item h="1" m="1" x="52"/>
        <item h="1" m="1" x="27"/>
        <item h="1" m="1" x="54"/>
        <item h="1" m="1" x="44"/>
        <item h="1" m="1" x="41"/>
        <item h="1" m="1" x="46"/>
        <item h="1" m="1" x="61"/>
        <item h="1" m="1" x="43"/>
        <item h="1" m="1" x="57"/>
        <item h="1" m="1" x="47"/>
        <item h="1" m="1" x="55"/>
        <item h="1" m="1" x="49"/>
        <item h="1" m="1" x="53"/>
        <item h="1" m="1" x="60"/>
        <item h="1" m="1" x="42"/>
        <item h="1" m="1" x="20"/>
        <item h="1" m="1" x="48"/>
        <item h="1" x="9"/>
        <item h="1" x="10"/>
        <item h="1" m="1" x="34"/>
        <item h="1" x="12"/>
        <item h="1" m="1" x="19"/>
        <item h="1" m="1" x="16"/>
        <item h="1" m="1" x="36"/>
        <item h="1" m="1" x="37"/>
        <item h="1" m="1" x="39"/>
        <item h="1" m="1" x="15"/>
        <item h="1" m="1" x="40"/>
        <item h="1" m="1" x="14"/>
        <item h="1" x="11"/>
        <item h="1" m="1" x="18"/>
        <item h="1" m="1" x="17"/>
        <item h="1" m="1" x="21"/>
        <item h="1" m="1" x="24"/>
        <item h="1" m="1" x="25"/>
        <item h="1" m="1" x="26"/>
        <item h="1" m="1" x="28"/>
        <item h="1" m="1" x="30"/>
        <item h="1" m="1" x="31"/>
        <item h="1" m="1" x="32"/>
        <item h="1" m="1" x="33"/>
        <item t="default"/>
      </items>
    </pivotField>
    <pivotField axis="axisPage" multipleItemSelectionAllowed="1" showAll="0">
      <items count="7">
        <item x="1"/>
        <item x="2"/>
        <item x="0"/>
        <item x="3"/>
        <item x="4"/>
        <item x="5"/>
        <item t="default"/>
      </items>
    </pivotField>
    <pivotField axis="axisPage" multipleItemSelectionAllowed="1" showAll="0">
      <items count="21">
        <item x="8"/>
        <item x="12"/>
        <item sd="0" x="0"/>
        <item sd="0" x="2"/>
        <item sd="0" x="9"/>
        <item sd="0" x="1"/>
        <item sd="0" x="4"/>
        <item sd="0" x="11"/>
        <item sd="0" x="5"/>
        <item sd="0" x="3"/>
        <item sd="0" x="7"/>
        <item x="10"/>
        <item x="13"/>
        <item x="15"/>
        <item x="14"/>
        <item x="6"/>
        <item m="1" x="18"/>
        <item x="16"/>
        <item m="1" x="17"/>
        <item m="1" x="19"/>
        <item t="default"/>
      </items>
    </pivotField>
    <pivotField axis="axisRow" showAll="0">
      <items count="66">
        <item x="12"/>
        <item x="27"/>
        <item x="26"/>
        <item x="55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15"/>
        <item x="13"/>
        <item x="14"/>
        <item x="49"/>
        <item x="53"/>
        <item x="21"/>
        <item x="30"/>
        <item x="29"/>
        <item x="22"/>
        <item x="23"/>
        <item x="6"/>
        <item x="28"/>
        <item x="25"/>
        <item x="24"/>
        <item x="7"/>
        <item x="5"/>
        <item x="3"/>
        <item x="2"/>
        <item x="4"/>
        <item x="1"/>
        <item x="33"/>
        <item x="10"/>
        <item x="8"/>
        <item x="9"/>
        <item x="54"/>
        <item x="48"/>
        <item x="37"/>
        <item x="43"/>
        <item x="40"/>
        <item x="36"/>
        <item x="56"/>
        <item x="41"/>
        <item x="38"/>
        <item x="39"/>
        <item x="16"/>
        <item x="50"/>
        <item x="34"/>
        <item x="11"/>
        <item x="47"/>
        <item x="35"/>
        <item x="42"/>
        <item x="57"/>
        <item m="1" x="61"/>
        <item x="59"/>
        <item x="58"/>
        <item m="1" x="64"/>
        <item m="1" x="60"/>
        <item m="1" x="62"/>
        <item m="1" x="63"/>
        <item t="default"/>
      </items>
    </pivotField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8"/>
    <field x="5"/>
  </rowFields>
  <rowItems count="16">
    <i>
      <x/>
    </i>
    <i r="1">
      <x v="4"/>
    </i>
    <i r="2">
      <x/>
    </i>
    <i r="1">
      <x v="5"/>
    </i>
    <i r="2">
      <x/>
    </i>
    <i r="1">
      <x v="15"/>
    </i>
    <i r="2">
      <x/>
    </i>
    <i r="1">
      <x v="22"/>
    </i>
    <i r="2">
      <x/>
    </i>
    <i r="1">
      <x v="23"/>
    </i>
    <i r="2">
      <x/>
    </i>
    <i r="1">
      <x v="26"/>
    </i>
    <i r="2">
      <x/>
    </i>
    <i r="1">
      <x v="27"/>
    </i>
    <i r="2">
      <x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4">
    <pageField fld="3" hier="-1"/>
    <pageField fld="2" hier="-1"/>
    <pageField fld="7" hier="-1"/>
    <pageField fld="6" hier="-1"/>
  </pageFields>
  <dataFields count="7">
    <dataField name="Količina robe" fld="9" baseField="1" baseItem="1" numFmtId="4"/>
    <dataField name="Cena Dinarska" fld="10" subtotal="average" baseField="1" baseItem="0" numFmtId="4"/>
    <dataField name="Average of Cena EUR" fld="11" subtotal="average" baseField="1" baseItem="0" numFmtId="4"/>
    <dataField name="Vrednost" fld="13" baseField="1" baseItem="1" numFmtId="4"/>
    <dataField name="Sum of Uplate EUR" fld="22" baseField="1" baseItem="221" numFmtId="4"/>
    <dataField name="Sum of Uplata Din" fld="21" baseField="1" baseItem="221" numFmtId="176"/>
    <dataField name="Sum of Iznos EUR" fld="14" baseField="5" baseItem="10" numFmtId="4"/>
  </dataFields>
  <formats count="5">
    <format dxfId="253">
      <pivotArea field="1" type="button" dataOnly="0" labelOnly="1" outline="0" axis="axisRow" fieldPosition="0"/>
    </format>
    <format dxfId="252">
      <pivotArea outline="0" fieldPosition="0">
        <references count="1">
          <reference field="4294967294" count="1">
            <x v="4"/>
          </reference>
        </references>
      </pivotArea>
    </format>
    <format dxfId="251">
      <pivotArea outline="0" fieldPosition="0">
        <references count="1">
          <reference field="4294967294" count="1">
            <x v="5"/>
          </reference>
        </references>
      </pivotArea>
    </format>
    <format dxfId="250">
      <pivotArea outline="0" fieldPosition="0">
        <references count="1">
          <reference field="4294967294" count="1">
            <x v="2"/>
          </reference>
        </references>
      </pivotArea>
    </format>
    <format dxfId="249">
      <pivotArea outline="0" fieldPosition="0">
        <references count="1">
          <reference field="4294967294" count="1">
            <x v="6"/>
          </reference>
        </references>
      </pivotArea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3C000000}" name="PivotTable6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BT63:BV64" firstHeaderRow="0" firstDataRow="1" firstDataCol="0" rowPageCount="6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h="1" x="2"/>
        <item x="0"/>
        <item h="1" x="3"/>
        <item x="4"/>
        <item h="1" x="5"/>
        <item t="default"/>
      </items>
    </pivotField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h="1" x="4"/>
        <item h="1" x="11"/>
        <item h="1" x="5"/>
        <item h="1" x="3"/>
        <item h="1" x="7"/>
        <item h="1" x="10"/>
        <item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Page" multipleItemSelectionAllowed="1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6">
    <pageField fld="6" hier="-1"/>
    <pageField fld="3" item="0" hier="-1"/>
    <pageField fld="7" hier="-1"/>
    <pageField fld="4" item="3" hier="-1"/>
    <pageField fld="8" hier="-1"/>
    <pageField fld="5" hier="-1"/>
  </pageFields>
  <dataFields count="3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2D000000}" name="Izvedena tabela3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X5:AB52" firstHeaderRow="0" firstDataRow="1" firstDataCol="1" rowPageCount="2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showAll="0"/>
    <pivotField showAll="0"/>
    <pivotField multipleItemSelectionAllowed="1" showAll="0"/>
    <pivotField axis="axisPage" multipleItemSelectionAllowed="1" showAll="0">
      <items count="21">
        <item x="8"/>
        <item x="12"/>
        <item x="0"/>
        <item x="2"/>
        <item x="9"/>
        <item x="1"/>
        <item x="4"/>
        <item x="11"/>
        <item x="5"/>
        <item x="3"/>
        <item x="7"/>
        <item x="10"/>
        <item x="13"/>
        <item x="15"/>
        <item x="14"/>
        <item x="6"/>
        <item m="1" x="18"/>
        <item x="16"/>
        <item m="1" x="17"/>
        <item m="1" x="19"/>
        <item t="default"/>
      </items>
    </pivotField>
    <pivotField axis="axisRow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dataField="1"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47">
    <i>
      <x/>
    </i>
    <i>
      <x v="1"/>
    </i>
    <i>
      <x v="2"/>
    </i>
    <i>
      <x v="7"/>
    </i>
    <i>
      <x v="10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>
      <x v="26"/>
    </i>
    <i>
      <x v="27"/>
    </i>
    <i>
      <x v="28"/>
    </i>
    <i>
      <x v="30"/>
    </i>
    <i>
      <x v="32"/>
    </i>
    <i>
      <x v="35"/>
    </i>
    <i>
      <x v="36"/>
    </i>
    <i>
      <x v="37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3" item="0" hier="-1"/>
    <pageField fld="7" hier="-1"/>
  </pageFields>
  <dataFields count="4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  <dataField name="Zbir od Obračunska Vrednost" fld="35" baseField="8" baseItem="14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22000000}" name="PivotTable2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BT32:BV33" firstHeaderRow="0" firstDataRow="1" firstDataCol="0" rowPageCount="6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h="1" x="2"/>
        <item h="1" x="0"/>
        <item h="1" x="3"/>
        <item h="1" x="4"/>
        <item x="5"/>
        <item t="default"/>
      </items>
    </pivotField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h="1" x="4"/>
        <item h="1" x="11"/>
        <item h="1" x="5"/>
        <item h="1" x="3"/>
        <item h="1" x="7"/>
        <item h="1" x="10"/>
        <item h="1" x="13"/>
        <item h="1" x="15"/>
        <item h="1" x="14"/>
        <item h="1" x="6"/>
        <item m="1" x="18"/>
        <item h="1" x="16"/>
        <item h="1" m="1" x="17"/>
        <item h="1" m="1" x="19"/>
        <item t="default"/>
      </items>
    </pivotField>
    <pivotField axis="axisPage" multipleItemSelectionAllowed="1" showAll="0" sortType="ascending">
      <items count="66">
        <item h="1" x="12"/>
        <item h="1" x="27"/>
        <item h="1" x="26"/>
        <item h="1" x="54"/>
        <item h="1" x="55"/>
        <item h="1" m="1" x="64"/>
        <item m="1" x="61"/>
        <item h="1" x="48"/>
        <item h="1" x="32"/>
        <item h="1" x="31"/>
        <item h="1" x="20"/>
        <item x="52"/>
        <item h="1" x="18"/>
        <item h="1" x="17"/>
        <item h="1" x="44"/>
        <item x="46"/>
        <item x="45"/>
        <item h="1" x="19"/>
        <item h="1" x="51"/>
        <item h="1" x="0"/>
        <item h="1" x="57"/>
        <item h="1" m="1" x="63"/>
        <item h="1" m="1" x="62"/>
        <item h="1" x="50"/>
        <item h="1" x="16"/>
        <item h="1" x="15"/>
        <item h="1" x="13"/>
        <item h="1" x="14"/>
        <item h="1" x="49"/>
        <item h="1" m="1" x="60"/>
        <item h="1" x="47"/>
        <item h="1" x="53"/>
        <item h="1" x="21"/>
        <item h="1" x="30"/>
        <item h="1" x="29"/>
        <item h="1" x="22"/>
        <item h="1" x="23"/>
        <item h="1" x="6"/>
        <item h="1" x="28"/>
        <item h="1" x="25"/>
        <item h="1" x="24"/>
        <item h="1" x="43"/>
        <item h="1" x="40"/>
        <item h="1" x="34"/>
        <item h="1" x="35"/>
        <item h="1" x="7"/>
        <item h="1" x="39"/>
        <item h="1" x="5"/>
        <item h="1" x="3"/>
        <item h="1" x="36"/>
        <item h="1" x="37"/>
        <item h="1" x="38"/>
        <item h="1" x="41"/>
        <item h="1" x="2"/>
        <item h="1" x="4"/>
        <item h="1" x="42"/>
        <item h="1" x="1"/>
        <item h="1" x="33"/>
        <item h="1" x="10"/>
        <item h="1" x="8"/>
        <item h="1" x="9"/>
        <item h="1" x="58"/>
        <item h="1" x="59"/>
        <item h="1" x="11"/>
        <item h="1"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6">
    <pageField fld="6" hier="-1"/>
    <pageField fld="3" hier="-1"/>
    <pageField fld="7" hier="-1"/>
    <pageField fld="4" hier="-1"/>
    <pageField fld="8" hier="-1"/>
    <pageField fld="5" hier="-1"/>
  </pageFields>
  <dataFields count="3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2B000000}" name="Izvedena tabela14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AV20:AX21" firstHeaderRow="0" firstDataRow="1" firstDataCol="0" rowPageCount="6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multipleItemSelectionAllowed="1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h="1" x="2"/>
        <item x="0"/>
        <item h="1" x="3"/>
        <item x="4"/>
        <item h="1" x="5"/>
        <item t="default"/>
      </items>
    </pivotField>
    <pivotField axis="axisPage" multipleItemSelectionAllowed="1" showAll="0">
      <items count="21">
        <item h="1" x="8"/>
        <item h="1" x="12"/>
        <item x="0"/>
        <item h="1" x="2"/>
        <item h="1" x="9"/>
        <item h="1" x="1"/>
        <item h="1" x="4"/>
        <item h="1" x="11"/>
        <item h="1" x="5"/>
        <item h="1" x="3"/>
        <item h="1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Page" multipleItemSelectionAllowed="1" showAll="0" sortType="ascending">
      <items count="66">
        <item h="1" x="12"/>
        <item h="1" x="27"/>
        <item h="1" x="26"/>
        <item h="1" x="54"/>
        <item h="1" x="55"/>
        <item h="1" m="1" x="64"/>
        <item h="1" m="1" x="61"/>
        <item h="1" x="48"/>
        <item h="1" x="32"/>
        <item h="1" x="31"/>
        <item h="1" x="20"/>
        <item h="1" x="52"/>
        <item x="18"/>
        <item x="17"/>
        <item x="44"/>
        <item h="1" x="46"/>
        <item h="1" x="45"/>
        <item x="19"/>
        <item h="1" x="51"/>
        <item x="0"/>
        <item h="1" x="57"/>
        <item h="1" m="1" x="63"/>
        <item h="1" m="1" x="62"/>
        <item h="1" x="50"/>
        <item h="1" x="16"/>
        <item h="1" x="15"/>
        <item h="1" x="13"/>
        <item h="1" x="14"/>
        <item h="1" x="49"/>
        <item h="1" m="1" x="60"/>
        <item h="1" x="47"/>
        <item h="1" x="53"/>
        <item h="1" x="21"/>
        <item h="1" x="30"/>
        <item h="1" x="29"/>
        <item h="1" x="22"/>
        <item h="1" x="23"/>
        <item h="1" x="6"/>
        <item h="1" x="28"/>
        <item h="1" x="25"/>
        <item h="1" x="24"/>
        <item h="1" x="43"/>
        <item h="1" x="40"/>
        <item h="1" x="34"/>
        <item h="1" x="35"/>
        <item h="1" x="7"/>
        <item h="1" x="39"/>
        <item h="1" x="5"/>
        <item x="3"/>
        <item h="1" x="36"/>
        <item h="1" x="37"/>
        <item h="1" x="38"/>
        <item h="1" x="41"/>
        <item h="1" x="2"/>
        <item h="1" x="4"/>
        <item h="1" x="42"/>
        <item h="1" x="1"/>
        <item h="1" x="33"/>
        <item h="1" x="10"/>
        <item h="1" x="8"/>
        <item h="1" x="9"/>
        <item h="1" x="58"/>
        <item h="1" x="59"/>
        <item h="1" x="11"/>
        <item h="1"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6">
    <pageField fld="6" hier="-1"/>
    <pageField fld="3" item="0" hier="-1"/>
    <pageField fld="7" hier="-1"/>
    <pageField fld="4" hier="-1"/>
    <pageField fld="8" hier="-1"/>
    <pageField fld="5" hier="-1"/>
  </pageFields>
  <dataFields count="3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25000000}" name="Izvedena tabela34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BJ39:BJ40" firstHeaderRow="1" firstDataRow="1" firstDataCol="0" rowPageCount="2" colPageCount="1"/>
  <pivotFields count="48">
    <pivotField showAll="0" defaultSubtotal="0"/>
    <pivotField numFmtId="14" showAll="0"/>
    <pivotField showAll="0"/>
    <pivotField showAll="0"/>
    <pivotField multipleItemSelectionAllowed="1" showAll="0"/>
    <pivotField showAll="0"/>
    <pivotField multipleItemSelectionAllowed="1" showAll="0"/>
    <pivotField multipleItemSelectionAllowed="1" showAll="0"/>
    <pivotField showAll="0" sortType="a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1"/>
        <item x="0"/>
        <item x="7"/>
        <item x="3"/>
        <item x="4"/>
        <item x="6"/>
        <item x="8"/>
        <item x="5"/>
        <item x="2"/>
        <item m="1" x="9"/>
        <item t="default"/>
      </items>
    </pivotField>
    <pivotField axis="axisPage" showAll="0">
      <items count="37">
        <item x="1"/>
        <item x="0"/>
        <item x="7"/>
        <item x="4"/>
        <item x="3"/>
        <item x="2"/>
        <item x="6"/>
        <item x="5"/>
        <item x="8"/>
        <item x="15"/>
        <item x="13"/>
        <item x="22"/>
        <item m="1" x="35"/>
        <item x="21"/>
        <item x="12"/>
        <item x="16"/>
        <item x="19"/>
        <item x="17"/>
        <item x="10"/>
        <item x="9"/>
        <item m="1" x="26"/>
        <item x="11"/>
        <item m="1" x="25"/>
        <item m="1" x="27"/>
        <item m="1" x="29"/>
        <item m="1" x="24"/>
        <item x="20"/>
        <item x="18"/>
        <item x="14"/>
        <item m="1" x="28"/>
        <item m="1" x="30"/>
        <item m="1" x="31"/>
        <item m="1" x="34"/>
        <item m="1" x="32"/>
        <item m="1" x="33"/>
        <item m="1" x="23"/>
        <item t="default"/>
      </items>
    </pivotField>
    <pivotField dataField="1"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2">
    <pageField fld="18" item="4" hier="-1"/>
    <pageField fld="19" hier="-1"/>
  </pageFields>
  <dataFields count="1">
    <dataField name="Zbir od Iznos Troška" fld="20" baseField="1" baseItem="378967920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1E000000}" name="Izvedena tabela32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BJ33:BJ34" firstHeaderRow="1" firstDataRow="1" firstDataCol="0" rowPageCount="2" colPageCount="1"/>
  <pivotFields count="48">
    <pivotField showAll="0" defaultSubtotal="0"/>
    <pivotField numFmtId="14" showAll="0"/>
    <pivotField showAll="0"/>
    <pivotField showAll="0"/>
    <pivotField multipleItemSelectionAllowed="1" showAll="0"/>
    <pivotField showAll="0"/>
    <pivotField multipleItemSelectionAllowed="1" showAll="0"/>
    <pivotField multipleItemSelectionAllowed="1" showAll="0"/>
    <pivotField showAll="0" sortType="a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1"/>
        <item x="0"/>
        <item x="7"/>
        <item x="3"/>
        <item x="4"/>
        <item x="6"/>
        <item x="8"/>
        <item x="5"/>
        <item x="2"/>
        <item m="1" x="9"/>
        <item t="default"/>
      </items>
    </pivotField>
    <pivotField axis="axisPage" showAll="0">
      <items count="37">
        <item x="1"/>
        <item x="0"/>
        <item x="7"/>
        <item x="4"/>
        <item x="3"/>
        <item x="2"/>
        <item x="6"/>
        <item x="5"/>
        <item x="8"/>
        <item x="15"/>
        <item x="13"/>
        <item x="22"/>
        <item m="1" x="35"/>
        <item x="21"/>
        <item x="12"/>
        <item x="16"/>
        <item x="19"/>
        <item x="17"/>
        <item x="10"/>
        <item x="9"/>
        <item m="1" x="26"/>
        <item x="11"/>
        <item m="1" x="25"/>
        <item m="1" x="27"/>
        <item m="1" x="29"/>
        <item m="1" x="24"/>
        <item x="20"/>
        <item x="18"/>
        <item x="14"/>
        <item m="1" x="28"/>
        <item m="1" x="30"/>
        <item m="1" x="31"/>
        <item m="1" x="34"/>
        <item m="1" x="32"/>
        <item m="1" x="33"/>
        <item m="1" x="23"/>
        <item t="default"/>
      </items>
    </pivotField>
    <pivotField dataField="1"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2">
    <pageField fld="18" item="8" hier="-1"/>
    <pageField fld="19" hier="-1"/>
  </pageFields>
  <dataFields count="1">
    <dataField name="Zbir od Iznos Troška" fld="20" baseField="1" baseItem="378967920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11000000}" name="Izvedena tabela22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AZ31:BC32" firstHeaderRow="0" firstDataRow="1" firstDataCol="0" rowPageCount="6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multipleItemSelectionAllowed="1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x="2"/>
        <item h="1" x="0"/>
        <item h="1" x="3"/>
        <item h="1" x="4"/>
        <item h="1" x="5"/>
        <item t="default"/>
      </items>
    </pivotField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h="1" x="4"/>
        <item h="1" x="11"/>
        <item x="5"/>
        <item h="1" x="3"/>
        <item h="1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Page" multipleItemSelectionAllowed="1" showAll="0" sortType="ascending">
      <items count="66">
        <item h="1" x="12"/>
        <item h="1" x="27"/>
        <item h="1" x="26"/>
        <item h="1" x="54"/>
        <item h="1" x="55"/>
        <item h="1" m="1" x="64"/>
        <item h="1" m="1" x="61"/>
        <item h="1" x="48"/>
        <item h="1" x="32"/>
        <item h="1" x="31"/>
        <item h="1" x="20"/>
        <item h="1" x="52"/>
        <item h="1" x="18"/>
        <item h="1" x="17"/>
        <item h="1" x="44"/>
        <item h="1" x="46"/>
        <item h="1" x="45"/>
        <item h="1" x="19"/>
        <item h="1" x="51"/>
        <item h="1" x="0"/>
        <item h="1" x="57"/>
        <item h="1" m="1" x="63"/>
        <item h="1" m="1" x="62"/>
        <item h="1" x="50"/>
        <item h="1" x="16"/>
        <item h="1" x="15"/>
        <item h="1" x="13"/>
        <item h="1" x="14"/>
        <item h="1" x="49"/>
        <item h="1" m="1" x="60"/>
        <item h="1" x="47"/>
        <item h="1" x="53"/>
        <item h="1" x="21"/>
        <item h="1" x="30"/>
        <item h="1" x="29"/>
        <item h="1" x="22"/>
        <item h="1" x="23"/>
        <item h="1" x="6"/>
        <item h="1" x="28"/>
        <item h="1" x="25"/>
        <item h="1" x="24"/>
        <item h="1" x="43"/>
        <item x="40"/>
        <item h="1" x="34"/>
        <item h="1" x="35"/>
        <item x="7"/>
        <item h="1" x="39"/>
        <item h="1" x="5"/>
        <item h="1" x="3"/>
        <item x="36"/>
        <item x="37"/>
        <item x="38"/>
        <item h="1" x="41"/>
        <item h="1" x="2"/>
        <item h="1" x="4"/>
        <item h="1" x="42"/>
        <item h="1" x="1"/>
        <item h="1" x="33"/>
        <item h="1" x="10"/>
        <item h="1" x="8"/>
        <item h="1" x="9"/>
        <item h="1" x="58"/>
        <item h="1" x="59"/>
        <item h="1" x="11"/>
        <item h="1"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dataField="1"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6">
    <pageField fld="6" hier="-1"/>
    <pageField fld="3" item="0" hier="-1"/>
    <pageField fld="7" hier="-1"/>
    <pageField fld="4" hier="-1"/>
    <pageField fld="8" hier="-1"/>
    <pageField fld="5" hier="-1"/>
  </pageFields>
  <dataFields count="4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  <dataField name="Sum of Obračunska Vrednost" fld="35" baseField="0" baseItem="0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18000000}" name="Izvedena tabela16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AZ42:BC43" firstHeaderRow="0" firstDataRow="1" firstDataCol="0" rowPageCount="6" colPageCount="1"/>
  <pivotFields count="48">
    <pivotField showAll="0" defaultSubtotal="0"/>
    <pivotField numFmtId="14" showAll="0"/>
    <pivotField showAll="0"/>
    <pivotField axis="axisPage" multipleItemSelectionAllowed="1" showAll="0">
      <items count="8">
        <item x="1"/>
        <item h="1" x="0"/>
        <item h="1" x="2"/>
        <item h="1" x="4"/>
        <item h="1" x="5"/>
        <item h="1" x="3"/>
        <item h="1" m="1" x="6"/>
        <item t="default"/>
      </items>
    </pivotField>
    <pivotField axis="axisPage" multipleItemSelectionAllowed="1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x="2"/>
        <item h="1" x="0"/>
        <item h="1" x="3"/>
        <item h="1" x="4"/>
        <item h="1" x="5"/>
        <item t="default"/>
      </items>
    </pivotField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h="1" x="4"/>
        <item h="1" x="11"/>
        <item h="1" x="5"/>
        <item h="1" x="3"/>
        <item h="1" x="7"/>
        <item h="1" x="10"/>
        <item h="1" x="13"/>
        <item h="1" x="15"/>
        <item h="1" x="14"/>
        <item x="6"/>
        <item h="1" m="1" x="18"/>
        <item h="1" x="16"/>
        <item h="1" m="1" x="17"/>
        <item h="1" m="1" x="19"/>
        <item t="default"/>
      </items>
    </pivotField>
    <pivotField axis="axisPage" multipleItemSelectionAllowed="1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dataField="1"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6">
    <pageField fld="6" hier="-1"/>
    <pageField fld="3" hier="-1"/>
    <pageField fld="7" hier="-1"/>
    <pageField fld="4" hier="-1"/>
    <pageField fld="8" hier="-1"/>
    <pageField fld="5" hier="-1"/>
  </pageFields>
  <dataFields count="4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  <dataField name="Sum of Obračunska Vrednost" fld="35" baseField="0" baseItem="0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30000000}" name="Izvedena tabela24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AZ9:BC10" firstHeaderRow="0" firstDataRow="1" firstDataCol="0" rowPageCount="6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multipleItemSelectionAllowed="1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x="2"/>
        <item h="1" x="0"/>
        <item h="1" x="3"/>
        <item h="1" x="4"/>
        <item h="1" x="5"/>
        <item t="default"/>
      </items>
    </pivotField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h="1" x="4"/>
        <item h="1" x="11"/>
        <item h="1" x="5"/>
        <item x="3"/>
        <item h="1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Page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dataField="1"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6">
    <pageField fld="6" hier="-1"/>
    <pageField fld="3" item="0" hier="-1"/>
    <pageField fld="7" hier="-1"/>
    <pageField fld="4" hier="-1"/>
    <pageField fld="8" hier="-1"/>
    <pageField fld="5" hier="-1"/>
  </pageFields>
  <dataFields count="4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  <dataField name="Sum of Obračunska Vrednost" fld="35" baseField="0" baseItem="3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17000000}" name="Izvedena tabela31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BJ27:BJ28" firstHeaderRow="1" firstDataRow="1" firstDataCol="0" rowPageCount="2" colPageCount="1"/>
  <pivotFields count="48">
    <pivotField showAll="0" defaultSubtotal="0"/>
    <pivotField numFmtId="14" showAll="0"/>
    <pivotField showAll="0"/>
    <pivotField showAll="0"/>
    <pivotField multipleItemSelectionAllowed="1" showAll="0"/>
    <pivotField showAll="0"/>
    <pivotField multipleItemSelectionAllowed="1" showAll="0"/>
    <pivotField multipleItemSelectionAllowed="1" showAll="0"/>
    <pivotField showAll="0" sortType="a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1"/>
        <item x="0"/>
        <item x="7"/>
        <item x="3"/>
        <item x="4"/>
        <item x="6"/>
        <item x="8"/>
        <item x="5"/>
        <item x="2"/>
        <item m="1" x="9"/>
        <item t="default"/>
      </items>
    </pivotField>
    <pivotField axis="axisPage" showAll="0">
      <items count="37">
        <item x="1"/>
        <item x="0"/>
        <item x="7"/>
        <item x="4"/>
        <item x="3"/>
        <item x="2"/>
        <item x="6"/>
        <item x="5"/>
        <item x="8"/>
        <item x="15"/>
        <item x="13"/>
        <item x="22"/>
        <item m="1" x="35"/>
        <item x="21"/>
        <item x="12"/>
        <item x="16"/>
        <item x="19"/>
        <item x="17"/>
        <item x="10"/>
        <item x="9"/>
        <item m="1" x="26"/>
        <item x="11"/>
        <item m="1" x="25"/>
        <item m="1" x="27"/>
        <item m="1" x="29"/>
        <item m="1" x="24"/>
        <item x="20"/>
        <item x="18"/>
        <item x="14"/>
        <item m="1" x="28"/>
        <item m="1" x="30"/>
        <item m="1" x="31"/>
        <item m="1" x="34"/>
        <item m="1" x="32"/>
        <item m="1" x="33"/>
        <item m="1" x="23"/>
        <item t="default"/>
      </items>
    </pivotField>
    <pivotField dataField="1"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2">
    <pageField fld="18" item="7" hier="-1"/>
    <pageField fld="19" hier="-1"/>
  </pageFields>
  <dataFields count="1">
    <dataField name="Zbir od Iznos Troška" fld="20" baseField="1" baseItem="378967920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3D000000}" name="Izvedena tabela17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AV31:AX32" firstHeaderRow="0" firstDataRow="1" firstDataCol="0" rowPageCount="6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h="1" x="2"/>
        <item x="0"/>
        <item h="1" x="3"/>
        <item x="4"/>
        <item h="1" x="5"/>
        <item t="default"/>
      </items>
    </pivotField>
    <pivotField axis="axisPage" multipleItemSelectionAllowed="1" showAll="0">
      <items count="21">
        <item h="1" x="8"/>
        <item h="1" x="12"/>
        <item x="0"/>
        <item h="1" x="2"/>
        <item h="1" x="9"/>
        <item h="1" x="1"/>
        <item h="1" x="4"/>
        <item h="1" x="11"/>
        <item h="1" x="5"/>
        <item h="1" x="3"/>
        <item h="1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Page" multipleItemSelectionAllowed="1" showAll="0" sortType="ascending">
      <items count="66">
        <item h="1" x="12"/>
        <item h="1" x="27"/>
        <item h="1" x="26"/>
        <item h="1" x="54"/>
        <item h="1" x="55"/>
        <item h="1" m="1" x="64"/>
        <item h="1" m="1" x="61"/>
        <item h="1" x="48"/>
        <item h="1" x="32"/>
        <item h="1" x="31"/>
        <item h="1" x="20"/>
        <item x="52"/>
        <item h="1" x="18"/>
        <item h="1" x="17"/>
        <item h="1" x="44"/>
        <item x="46"/>
        <item x="45"/>
        <item h="1" x="19"/>
        <item x="51"/>
        <item h="1" x="0"/>
        <item h="1" x="57"/>
        <item h="1" m="1" x="63"/>
        <item h="1" m="1" x="62"/>
        <item h="1" x="50"/>
        <item h="1" x="16"/>
        <item h="1" x="15"/>
        <item h="1" x="13"/>
        <item h="1" x="14"/>
        <item h="1" x="49"/>
        <item h="1" m="1" x="60"/>
        <item h="1" x="47"/>
        <item h="1" x="53"/>
        <item h="1" x="21"/>
        <item h="1" x="30"/>
        <item h="1" x="29"/>
        <item h="1" x="22"/>
        <item h="1" x="23"/>
        <item h="1" x="6"/>
        <item h="1" x="28"/>
        <item h="1" x="25"/>
        <item h="1" x="24"/>
        <item h="1" x="43"/>
        <item h="1" x="40"/>
        <item h="1" x="34"/>
        <item h="1" x="35"/>
        <item h="1" x="7"/>
        <item h="1" x="39"/>
        <item h="1" x="5"/>
        <item h="1" x="3"/>
        <item h="1" x="36"/>
        <item h="1" x="37"/>
        <item h="1" x="38"/>
        <item h="1" x="41"/>
        <item h="1" x="2"/>
        <item h="1" x="4"/>
        <item h="1" x="42"/>
        <item h="1" x="1"/>
        <item h="1" x="33"/>
        <item h="1" x="10"/>
        <item h="1" x="8"/>
        <item h="1" x="9"/>
        <item h="1" x="58"/>
        <item h="1" x="59"/>
        <item h="1" x="11"/>
        <item h="1"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6">
    <pageField fld="6" hier="-1"/>
    <pageField fld="3" item="0" hier="-1"/>
    <pageField fld="7" hier="-1"/>
    <pageField fld="4" hier="-1"/>
    <pageField fld="8" hier="-1"/>
    <pageField fld="5" hier="-1"/>
  </pageFields>
  <dataFields count="3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1C000000}" name="Izvedena tabela23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AZ53:BC54" firstHeaderRow="0" firstDataRow="1" firstDataCol="0" rowPageCount="6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multipleItemSelectionAllowed="1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x="2"/>
        <item h="1" x="0"/>
        <item h="1" x="3"/>
        <item h="1" x="4"/>
        <item h="1" x="5"/>
        <item t="default"/>
      </items>
    </pivotField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h="1" x="4"/>
        <item h="1" x="11"/>
        <item h="1" x="5"/>
        <item h="1" x="3"/>
        <item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Page" multipleItemSelectionAllowed="1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dataField="1"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6">
    <pageField fld="6" hier="-1"/>
    <pageField fld="3" item="0" hier="-1"/>
    <pageField fld="7" hier="-1"/>
    <pageField fld="4" hier="-1"/>
    <pageField fld="8" hier="-1"/>
    <pageField fld="5" hier="-1"/>
  </pageFields>
  <dataFields count="4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  <dataField name="Sum of Obračunska Vrednost" fld="35" baseField="0" baseItem="0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20000000}" name="Izvedena tabela4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AD7:AI31" firstHeaderRow="0" firstDataRow="1" firstDataCol="1" rowPageCount="2" colPageCount="1"/>
  <pivotFields count="48">
    <pivotField showAll="0" defaultSubtotal="0"/>
    <pivotField numFmtId="14" showAll="0"/>
    <pivotField showAll="0"/>
    <pivotField axis="axisPage" multipleItemSelectionAllowed="1" showAll="0">
      <items count="8">
        <item h="1" x="1"/>
        <item x="0"/>
        <item h="1" x="2"/>
        <item h="1" x="4"/>
        <item h="1" x="5"/>
        <item h="1" x="3"/>
        <item h="1" m="1" x="6"/>
        <item t="default"/>
      </items>
    </pivotField>
    <pivotField showAll="0"/>
    <pivotField showAll="0"/>
    <pivotField multipleItemSelectionAllowed="1" showAll="0"/>
    <pivotField axis="axisPage" multipleItemSelectionAllowed="1" showAll="0">
      <items count="21">
        <item x="8"/>
        <item x="12"/>
        <item x="0"/>
        <item x="2"/>
        <item x="9"/>
        <item x="1"/>
        <item x="4"/>
        <item x="11"/>
        <item x="5"/>
        <item x="3"/>
        <item x="7"/>
        <item x="10"/>
        <item x="13"/>
        <item x="15"/>
        <item x="14"/>
        <item x="6"/>
        <item m="1" x="18"/>
        <item x="16"/>
        <item m="1" x="17"/>
        <item m="1" x="19"/>
        <item t="default"/>
      </items>
    </pivotField>
    <pivotField axis="axisRow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24">
    <i>
      <x v="3"/>
    </i>
    <i>
      <x v="4"/>
    </i>
    <i>
      <x v="8"/>
    </i>
    <i>
      <x v="9"/>
    </i>
    <i>
      <x v="10"/>
    </i>
    <i>
      <x v="11"/>
    </i>
    <i>
      <x v="17"/>
    </i>
    <i>
      <x v="18"/>
    </i>
    <i>
      <x v="19"/>
    </i>
    <i>
      <x v="20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7"/>
    </i>
    <i>
      <x v="38"/>
    </i>
    <i>
      <x v="39"/>
    </i>
    <i>
      <x v="6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2">
    <pageField fld="3" hier="-1"/>
    <pageField fld="7" hier="-1"/>
  </pageFields>
  <dataFields count="5">
    <dataField name="Zbir od Količina" fld="9" baseField="8" baseItem="0" numFmtId="4"/>
    <dataField name="Prosek od Cena EUR" fld="11" subtotal="average" baseField="8" baseItem="21" numFmtId="172"/>
    <dataField name="Zbir od Iznos EUR" fld="14" baseField="8" baseItem="20" numFmtId="172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2A000000}" name="Količine po vrestama i kategorijama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C3:J8" firstHeaderRow="0" firstDataRow="1" firstDataCol="1" rowPageCount="1" colPageCount="1"/>
  <pivotFields count="48">
    <pivotField showAll="0" defaultSubtotal="0"/>
    <pivotField numFmtId="14" showAll="0"/>
    <pivotField showAll="0"/>
    <pivotField axis="axisPage" multipleItemSelectionAllowed="1" showAll="0">
      <items count="8">
        <item h="1" x="4"/>
        <item x="1"/>
        <item h="1" x="0"/>
        <item h="1" x="2"/>
        <item h="1" x="5"/>
        <item h="1" x="3"/>
        <item h="1" m="1" x="6"/>
        <item t="default"/>
      </items>
    </pivotField>
    <pivotField showAll="0"/>
    <pivotField showAll="0"/>
    <pivotField axis="axisRow" showAll="0">
      <items count="7">
        <item x="1"/>
        <item x="2"/>
        <item x="0"/>
        <item h="1" x="3"/>
        <item x="4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4" showAll="0" defaultSubtotal="0"/>
    <pivotField dataField="1" numFmtId="4" showAll="0" defaultSubtotal="0"/>
    <pivotField dataField="1" numFmtId="4" showAll="0" defaultSubtotal="0"/>
    <pivotField dataField="1" numFmtId="4" showAll="0" defaultSubtotal="0"/>
    <pivotField dataField="1" numFmtId="4" showAll="0" defaultSubtotal="0"/>
    <pivotField dataField="1" numFmtId="4" showAll="0" defaultSubtotal="0"/>
    <pivotField dataField="1"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5">
    <i>
      <x/>
    </i>
    <i>
      <x v="1"/>
    </i>
    <i>
      <x v="2"/>
    </i>
    <i>
      <x v="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3" hier="-1"/>
  </pageFields>
  <dataFields count="7">
    <dataField name="Zbir od Malina" fld="23" baseField="6" baseItem="1" numFmtId="4"/>
    <dataField name="Zbir od Kupina" fld="24" baseField="6" baseItem="2" numFmtId="4"/>
    <dataField name="Zbir od Šljiva" fld="25" baseField="6" baseItem="2" numFmtId="4"/>
    <dataField name="Zbir od Višnja" fld="26" baseField="6" baseItem="2" numFmtId="4"/>
    <dataField name="Zbir od Borovnica" fld="28" baseField="6" baseItem="2" numFmtId="4"/>
    <dataField name="Zbir od Kupina Sl" fld="29" baseField="6" baseItem="1" numFmtId="4"/>
    <dataField name="Zbir od Kajsija" fld="27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13000000}" name="Izvedena tabela13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AV9:AX10" firstHeaderRow="0" firstDataRow="1" firstDataCol="0" rowPageCount="6" colPageCount="1"/>
  <pivotFields count="48">
    <pivotField showAll="0" defaultSubtotal="0"/>
    <pivotField numFmtId="14" showAll="0"/>
    <pivotField showAll="0"/>
    <pivotField axis="axisPage" multipleItemSelectionAllowed="1" showAll="0">
      <items count="8">
        <item x="1"/>
        <item h="1" x="0"/>
        <item h="1" x="2"/>
        <item h="1" x="4"/>
        <item h="1" x="5"/>
        <item h="1" x="3"/>
        <item h="1" m="1" x="6"/>
        <item t="default"/>
      </items>
    </pivotField>
    <pivotField axis="axisPage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h="1" x="2"/>
        <item x="0"/>
        <item h="1" x="3"/>
        <item x="4"/>
        <item h="1" x="5"/>
        <item t="default"/>
      </items>
    </pivotField>
    <pivotField axis="axisPage" multipleItemSelectionAllowed="1" showAll="0">
      <items count="21">
        <item h="1" x="8"/>
        <item h="1" x="12"/>
        <item h="1" x="0"/>
        <item h="1" x="2"/>
        <item x="9"/>
        <item h="1" x="1"/>
        <item h="1" x="4"/>
        <item h="1" x="11"/>
        <item h="1" x="5"/>
        <item h="1" x="3"/>
        <item h="1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Page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6">
    <pageField fld="6" hier="-1"/>
    <pageField fld="3" hier="-1"/>
    <pageField fld="7" hier="-1"/>
    <pageField fld="4" hier="-1"/>
    <pageField fld="8" hier="-1"/>
    <pageField fld="5" hier="-1"/>
  </pageFields>
  <dataFields count="3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35000000}" name="Izvedena tabela11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Q55:V58" firstHeaderRow="0" firstDataRow="1" firstDataCol="1" rowPageCount="2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showAll="0"/>
    <pivotField showAll="0"/>
    <pivotField multipleItemSelectionAllowed="1" showAll="0"/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h="1" x="4"/>
        <item h="1" x="11"/>
        <item h="1" x="5"/>
        <item h="1" x="3"/>
        <item h="1" x="7"/>
        <item h="1" x="10"/>
        <item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Row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3"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2">
    <pageField fld="3" item="1" hier="-1"/>
    <pageField fld="7" hier="-1"/>
  </pageFields>
  <dataFields count="5">
    <dataField name="Zbir od Količina" fld="9" baseField="8" baseItem="0" numFmtId="4"/>
    <dataField name="Prosek od Cena EUR" fld="11" subtotal="average" baseField="8" baseItem="21" numFmtId="172"/>
    <dataField name="Zbir od Iznos EUR" fld="14" baseField="8" baseItem="20" numFmtId="172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39000000}" name="Izvedena tabela21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AZ64:BB65" firstHeaderRow="0" firstDataRow="1" firstDataCol="0" rowPageCount="6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x="2"/>
        <item h="1" x="0"/>
        <item h="1" x="3"/>
        <item h="1" x="4"/>
        <item h="1" x="5"/>
        <item t="default"/>
      </items>
    </pivotField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h="1" x="4"/>
        <item h="1" x="11"/>
        <item h="1" x="5"/>
        <item h="1" x="3"/>
        <item h="1" x="7"/>
        <item h="1" x="10"/>
        <item h="1" x="13"/>
        <item h="1" x="15"/>
        <item x="14"/>
        <item h="1" x="6"/>
        <item h="1" m="1" x="18"/>
        <item h="1" x="16"/>
        <item h="1" m="1" x="17"/>
        <item h="1" m="1" x="19"/>
        <item t="default"/>
      </items>
    </pivotField>
    <pivotField axis="axisPage" multipleItemSelectionAllowed="1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6">
    <pageField fld="6" hier="-1"/>
    <pageField fld="3" item="0" hier="-1"/>
    <pageField fld="7" hier="-1"/>
    <pageField fld="4" hier="-1"/>
    <pageField fld="8" hier="-1"/>
    <pageField fld="5" hier="-1"/>
  </pageFields>
  <dataFields count="3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3F000000}" name="Izvedena tabela7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Q5:V11" firstHeaderRow="0" firstDataRow="1" firstDataCol="1" rowPageCount="2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showAll="0"/>
    <pivotField showAll="0"/>
    <pivotField multipleItemSelectionAllowed="1" showAll="0"/>
    <pivotField axis="axisPage" multipleItemSelectionAllowed="1" showAll="0">
      <items count="21">
        <item h="1" x="8"/>
        <item h="1" x="12"/>
        <item h="1" x="0"/>
        <item h="1" x="2"/>
        <item x="9"/>
        <item h="1" x="1"/>
        <item h="1" x="4"/>
        <item h="1" x="11"/>
        <item h="1" x="5"/>
        <item x="3"/>
        <item h="1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Row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6">
    <i>
      <x v="23"/>
    </i>
    <i>
      <x v="25"/>
    </i>
    <i>
      <x v="26"/>
    </i>
    <i>
      <x v="27"/>
    </i>
    <i>
      <x v="2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2">
    <pageField fld="3" item="1" hier="-1"/>
    <pageField fld="7" hier="-1"/>
  </pageFields>
  <dataFields count="5">
    <dataField name="Zbir od Količina" fld="9" baseField="8" baseItem="0" numFmtId="4"/>
    <dataField name="Prosek od Cena EUR" fld="11" subtotal="average" baseField="8" baseItem="21" numFmtId="172"/>
    <dataField name="Zbir od Iznos EUR" fld="14" baseField="8" baseItem="20" numFmtId="172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34000000}" name="Izvedena tabela39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BM54:BM55" firstHeaderRow="1" firstDataRow="1" firstDataCol="0" rowPageCount="6" colPageCount="1"/>
  <pivotFields count="48">
    <pivotField showAll="0" defaultSubtotal="0"/>
    <pivotField numFmtId="14" showAll="0"/>
    <pivotField showAll="0"/>
    <pivotField axis="axisPage" multipleItemSelectionAllowed="1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showAll="0">
      <items count="7">
        <item x="0"/>
        <item x="3"/>
        <item x="1"/>
        <item x="2"/>
        <item x="5"/>
        <item x="4"/>
        <item t="default"/>
      </items>
    </pivotField>
    <pivotField axis="axisPage" multipleItemSelectionAllowed="1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x="2"/>
        <item h="1" x="0"/>
        <item h="1" x="3"/>
        <item h="1" x="4"/>
        <item h="1" x="5"/>
        <item t="default"/>
      </items>
    </pivotField>
    <pivotField axis="axisPage" multipleItemSelectionAllowed="1" showAll="0">
      <items count="21">
        <item x="8"/>
        <item x="12"/>
        <item x="0"/>
        <item x="2"/>
        <item x="9"/>
        <item x="1"/>
        <item x="4"/>
        <item x="11"/>
        <item x="5"/>
        <item x="3"/>
        <item x="7"/>
        <item x="10"/>
        <item x="13"/>
        <item x="15"/>
        <item x="14"/>
        <item x="6"/>
        <item m="1" x="18"/>
        <item x="16"/>
        <item m="1" x="17"/>
        <item m="1" x="19"/>
        <item t="default"/>
      </items>
    </pivotField>
    <pivotField axis="axisPage" multipleItemSelectionAllowed="1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dataField="1"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6">
    <pageField fld="6" hier="-1"/>
    <pageField fld="3" hier="-1"/>
    <pageField fld="7" hier="-1"/>
    <pageField fld="4" hier="-1"/>
    <pageField fld="8" hier="-1"/>
    <pageField fld="5" hier="-1"/>
  </pageFields>
  <dataFields count="1">
    <dataField name="Zbir od Vr.Doca Global gap" fld="37" baseField="1" baseItem="460592912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32000000}" name="Izvedena tabela26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BM10:BR11" firstHeaderRow="0" firstDataRow="1" firstDataCol="0" rowPageCount="6" colPageCount="1"/>
  <pivotFields count="48">
    <pivotField showAll="0" defaultSubtotal="0"/>
    <pivotField numFmtId="14" showAll="0"/>
    <pivotField showAll="0"/>
    <pivotField axis="axisPage" multipleItemSelectionAllowed="1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multipleItemSelectionAllowed="1" showAll="0">
      <items count="7">
        <item x="0"/>
        <item x="3"/>
        <item x="1"/>
        <item x="2"/>
        <item x="5"/>
        <item x="4"/>
        <item t="default"/>
      </items>
    </pivotField>
    <pivotField axis="axisPage" multipleItemSelectionAllowed="1" showAll="0">
      <items count="63">
        <item h="1" x="0"/>
        <item h="1" x="2"/>
        <item h="1" x="1"/>
        <item h="1" x="3"/>
        <item h="1" x="8"/>
        <item h="1" x="4"/>
        <item h="1" x="6"/>
        <item h="1" x="5"/>
        <item x="7"/>
        <item h="1" m="1" x="50"/>
        <item h="1" x="13"/>
        <item h="1" m="1" x="22"/>
        <item h="1" m="1" x="51"/>
        <item h="1" m="1" x="45"/>
        <item h="1" m="1" x="29"/>
        <item h="1" m="1" x="23"/>
        <item h="1" m="1" x="59"/>
        <item h="1" m="1" x="58"/>
        <item h="1" m="1" x="38"/>
        <item h="1" m="1" x="56"/>
        <item h="1" m="1" x="35"/>
        <item h="1" m="1" x="52"/>
        <item h="1" m="1" x="27"/>
        <item h="1" m="1" x="54"/>
        <item h="1" m="1" x="44"/>
        <item h="1" m="1" x="41"/>
        <item h="1" m="1" x="46"/>
        <item h="1" m="1" x="61"/>
        <item h="1" m="1" x="43"/>
        <item h="1" m="1" x="57"/>
        <item h="1" m="1" x="47"/>
        <item h="1" m="1" x="55"/>
        <item h="1" m="1" x="49"/>
        <item h="1" m="1" x="53"/>
        <item h="1" m="1" x="60"/>
        <item h="1" m="1" x="42"/>
        <item h="1" m="1" x="20"/>
        <item h="1" m="1" x="48"/>
        <item h="1" x="9"/>
        <item h="1" x="10"/>
        <item h="1" m="1" x="34"/>
        <item h="1" x="12"/>
        <item h="1" m="1" x="19"/>
        <item h="1" m="1" x="16"/>
        <item h="1" m="1" x="36"/>
        <item h="1" m="1" x="37"/>
        <item h="1" m="1" x="39"/>
        <item h="1" m="1" x="15"/>
        <item h="1" m="1" x="40"/>
        <item h="1" m="1" x="14"/>
        <item h="1" x="11"/>
        <item h="1" m="1" x="18"/>
        <item h="1" m="1" x="17"/>
        <item h="1" m="1" x="21"/>
        <item h="1" m="1" x="24"/>
        <item h="1" m="1" x="25"/>
        <item h="1" m="1" x="26"/>
        <item h="1" m="1" x="28"/>
        <item h="1" m="1" x="30"/>
        <item h="1" m="1" x="31"/>
        <item h="1" m="1" x="32"/>
        <item h="1" m="1" x="33"/>
        <item t="default"/>
      </items>
    </pivotField>
    <pivotField axis="axisPage" multipleItemSelectionAllowed="1" showAll="0">
      <items count="7">
        <item x="1"/>
        <item x="2"/>
        <item x="0"/>
        <item x="3"/>
        <item x="4"/>
        <item x="5"/>
        <item t="default"/>
      </items>
    </pivotField>
    <pivotField axis="axisPage" multipleItemSelectionAllowed="1" showAll="0">
      <items count="21">
        <item x="8"/>
        <item x="12"/>
        <item x="0"/>
        <item x="2"/>
        <item x="9"/>
        <item x="1"/>
        <item x="4"/>
        <item x="11"/>
        <item x="5"/>
        <item x="3"/>
        <item x="7"/>
        <item x="10"/>
        <item x="13"/>
        <item x="15"/>
        <item x="14"/>
        <item x="6"/>
        <item m="1" x="18"/>
        <item x="16"/>
        <item m="1" x="17"/>
        <item m="1" x="19"/>
        <item t="default"/>
      </items>
    </pivotField>
    <pivotField axis="axisPage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dataField="1"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dataField="1"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6">
    <pageField fld="6" hier="-1"/>
    <pageField fld="3" hier="-1"/>
    <pageField fld="7" hier="-1"/>
    <pageField fld="4" hier="-1"/>
    <pageField fld="8" hier="-1"/>
    <pageField fld="5" hier="-1"/>
  </pageFields>
  <dataFields count="6">
    <dataField name="Zbir od Količina" fld="9" baseField="8" baseItem="0" numFmtId="4"/>
    <dataField name="Prosek od Cena Din" fld="10" subtotal="average" baseField="8" baseItem="19" numFmtId="4"/>
    <dataField name="Zbir od Isplata" fld="15" baseField="0" baseItem="3" numFmtId="4"/>
    <dataField name="Zbir od Iznos Din" fld="13" baseField="0" baseItem="4" numFmtId="4"/>
    <dataField name="Zbir od Ukupna Marža" fld="41" baseField="0" baseItem="4" numFmtId="4"/>
    <dataField name="Sum of Vrednost za Isplatu" fld="33" baseField="0" baseItem="5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29000000}" name="PivotTable7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BT43:BV44" firstHeaderRow="0" firstDataRow="1" firstDataCol="0" rowPageCount="6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h="1" x="2"/>
        <item x="0"/>
        <item h="1" x="3"/>
        <item x="4"/>
        <item h="1" x="5"/>
        <item t="default"/>
      </items>
    </pivotField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x="4"/>
        <item h="1" x="11"/>
        <item h="1" x="5"/>
        <item h="1" x="3"/>
        <item h="1" x="7"/>
        <item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Page" multipleItemSelectionAllowed="1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6">
    <pageField fld="6" hier="-1"/>
    <pageField fld="3" item="0" hier="-1"/>
    <pageField fld="7" hier="-1"/>
    <pageField fld="4" hier="-1"/>
    <pageField fld="8" hier="-1"/>
    <pageField fld="5" hier="-1"/>
  </pageFields>
  <dataFields count="3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21000000}" name="PivotTable3" cacheId="0" applyNumberFormats="0" applyBorderFormats="0" applyFontFormats="0" applyPatternFormats="0" applyAlignmentFormats="0" applyWidthHeightFormats="1" dataCaption="Vrednosti" errorCaption="0" showError="1" missingCaption="0" updatedVersion="8" minRefreshableVersion="3" asteriskTotals="1" useAutoFormatting="1" itemPrintTitles="1" createdVersion="5" indent="0" outline="1" outlineData="1" multipleFieldFilters="0">
  <location ref="BM66:BP67" firstHeaderRow="0" firstDataRow="1" firstDataCol="0" rowPageCount="6" colPageCount="1"/>
  <pivotFields count="48">
    <pivotField showAll="0" defaultSubtotal="0"/>
    <pivotField numFmtId="14" showAll="0"/>
    <pivotField showAll="0"/>
    <pivotField axis="axisPage" multipleItemSelectionAllowed="1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multipleItemSelectionAllowed="1" showAll="0">
      <items count="7">
        <item x="0"/>
        <item x="3"/>
        <item x="1"/>
        <item x="2"/>
        <item x="5"/>
        <item x="4"/>
        <item t="default"/>
      </items>
    </pivotField>
    <pivotField axis="axisPage" multipleItemSelectionAllowed="1" showAll="0">
      <items count="63">
        <item h="1" x="0"/>
        <item h="1" x="2"/>
        <item h="1" x="1"/>
        <item h="1" x="3"/>
        <item h="1" x="8"/>
        <item h="1" x="4"/>
        <item h="1" x="6"/>
        <item h="1" x="5"/>
        <item h="1" x="7"/>
        <item h="1" m="1" x="50"/>
        <item h="1" x="13"/>
        <item h="1" m="1" x="22"/>
        <item h="1" m="1" x="51"/>
        <item h="1" m="1" x="45"/>
        <item h="1" m="1" x="29"/>
        <item h="1" m="1" x="23"/>
        <item h="1" m="1" x="59"/>
        <item h="1" m="1" x="58"/>
        <item h="1" m="1" x="38"/>
        <item h="1" m="1" x="56"/>
        <item h="1" m="1" x="35"/>
        <item h="1" m="1" x="52"/>
        <item h="1" m="1" x="27"/>
        <item h="1" m="1" x="54"/>
        <item h="1" m="1" x="44"/>
        <item h="1" m="1" x="41"/>
        <item h="1" m="1" x="46"/>
        <item h="1" m="1" x="61"/>
        <item h="1" m="1" x="43"/>
        <item h="1" m="1" x="57"/>
        <item h="1" m="1" x="47"/>
        <item h="1" m="1" x="55"/>
        <item h="1" m="1" x="49"/>
        <item h="1" m="1" x="53"/>
        <item h="1" m="1" x="60"/>
        <item h="1" m="1" x="42"/>
        <item h="1" m="1" x="20"/>
        <item h="1" m="1" x="48"/>
        <item h="1" x="9"/>
        <item h="1" x="10"/>
        <item h="1" m="1" x="34"/>
        <item h="1" x="12"/>
        <item h="1" m="1" x="19"/>
        <item h="1" m="1" x="16"/>
        <item h="1" m="1" x="36"/>
        <item h="1" m="1" x="37"/>
        <item h="1" m="1" x="39"/>
        <item h="1" m="1" x="15"/>
        <item h="1" m="1" x="40"/>
        <item h="1" m="1" x="14"/>
        <item h="1" x="11"/>
        <item h="1" m="1" x="18"/>
        <item m="1" x="17"/>
        <item h="1" m="1" x="21"/>
        <item h="1" m="1" x="24"/>
        <item h="1" m="1" x="25"/>
        <item h="1" m="1" x="26"/>
        <item h="1" m="1" x="28"/>
        <item h="1" m="1" x="30"/>
        <item h="1" m="1" x="31"/>
        <item h="1" m="1" x="32"/>
        <item h="1" m="1" x="33"/>
        <item t="default"/>
      </items>
    </pivotField>
    <pivotField axis="axisPage" multipleItemSelectionAllowed="1" showAll="0">
      <items count="7">
        <item x="1"/>
        <item x="2"/>
        <item x="0"/>
        <item x="3"/>
        <item x="4"/>
        <item x="5"/>
        <item t="default"/>
      </items>
    </pivotField>
    <pivotField axis="axisPage" multipleItemSelectionAllowed="1" showAll="0">
      <items count="21">
        <item x="8"/>
        <item x="12"/>
        <item x="0"/>
        <item x="2"/>
        <item x="9"/>
        <item x="1"/>
        <item x="4"/>
        <item x="11"/>
        <item x="5"/>
        <item x="3"/>
        <item x="7"/>
        <item x="10"/>
        <item x="13"/>
        <item x="15"/>
        <item x="14"/>
        <item x="6"/>
        <item m="1" x="18"/>
        <item x="16"/>
        <item m="1" x="17"/>
        <item m="1" x="19"/>
        <item t="default"/>
      </items>
    </pivotField>
    <pivotField axis="axisPage" multipleItemSelectionAllowed="1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dataField="1"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6">
    <pageField fld="6" hier="-1"/>
    <pageField fld="3" hier="-1"/>
    <pageField fld="7" hier="-1"/>
    <pageField fld="4" hier="-1"/>
    <pageField fld="8" hier="-1"/>
    <pageField fld="5" hier="-1"/>
  </pageFields>
  <dataFields count="4">
    <dataField name="Zbir od Količina" fld="9" baseField="8" baseItem="0" numFmtId="4"/>
    <dataField name="Prosek od Cena Din" fld="10" subtotal="average" baseField="8" baseItem="19" numFmtId="4"/>
    <dataField name="Zbir od Isplata" fld="15" baseField="0" baseItem="1" numFmtId="4"/>
    <dataField name="Sum of Vrednost za Isplatu" fld="33" baseField="0" baseItem="0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19000000}" name="Izvedena tabela33" cacheId="0" applyNumberFormats="0" applyBorderFormats="0" applyFontFormats="0" applyPatternFormats="0" applyAlignmentFormats="0" applyWidthHeightFormats="1" dataCaption="Vrednosti" errorCaption="0" showError="1" missingCaption="0" updatedVersion="8" minRefreshableVersion="3" asteriskTotals="1" useAutoFormatting="1" itemPrintTitles="1" createdVersion="5" indent="0" outline="1" outlineData="1" multipleFieldFilters="0">
  <location ref="BM21:BR22" firstHeaderRow="0" firstDataRow="1" firstDataCol="0" rowPageCount="6" colPageCount="1"/>
  <pivotFields count="48">
    <pivotField showAll="0" defaultSubtotal="0"/>
    <pivotField numFmtId="14" showAll="0"/>
    <pivotField showAll="0"/>
    <pivotField axis="axisPage" multipleItemSelectionAllowed="1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multipleItemSelectionAllowed="1" showAll="0">
      <items count="7">
        <item x="0"/>
        <item x="3"/>
        <item x="1"/>
        <item x="2"/>
        <item x="5"/>
        <item x="4"/>
        <item t="default"/>
      </items>
    </pivotField>
    <pivotField axis="axisPage" multipleItemSelectionAllowed="1" showAll="0">
      <items count="63">
        <item h="1" x="0"/>
        <item h="1" x="2"/>
        <item h="1" x="1"/>
        <item h="1" x="3"/>
        <item h="1" x="8"/>
        <item h="1" x="4"/>
        <item h="1" x="6"/>
        <item h="1" x="5"/>
        <item h="1" x="7"/>
        <item h="1" m="1" x="50"/>
        <item h="1" x="13"/>
        <item h="1" m="1" x="22"/>
        <item h="1" m="1" x="51"/>
        <item h="1" m="1" x="45"/>
        <item h="1" m="1" x="29"/>
        <item h="1" m="1" x="23"/>
        <item h="1" m="1" x="59"/>
        <item h="1" m="1" x="58"/>
        <item h="1" m="1" x="38"/>
        <item h="1" m="1" x="56"/>
        <item h="1" m="1" x="35"/>
        <item h="1" m="1" x="52"/>
        <item h="1" m="1" x="27"/>
        <item h="1" m="1" x="54"/>
        <item h="1" m="1" x="44"/>
        <item h="1" m="1" x="41"/>
        <item h="1" m="1" x="46"/>
        <item h="1" m="1" x="61"/>
        <item h="1" m="1" x="43"/>
        <item h="1" m="1" x="57"/>
        <item h="1" m="1" x="47"/>
        <item h="1" m="1" x="55"/>
        <item h="1" m="1" x="49"/>
        <item h="1" m="1" x="53"/>
        <item h="1" m="1" x="60"/>
        <item h="1" m="1" x="42"/>
        <item h="1" m="1" x="20"/>
        <item h="1" m="1" x="48"/>
        <item h="1" x="9"/>
        <item h="1" x="10"/>
        <item h="1" m="1" x="34"/>
        <item h="1" x="12"/>
        <item h="1" m="1" x="19"/>
        <item h="1" m="1" x="16"/>
        <item h="1" m="1" x="36"/>
        <item h="1" m="1" x="37"/>
        <item h="1" m="1" x="39"/>
        <item h="1" m="1" x="15"/>
        <item h="1" m="1" x="40"/>
        <item h="1" m="1" x="14"/>
        <item x="11"/>
        <item h="1" m="1" x="18"/>
        <item h="1" m="1" x="17"/>
        <item h="1" m="1" x="21"/>
        <item h="1" m="1" x="24"/>
        <item h="1" m="1" x="25"/>
        <item h="1" m="1" x="26"/>
        <item h="1" m="1" x="28"/>
        <item h="1" m="1" x="30"/>
        <item h="1" m="1" x="31"/>
        <item h="1" m="1" x="32"/>
        <item h="1" m="1" x="33"/>
        <item t="default"/>
      </items>
    </pivotField>
    <pivotField axis="axisPage" multipleItemSelectionAllowed="1" showAll="0">
      <items count="7">
        <item x="1"/>
        <item x="2"/>
        <item x="0"/>
        <item x="3"/>
        <item x="4"/>
        <item x="5"/>
        <item t="default"/>
      </items>
    </pivotField>
    <pivotField axis="axisPage" multipleItemSelectionAllowed="1" showAll="0">
      <items count="21">
        <item x="8"/>
        <item x="12"/>
        <item x="0"/>
        <item x="2"/>
        <item x="9"/>
        <item x="1"/>
        <item x="4"/>
        <item x="11"/>
        <item x="5"/>
        <item x="3"/>
        <item x="7"/>
        <item x="10"/>
        <item x="13"/>
        <item x="15"/>
        <item x="14"/>
        <item x="6"/>
        <item m="1" x="18"/>
        <item x="16"/>
        <item m="1" x="17"/>
        <item m="1" x="19"/>
        <item t="default"/>
      </items>
    </pivotField>
    <pivotField axis="axisPage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dataField="1"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dataField="1"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6">
    <pageField fld="6" hier="-1"/>
    <pageField fld="3" hier="-1"/>
    <pageField fld="7" hier="-1"/>
    <pageField fld="4" hier="-1"/>
    <pageField fld="8" hier="-1"/>
    <pageField fld="5" hier="-1"/>
  </pageFields>
  <dataFields count="6">
    <dataField name="Zbir od Količina" fld="9" baseField="8" baseItem="0" numFmtId="4"/>
    <dataField name="Average of Cena Din" fld="10" subtotal="average" baseField="0" baseItem="1" numFmtId="4"/>
    <dataField name="Zbir od Isplata" fld="15" baseField="0" baseItem="2" numFmtId="4"/>
    <dataField name="Zbir od Iznos Din" fld="13" baseField="0" baseItem="4" numFmtId="4"/>
    <dataField name="Zbir od Ukupna Marža" fld="41" baseField="0" baseItem="0" numFmtId="4"/>
    <dataField name="Sum of Vrednost za Isplatu" fld="33" baseField="0" baseItem="0"/>
  </dataFields>
  <formats count="1">
    <format dxfId="24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23000000}" name="Izvedena tabela27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BE7:BH55" firstHeaderRow="0" firstDataRow="1" firstDataCol="1" rowPageCount="4" colPageCount="1"/>
  <pivotFields count="48">
    <pivotField showAll="0" defaultSubtotal="0"/>
    <pivotField numFmtId="14" showAll="0"/>
    <pivotField showAll="0"/>
    <pivotField axis="axisPage" multipleItemSelectionAllowed="1" showAll="0">
      <items count="8">
        <item x="1"/>
        <item h="1" x="0"/>
        <item h="1" x="2"/>
        <item h="1" x="4"/>
        <item h="1" x="5"/>
        <item h="1" x="3"/>
        <item h="1" m="1" x="6"/>
        <item t="default"/>
      </items>
    </pivotField>
    <pivotField axis="axisPage" multipleItemSelectionAllowed="1" showAll="0">
      <items count="7">
        <item x="0"/>
        <item x="3"/>
        <item x="1"/>
        <item x="2"/>
        <item x="5"/>
        <item x="4"/>
        <item t="default"/>
      </items>
    </pivotField>
    <pivotField axis="axisRow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x="2"/>
        <item h="1" x="0"/>
        <item h="1" x="3"/>
        <item h="1" x="4"/>
        <item h="1" x="5"/>
        <item t="default"/>
      </items>
    </pivotField>
    <pivotField axis="axisPage" multipleItemSelectionAllowed="1" showAll="0">
      <items count="21">
        <item x="8"/>
        <item x="12"/>
        <item x="0"/>
        <item x="2"/>
        <item x="9"/>
        <item x="1"/>
        <item x="4"/>
        <item x="11"/>
        <item x="5"/>
        <item x="3"/>
        <item x="7"/>
        <item x="10"/>
        <item x="13"/>
        <item x="15"/>
        <item x="14"/>
        <item x="6"/>
        <item m="1" x="18"/>
        <item x="16"/>
        <item m="1" x="17"/>
        <item m="1" x="19"/>
        <item t="default"/>
      </items>
    </pivotField>
    <pivotField axis="axisRow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8"/>
    <field x="5"/>
  </rowFields>
  <rowItems count="48">
    <i>
      <x/>
    </i>
    <i r="1">
      <x v="2"/>
    </i>
    <i r="1">
      <x v="7"/>
    </i>
    <i>
      <x v="41"/>
    </i>
    <i r="1">
      <x v="7"/>
    </i>
    <i>
      <x v="42"/>
    </i>
    <i r="1">
      <x v="7"/>
    </i>
    <i>
      <x v="43"/>
    </i>
    <i r="1">
      <x v="7"/>
    </i>
    <i>
      <x v="44"/>
    </i>
    <i r="1">
      <x v="7"/>
    </i>
    <i>
      <x v="45"/>
    </i>
    <i r="1">
      <x v="2"/>
    </i>
    <i r="1">
      <x v="7"/>
    </i>
    <i>
      <x v="46"/>
    </i>
    <i r="1">
      <x v="7"/>
    </i>
    <i>
      <x v="49"/>
    </i>
    <i r="1">
      <x v="7"/>
    </i>
    <i>
      <x v="50"/>
    </i>
    <i r="1">
      <x v="7"/>
    </i>
    <i>
      <x v="51"/>
    </i>
    <i r="1">
      <x v="7"/>
    </i>
    <i>
      <x v="52"/>
    </i>
    <i r="1">
      <x v="7"/>
    </i>
    <i>
      <x v="54"/>
    </i>
    <i r="1">
      <x v="2"/>
    </i>
    <i r="1">
      <x v="7"/>
    </i>
    <i>
      <x v="55"/>
    </i>
    <i r="1">
      <x v="7"/>
    </i>
    <i r="1">
      <x v="38"/>
    </i>
    <i>
      <x v="57"/>
    </i>
    <i r="1">
      <x v="2"/>
    </i>
    <i r="1">
      <x v="5"/>
    </i>
    <i r="1">
      <x v="50"/>
    </i>
    <i>
      <x v="58"/>
    </i>
    <i r="1">
      <x v="2"/>
    </i>
    <i r="1">
      <x v="7"/>
    </i>
    <i>
      <x v="59"/>
    </i>
    <i r="1">
      <x v="2"/>
    </i>
    <i r="1">
      <x v="7"/>
    </i>
    <i>
      <x v="60"/>
    </i>
    <i r="1">
      <x v="2"/>
    </i>
    <i r="1">
      <x v="7"/>
    </i>
    <i>
      <x v="63"/>
    </i>
    <i r="1">
      <x v="2"/>
    </i>
    <i r="1">
      <x v="7"/>
    </i>
    <i r="1">
      <x v="5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6" hier="-1"/>
    <pageField fld="3" hier="-1"/>
    <pageField fld="7" hier="-1"/>
    <pageField fld="4" hier="-1"/>
  </pageFields>
  <dataFields count="3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2E000000}" name="PivotTable5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BT53:BV54" firstHeaderRow="0" firstDataRow="1" firstDataCol="0" rowPageCount="6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h="1" x="2"/>
        <item x="0"/>
        <item h="1" x="3"/>
        <item x="4"/>
        <item h="1" x="5"/>
        <item t="default"/>
      </items>
    </pivotField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h="1" x="4"/>
        <item x="11"/>
        <item h="1" x="5"/>
        <item h="1" x="3"/>
        <item h="1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Page" multipleItemSelectionAllowed="1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6">
    <pageField fld="6" hier="-1"/>
    <pageField fld="3" item="0" hier="-1"/>
    <pageField fld="7" hier="-1"/>
    <pageField fld="4" hier="-1"/>
    <pageField fld="8" hier="-1"/>
    <pageField fld="5" hier="-1"/>
  </pageFields>
  <dataFields count="3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12000000}" name="Izvedena tabela12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Q66:V69" firstHeaderRow="0" firstDataRow="1" firstDataCol="1" rowPageCount="2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showAll="0"/>
    <pivotField showAll="0"/>
    <pivotField multipleItemSelectionAllowed="1" showAll="0"/>
    <pivotField axis="axisPage" multipleItemSelectionAllowed="1" showAll="0">
      <items count="21">
        <item x="8"/>
        <item x="12"/>
        <item h="1" x="0"/>
        <item h="1" x="2"/>
        <item h="1" x="9"/>
        <item h="1" x="1"/>
        <item h="1" x="4"/>
        <item h="1" x="11"/>
        <item h="1" x="5"/>
        <item h="1" x="3"/>
        <item h="1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Row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3">
    <i>
      <x v="3"/>
    </i>
    <i>
      <x v="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2">
    <pageField fld="3" item="1" hier="-1"/>
    <pageField fld="7" hier="-1"/>
  </pageFields>
  <dataFields count="5">
    <dataField name="Zbir od Količina" fld="9" baseField="8" baseItem="0" numFmtId="4"/>
    <dataField name="Prosek od Cena EUR" fld="11" subtotal="average" baseField="8" baseItem="21" numFmtId="172"/>
    <dataField name="Zbir od Iznos EUR" fld="14" baseField="8" baseItem="20" numFmtId="172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3A000000}" name="Izvedena tabela25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AZ20:BC21" firstHeaderRow="0" firstDataRow="1" firstDataCol="0" rowPageCount="6" colPageCount="1"/>
  <pivotFields count="48">
    <pivotField showAll="0" defaultSubtotal="0"/>
    <pivotField numFmtId="14" showAll="0"/>
    <pivotField showAll="0"/>
    <pivotField axis="axisPage" multipleItemSelectionAllowed="1" showAll="0">
      <items count="8">
        <item x="1"/>
        <item h="1" x="0"/>
        <item h="1" x="2"/>
        <item h="1" x="4"/>
        <item h="1" x="5"/>
        <item h="1" x="3"/>
        <item h="1" m="1" x="6"/>
        <item t="default"/>
      </items>
    </pivotField>
    <pivotField axis="axisPage" multipleItemSelectionAllowed="1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x="2"/>
        <item h="1" x="0"/>
        <item h="1" x="3"/>
        <item h="1" x="4"/>
        <item h="1" x="5"/>
        <item t="default"/>
      </items>
    </pivotField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h="1" x="4"/>
        <item h="1" x="11"/>
        <item x="5"/>
        <item h="1" x="3"/>
        <item h="1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Page" multipleItemSelectionAllowed="1" showAll="0" sortType="ascending">
      <items count="66">
        <item h="1" x="12"/>
        <item h="1" x="27"/>
        <item h="1" x="26"/>
        <item h="1" x="54"/>
        <item h="1" x="55"/>
        <item h="1" m="1" x="64"/>
        <item h="1" m="1" x="61"/>
        <item h="1" x="48"/>
        <item h="1" x="32"/>
        <item h="1" x="31"/>
        <item h="1" x="20"/>
        <item h="1" x="52"/>
        <item h="1" x="18"/>
        <item h="1" x="17"/>
        <item h="1" x="44"/>
        <item h="1" x="46"/>
        <item h="1" x="45"/>
        <item h="1" x="19"/>
        <item h="1" x="51"/>
        <item h="1" x="0"/>
        <item h="1" x="57"/>
        <item h="1" m="1" x="63"/>
        <item h="1" m="1" x="62"/>
        <item h="1" x="50"/>
        <item h="1" x="16"/>
        <item h="1" x="15"/>
        <item h="1" x="13"/>
        <item h="1" x="14"/>
        <item h="1" x="49"/>
        <item h="1" m="1" x="60"/>
        <item h="1" x="47"/>
        <item h="1" x="53"/>
        <item h="1" x="21"/>
        <item h="1" x="30"/>
        <item h="1" x="29"/>
        <item h="1" x="22"/>
        <item h="1" x="23"/>
        <item h="1" x="6"/>
        <item h="1" x="28"/>
        <item h="1" x="25"/>
        <item h="1" x="24"/>
        <item h="1" x="43"/>
        <item h="1" x="40"/>
        <item x="34"/>
        <item x="35"/>
        <item h="1" x="7"/>
        <item h="1" x="39"/>
        <item h="1" x="5"/>
        <item h="1" x="3"/>
        <item h="1" x="36"/>
        <item h="1" x="37"/>
        <item h="1" x="38"/>
        <item h="1" x="41"/>
        <item h="1" x="2"/>
        <item h="1" x="4"/>
        <item h="1" x="42"/>
        <item h="1" x="1"/>
        <item h="1" x="33"/>
        <item h="1" x="10"/>
        <item h="1" x="8"/>
        <item h="1" x="9"/>
        <item h="1" x="58"/>
        <item h="1" x="59"/>
        <item h="1" x="11"/>
        <item h="1"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dataField="1"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6">
    <pageField fld="6" hier="-1"/>
    <pageField fld="3" hier="-1"/>
    <pageField fld="7" hier="-1"/>
    <pageField fld="4" hier="-1"/>
    <pageField fld="8" hier="-1"/>
    <pageField fld="5" hier="-1"/>
  </pageFields>
  <dataFields count="4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  <dataField name="Sum of Obračunska Vrednost" fld="35" baseField="0" baseItem="3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36000000}" name="PivotTable4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BT10:BV11" firstHeaderRow="0" firstDataRow="1" firstDataCol="0" rowPageCount="6" colPageCount="1"/>
  <pivotFields count="48">
    <pivotField showAll="0" defaultSubtotal="0"/>
    <pivotField numFmtId="14" showAll="0"/>
    <pivotField showAll="0"/>
    <pivotField axis="axisPage" multipleItemSelectionAllowed="1" showAll="0">
      <items count="8">
        <item x="1"/>
        <item x="0"/>
        <item x="2"/>
        <item x="4"/>
        <item x="5"/>
        <item x="3"/>
        <item h="1" m="1" x="6"/>
        <item t="default"/>
      </items>
    </pivotField>
    <pivotField axis="axisPage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h="1" x="2"/>
        <item h="1" x="0"/>
        <item h="1" x="3"/>
        <item h="1" x="4"/>
        <item x="5"/>
        <item t="default"/>
      </items>
    </pivotField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h="1" x="4"/>
        <item h="1" x="11"/>
        <item h="1" x="5"/>
        <item h="1" x="3"/>
        <item h="1" x="7"/>
        <item h="1" x="10"/>
        <item h="1" x="13"/>
        <item h="1" x="15"/>
        <item h="1" x="14"/>
        <item h="1" x="6"/>
        <item h="1" m="1" x="18"/>
        <item x="16"/>
        <item h="1" m="1" x="17"/>
        <item h="1" m="1" x="19"/>
        <item t="default"/>
      </items>
    </pivotField>
    <pivotField axis="axisPage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6">
    <pageField fld="6" hier="-1"/>
    <pageField fld="3" hier="-1"/>
    <pageField fld="7" hier="-1"/>
    <pageField fld="4" hier="-1"/>
    <pageField fld="8" hier="-1"/>
    <pageField fld="5" hier="-1"/>
  </pageFields>
  <dataFields count="3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1A000000}" name="Izvedena tabela37" cacheId="0" applyNumberFormats="0" applyBorderFormats="0" applyFontFormats="0" applyPatternFormats="0" applyAlignmentFormats="0" applyWidthHeightFormats="1" dataCaption="Vrednosti" errorCaption="0" showError="1" missingCaption="0" updatedVersion="8" minRefreshableVersion="3" asteriskTotals="1" useAutoFormatting="1" itemPrintTitles="1" createdVersion="5" indent="0" outline="1" outlineData="1" multipleFieldFilters="0">
  <location ref="BM32:BP33" firstHeaderRow="0" firstDataRow="1" firstDataCol="0" rowPageCount="6" colPageCount="1"/>
  <pivotFields count="48">
    <pivotField showAll="0" defaultSubtotal="0"/>
    <pivotField numFmtId="14" showAll="0"/>
    <pivotField showAll="0"/>
    <pivotField axis="axisPage" multipleItemSelectionAllowed="1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multipleItemSelectionAllowed="1" showAll="0">
      <items count="7">
        <item x="0"/>
        <item x="3"/>
        <item x="1"/>
        <item x="2"/>
        <item x="5"/>
        <item x="4"/>
        <item t="default"/>
      </items>
    </pivotField>
    <pivotField axis="axisPage" multipleItemSelectionAllowed="1" showAll="0">
      <items count="63">
        <item h="1" x="0"/>
        <item h="1" x="2"/>
        <item x="1"/>
        <item h="1" x="3"/>
        <item h="1" x="8"/>
        <item h="1" x="4"/>
        <item h="1" x="6"/>
        <item h="1" x="5"/>
        <item h="1" x="7"/>
        <item h="1" m="1" x="50"/>
        <item h="1" x="13"/>
        <item h="1" m="1" x="22"/>
        <item h="1" m="1" x="51"/>
        <item h="1" m="1" x="45"/>
        <item h="1" m="1" x="29"/>
        <item h="1" m="1" x="23"/>
        <item h="1" m="1" x="59"/>
        <item h="1" m="1" x="58"/>
        <item h="1" m="1" x="38"/>
        <item h="1" m="1" x="56"/>
        <item h="1" m="1" x="35"/>
        <item h="1" m="1" x="52"/>
        <item h="1" m="1" x="27"/>
        <item h="1" m="1" x="54"/>
        <item h="1" m="1" x="44"/>
        <item h="1" m="1" x="41"/>
        <item h="1" m="1" x="46"/>
        <item h="1" m="1" x="61"/>
        <item h="1" m="1" x="43"/>
        <item h="1" m="1" x="57"/>
        <item h="1" m="1" x="47"/>
        <item h="1" m="1" x="55"/>
        <item h="1" m="1" x="49"/>
        <item h="1" m="1" x="53"/>
        <item h="1" m="1" x="60"/>
        <item h="1" m="1" x="42"/>
        <item h="1" m="1" x="20"/>
        <item h="1" m="1" x="48"/>
        <item h="1" x="9"/>
        <item h="1" x="10"/>
        <item h="1" m="1" x="34"/>
        <item h="1" x="12"/>
        <item h="1" m="1" x="19"/>
        <item h="1" m="1" x="16"/>
        <item h="1" m="1" x="36"/>
        <item h="1" m="1" x="37"/>
        <item h="1" m="1" x="39"/>
        <item h="1" m="1" x="15"/>
        <item h="1" m="1" x="40"/>
        <item h="1" m="1" x="14"/>
        <item h="1" x="11"/>
        <item h="1" m="1" x="18"/>
        <item h="1" m="1" x="17"/>
        <item h="1" m="1" x="21"/>
        <item h="1" m="1" x="24"/>
        <item h="1" m="1" x="25"/>
        <item h="1" m="1" x="26"/>
        <item h="1" m="1" x="28"/>
        <item h="1" m="1" x="30"/>
        <item h="1" m="1" x="31"/>
        <item h="1" m="1" x="32"/>
        <item h="1" m="1" x="33"/>
        <item t="default"/>
      </items>
    </pivotField>
    <pivotField axis="axisPage" multipleItemSelectionAllowed="1" showAll="0">
      <items count="7">
        <item x="1"/>
        <item x="2"/>
        <item x="0"/>
        <item x="3"/>
        <item x="4"/>
        <item x="5"/>
        <item t="default"/>
      </items>
    </pivotField>
    <pivotField axis="axisPage" multipleItemSelectionAllowed="1" showAll="0">
      <items count="21">
        <item x="8"/>
        <item x="12"/>
        <item x="0"/>
        <item x="2"/>
        <item x="9"/>
        <item x="1"/>
        <item x="4"/>
        <item x="11"/>
        <item x="5"/>
        <item x="3"/>
        <item x="7"/>
        <item x="10"/>
        <item x="13"/>
        <item x="15"/>
        <item x="14"/>
        <item x="6"/>
        <item m="1" x="18"/>
        <item x="16"/>
        <item m="1" x="17"/>
        <item m="1" x="19"/>
        <item t="default"/>
      </items>
    </pivotField>
    <pivotField axis="axisPage" multipleItemSelectionAllowed="1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dataField="1"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6">
    <pageField fld="6" hier="-1"/>
    <pageField fld="3" hier="-1"/>
    <pageField fld="7" hier="-1"/>
    <pageField fld="4" hier="-1"/>
    <pageField fld="8" hier="-1"/>
    <pageField fld="5" hier="-1"/>
  </pageFields>
  <dataFields count="4">
    <dataField name="Zbir od Količina" fld="9" baseField="8" baseItem="0" numFmtId="4"/>
    <dataField name="Prosek od Cena Din" fld="10" subtotal="average" baseField="8" baseItem="19" numFmtId="4"/>
    <dataField name="Zbir od Isplata" fld="15" baseField="0" baseItem="1" numFmtId="4"/>
    <dataField name="Sum of Vrednost za Isplatu" fld="33" baseField="0" baseItem="3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1F000000}" name="Izvedena tabela28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BJ9:BJ10" firstHeaderRow="1" firstDataRow="1" firstDataCol="0" rowPageCount="2" colPageCount="1"/>
  <pivotFields count="48">
    <pivotField showAll="0" defaultSubtotal="0"/>
    <pivotField numFmtId="14" showAll="0"/>
    <pivotField showAll="0"/>
    <pivotField showAll="0"/>
    <pivotField multipleItemSelectionAllowed="1" showAll="0"/>
    <pivotField showAll="0"/>
    <pivotField multipleItemSelectionAllowed="1" showAll="0"/>
    <pivotField multipleItemSelectionAllowed="1" showAll="0"/>
    <pivotField showAll="0" sortType="a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1"/>
        <item x="0"/>
        <item x="7"/>
        <item x="3"/>
        <item x="4"/>
        <item x="6"/>
        <item x="8"/>
        <item x="5"/>
        <item x="2"/>
        <item m="1" x="9"/>
        <item t="default"/>
      </items>
    </pivotField>
    <pivotField axis="axisPage" showAll="0">
      <items count="37">
        <item x="1"/>
        <item x="0"/>
        <item x="7"/>
        <item x="4"/>
        <item x="3"/>
        <item x="2"/>
        <item x="6"/>
        <item x="5"/>
        <item x="8"/>
        <item x="15"/>
        <item x="13"/>
        <item x="22"/>
        <item m="1" x="35"/>
        <item x="21"/>
        <item x="12"/>
        <item x="16"/>
        <item x="19"/>
        <item x="17"/>
        <item x="10"/>
        <item x="9"/>
        <item m="1" x="26"/>
        <item x="11"/>
        <item m="1" x="25"/>
        <item m="1" x="27"/>
        <item m="1" x="29"/>
        <item m="1" x="24"/>
        <item x="20"/>
        <item x="18"/>
        <item x="14"/>
        <item m="1" x="28"/>
        <item m="1" x="30"/>
        <item m="1" x="31"/>
        <item m="1" x="34"/>
        <item m="1" x="32"/>
        <item m="1" x="33"/>
        <item m="1" x="23"/>
        <item t="default"/>
      </items>
    </pivotField>
    <pivotField dataField="1"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2">
    <pageField fld="18" item="0" hier="-1"/>
    <pageField fld="19" hier="-1"/>
  </pageFields>
  <dataFields count="1">
    <dataField name="Zbir od Iznos Troška" fld="20" baseField="1" baseItem="378967920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24000000}" name="PivotTable9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BY6:CD8" firstHeaderRow="0" firstDataRow="1" firstDataCol="1" rowPageCount="2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showAll="0"/>
    <pivotField showAll="0"/>
    <pivotField multipleItemSelectionAllowed="1" showAll="0"/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h="1" x="4"/>
        <item h="1" x="11"/>
        <item h="1" x="5"/>
        <item h="1" x="3"/>
        <item h="1" x="7"/>
        <item h="1" x="10"/>
        <item h="1" x="13"/>
        <item h="1" x="15"/>
        <item h="1" x="14"/>
        <item h="1" x="6"/>
        <item h="1" m="1" x="18"/>
        <item x="16"/>
        <item h="1" m="1" x="17"/>
        <item h="1" m="1" x="19"/>
        <item t="default"/>
      </items>
    </pivotField>
    <pivotField axis="axisRow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2">
    <i>
      <x v="6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2">
    <pageField fld="3" item="1" hier="-1"/>
    <pageField fld="7" hier="-1"/>
  </pageFields>
  <dataFields count="5">
    <dataField name="Zbir od Količina" fld="9" baseField="8" baseItem="0" numFmtId="4"/>
    <dataField name="Prosek od Cena EUR" fld="11" subtotal="average" baseField="8" baseItem="21" numFmtId="172"/>
    <dataField name="Zbir od Iznos EUR" fld="14" baseField="8" baseItem="20" numFmtId="172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3B000000}" name="Izvedena tabela18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AV42:AX43" firstHeaderRow="0" firstDataRow="1" firstDataCol="0" rowPageCount="6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h="1" x="2"/>
        <item x="0"/>
        <item h="1" x="3"/>
        <item x="4"/>
        <item h="1" x="5"/>
        <item t="default"/>
      </items>
    </pivotField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x="4"/>
        <item h="1" x="11"/>
        <item h="1" x="5"/>
        <item h="1" x="3"/>
        <item h="1" x="7"/>
        <item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Page" multipleItemSelectionAllowed="1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6">
    <pageField fld="6" hier="-1"/>
    <pageField fld="3" item="0" hier="-1"/>
    <pageField fld="7" hier="-1"/>
    <pageField fld="4" hier="-1"/>
    <pageField fld="8" hier="-1"/>
    <pageField fld="5" hier="-1"/>
  </pageFields>
  <dataFields count="3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33000000}" name="Izvedena tabela8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Q19:V23" firstHeaderRow="0" firstDataRow="1" firstDataCol="1" rowPageCount="2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showAll="0"/>
    <pivotField showAll="0"/>
    <pivotField multipleItemSelectionAllowed="1" showAll="0"/>
    <pivotField axis="axisPage" multipleItemSelectionAllowed="1" showAll="0">
      <items count="21">
        <item h="1" x="8"/>
        <item h="1" x="12"/>
        <item x="0"/>
        <item x="2"/>
        <item h="1" x="9"/>
        <item h="1" x="1"/>
        <item h="1" x="4"/>
        <item h="1" x="11"/>
        <item x="5"/>
        <item h="1" x="3"/>
        <item h="1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Row" showAll="0" sortType="ascending">
      <items count="66">
        <item h="1" x="12"/>
        <item h="1" x="27"/>
        <item h="1" x="26"/>
        <item h="1" x="54"/>
        <item h="1" x="55"/>
        <item h="1" m="1" x="64"/>
        <item h="1" m="1" x="61"/>
        <item h="1" x="48"/>
        <item h="1" x="32"/>
        <item h="1" x="31"/>
        <item x="20"/>
        <item h="1" x="52"/>
        <item x="18"/>
        <item h="1" x="17"/>
        <item h="1" x="44"/>
        <item h="1" x="46"/>
        <item h="1" x="45"/>
        <item x="19"/>
        <item h="1" x="51"/>
        <item x="0"/>
        <item h="1" x="57"/>
        <item h="1" m="1" x="63"/>
        <item h="1" m="1" x="62"/>
        <item h="1" x="50"/>
        <item h="1" x="16"/>
        <item h="1" x="15"/>
        <item h="1" x="13"/>
        <item h="1" x="14"/>
        <item h="1" x="49"/>
        <item h="1" m="1" x="60"/>
        <item h="1" x="47"/>
        <item h="1" x="53"/>
        <item h="1" x="21"/>
        <item h="1" x="30"/>
        <item h="1" x="29"/>
        <item h="1" x="22"/>
        <item h="1" x="23"/>
        <item h="1" x="6"/>
        <item h="1" x="28"/>
        <item h="1" x="25"/>
        <item h="1" x="24"/>
        <item h="1" x="43"/>
        <item h="1" x="40"/>
        <item h="1" x="34"/>
        <item h="1" x="35"/>
        <item h="1" x="7"/>
        <item h="1" x="39"/>
        <item h="1" x="5"/>
        <item h="1" x="3"/>
        <item h="1" x="36"/>
        <item h="1" x="37"/>
        <item h="1" x="38"/>
        <item h="1" x="41"/>
        <item h="1" x="2"/>
        <item h="1" x="4"/>
        <item h="1" x="42"/>
        <item h="1" x="1"/>
        <item h="1" x="33"/>
        <item h="1" x="10"/>
        <item h="1" x="8"/>
        <item h="1" x="9"/>
        <item h="1" x="58"/>
        <item h="1" x="59"/>
        <item h="1" x="11"/>
        <item h="1" x="56"/>
        <item t="default"/>
      </items>
    </pivotField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4">
    <i>
      <x v="10"/>
    </i>
    <i>
      <x v="17"/>
    </i>
    <i>
      <x v="1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2">
    <pageField fld="3" item="1" hier="-1"/>
    <pageField fld="7" hier="-1"/>
  </pageFields>
  <dataFields count="5">
    <dataField name="Zbir od Količina" fld="9" baseField="8" baseItem="0" numFmtId="4"/>
    <dataField name="Prosek od Cena EUR" fld="11" subtotal="average" baseField="8" baseItem="21" numFmtId="172"/>
    <dataField name="Zbir od Iznos EUR" fld="14" baseField="8" baseItem="20" numFmtId="172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28000000}" name="PivotTable8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BT21:BV22" firstHeaderRow="0" firstDataRow="1" firstDataCol="0" rowPageCount="6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multipleItemSelectionAllowed="1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h="1" x="2"/>
        <item x="0"/>
        <item h="1" x="3"/>
        <item x="4"/>
        <item h="1" x="5"/>
        <item t="default"/>
      </items>
    </pivotField>
    <pivotField axis="axisPage" multipleItemSelectionAllowed="1" showAll="0">
      <items count="21">
        <item h="1" x="8"/>
        <item h="1" x="12"/>
        <item x="0"/>
        <item h="1" x="2"/>
        <item h="1" x="9"/>
        <item h="1" x="1"/>
        <item h="1" x="4"/>
        <item h="1" x="11"/>
        <item h="1" x="5"/>
        <item h="1" x="3"/>
        <item h="1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Page" multipleItemSelectionAllowed="1" showAll="0" sortType="ascending">
      <items count="66">
        <item h="1" x="12"/>
        <item h="1" x="27"/>
        <item h="1" x="26"/>
        <item h="1" x="54"/>
        <item h="1" x="55"/>
        <item h="1" m="1" x="64"/>
        <item h="1" m="1" x="61"/>
        <item h="1" x="48"/>
        <item h="1" x="32"/>
        <item h="1" x="31"/>
        <item h="1" x="20"/>
        <item h="1" x="52"/>
        <item x="18"/>
        <item x="17"/>
        <item x="44"/>
        <item h="1" x="46"/>
        <item h="1" x="45"/>
        <item x="19"/>
        <item h="1" x="51"/>
        <item x="0"/>
        <item h="1" x="57"/>
        <item h="1" m="1" x="63"/>
        <item h="1" m="1" x="62"/>
        <item h="1" x="50"/>
        <item h="1" x="16"/>
        <item h="1" x="15"/>
        <item h="1" x="13"/>
        <item h="1" x="14"/>
        <item h="1" x="49"/>
        <item h="1" m="1" x="60"/>
        <item h="1" x="47"/>
        <item h="1" x="53"/>
        <item h="1" x="21"/>
        <item h="1" x="30"/>
        <item h="1" x="29"/>
        <item h="1" x="22"/>
        <item h="1" x="23"/>
        <item h="1" x="6"/>
        <item h="1" x="28"/>
        <item h="1" x="25"/>
        <item h="1" x="24"/>
        <item h="1" x="43"/>
        <item h="1" x="40"/>
        <item h="1" x="34"/>
        <item h="1" x="35"/>
        <item h="1" x="7"/>
        <item h="1" x="39"/>
        <item h="1" x="5"/>
        <item x="3"/>
        <item h="1" x="36"/>
        <item h="1" x="37"/>
        <item h="1" x="38"/>
        <item h="1" x="41"/>
        <item h="1" x="2"/>
        <item h="1" x="4"/>
        <item h="1" x="42"/>
        <item h="1" x="1"/>
        <item h="1" x="33"/>
        <item h="1" x="10"/>
        <item h="1" x="8"/>
        <item h="1" x="9"/>
        <item h="1" x="58"/>
        <item h="1" x="59"/>
        <item h="1" x="11"/>
        <item h="1"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6">
    <pageField fld="6" hier="-1"/>
    <pageField fld="3" item="0" hier="-1"/>
    <pageField fld="7" hier="-1"/>
    <pageField fld="4" hier="-1"/>
    <pageField fld="8" hier="-1"/>
    <pageField fld="5" hier="-1"/>
  </pageFields>
  <dataFields count="3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15000000}" name="Izvedena tabela19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AV52:AX53" firstHeaderRow="0" firstDataRow="1" firstDataCol="0" rowPageCount="6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h="1" x="2"/>
        <item x="0"/>
        <item h="1" x="3"/>
        <item x="4"/>
        <item h="1" x="5"/>
        <item t="default"/>
      </items>
    </pivotField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h="1" x="4"/>
        <item x="11"/>
        <item h="1" x="5"/>
        <item h="1" x="3"/>
        <item h="1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Page" multipleItemSelectionAllowed="1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6">
    <pageField fld="6" hier="-1"/>
    <pageField fld="3" item="0" hier="-1"/>
    <pageField fld="7" hier="-1"/>
    <pageField fld="4" hier="-1"/>
    <pageField fld="8" hier="-1"/>
    <pageField fld="5" hier="-1"/>
  </pageFields>
  <dataFields count="3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1B000000}" name="Izvedena tabela30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BJ21:BJ22" firstHeaderRow="1" firstDataRow="1" firstDataCol="0" rowPageCount="2" colPageCount="1"/>
  <pivotFields count="48">
    <pivotField showAll="0" defaultSubtotal="0"/>
    <pivotField numFmtId="14" showAll="0"/>
    <pivotField showAll="0"/>
    <pivotField showAll="0"/>
    <pivotField multipleItemSelectionAllowed="1" showAll="0"/>
    <pivotField showAll="0"/>
    <pivotField multipleItemSelectionAllowed="1" showAll="0"/>
    <pivotField multipleItemSelectionAllowed="1" showAll="0"/>
    <pivotField showAll="0" sortType="a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1"/>
        <item x="0"/>
        <item x="7"/>
        <item x="3"/>
        <item x="4"/>
        <item x="6"/>
        <item x="8"/>
        <item x="5"/>
        <item x="2"/>
        <item m="1" x="9"/>
        <item t="default"/>
      </items>
    </pivotField>
    <pivotField axis="axisPage" showAll="0">
      <items count="37">
        <item x="1"/>
        <item x="0"/>
        <item x="7"/>
        <item x="4"/>
        <item x="3"/>
        <item x="2"/>
        <item x="6"/>
        <item x="5"/>
        <item x="8"/>
        <item x="15"/>
        <item x="13"/>
        <item x="22"/>
        <item m="1" x="35"/>
        <item x="21"/>
        <item x="12"/>
        <item x="16"/>
        <item x="19"/>
        <item x="17"/>
        <item x="10"/>
        <item x="9"/>
        <item m="1" x="26"/>
        <item x="11"/>
        <item m="1" x="25"/>
        <item m="1" x="27"/>
        <item m="1" x="29"/>
        <item m="1" x="24"/>
        <item x="20"/>
        <item x="18"/>
        <item x="14"/>
        <item m="1" x="28"/>
        <item m="1" x="30"/>
        <item m="1" x="31"/>
        <item m="1" x="34"/>
        <item m="1" x="32"/>
        <item m="1" x="33"/>
        <item m="1" x="23"/>
        <item t="default"/>
      </items>
    </pivotField>
    <pivotField dataField="1"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2">
    <pageField fld="18" item="5" hier="-1"/>
    <pageField fld="19" hier="-1"/>
  </pageFields>
  <dataFields count="1">
    <dataField name="Zbir od Iznos Troška" fld="20" baseField="1" baseItem="378967920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31000000}" name="PivotTable1" cacheId="0" applyNumberFormats="0" applyBorderFormats="0" applyFontFormats="0" applyPatternFormats="0" applyAlignmentFormats="0" applyWidthHeightFormats="1" dataCaption="Vrednosti" errorCaption="0" showError="1" missingCaption="0" updatedVersion="8" minRefreshableVersion="3" asteriskTotals="1" useAutoFormatting="1" itemPrintTitles="1" createdVersion="5" indent="0" outline="1" outlineData="1" multipleFieldFilters="0">
  <location ref="BJ51:BJ52" firstHeaderRow="1" firstDataRow="1" firstDataCol="0" rowPageCount="2" colPageCount="1"/>
  <pivotFields count="48">
    <pivotField showAll="0" defaultSubtotal="0"/>
    <pivotField numFmtId="14" showAll="0"/>
    <pivotField showAll="0"/>
    <pivotField showAll="0"/>
    <pivotField multipleItemSelectionAllowed="1" showAll="0"/>
    <pivotField showAll="0"/>
    <pivotField multipleItemSelectionAllowed="1" showAll="0"/>
    <pivotField multipleItemSelectionAllowed="1" showAll="0"/>
    <pivotField showAll="0" sortType="a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1"/>
        <item x="0"/>
        <item x="7"/>
        <item x="3"/>
        <item x="4"/>
        <item x="6"/>
        <item x="8"/>
        <item x="5"/>
        <item x="2"/>
        <item m="1" x="9"/>
        <item t="default"/>
      </items>
    </pivotField>
    <pivotField axis="axisPage" showAll="0">
      <items count="37">
        <item x="1"/>
        <item x="0"/>
        <item x="7"/>
        <item x="4"/>
        <item x="3"/>
        <item x="2"/>
        <item x="6"/>
        <item x="5"/>
        <item x="8"/>
        <item x="15"/>
        <item x="13"/>
        <item x="22"/>
        <item m="1" x="35"/>
        <item x="21"/>
        <item x="12"/>
        <item x="16"/>
        <item x="19"/>
        <item x="17"/>
        <item x="10"/>
        <item x="9"/>
        <item m="1" x="26"/>
        <item x="11"/>
        <item m="1" x="25"/>
        <item m="1" x="27"/>
        <item m="1" x="29"/>
        <item m="1" x="24"/>
        <item x="20"/>
        <item x="18"/>
        <item x="14"/>
        <item m="1" x="28"/>
        <item m="1" x="30"/>
        <item m="1" x="31"/>
        <item m="1" x="34"/>
        <item m="1" x="32"/>
        <item m="1" x="33"/>
        <item m="1" x="23"/>
        <item t="default"/>
      </items>
    </pivotField>
    <pivotField dataField="1"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2">
    <pageField fld="18" item="6" hier="-1"/>
    <pageField fld="19" hier="-1"/>
  </pageFields>
  <dataFields count="1">
    <dataField name="Zbir od Iznos Troška" fld="20" baseField="1" baseItem="378967920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37000000}" name="Izvedena tabela15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AK7:AO15" firstHeaderRow="0" firstDataRow="1" firstDataCol="1" rowPageCount="4" colPageCount="1"/>
  <pivotFields count="48">
    <pivotField showAll="0" defaultSubtotal="0"/>
    <pivotField numFmtId="14" showAll="0"/>
    <pivotField showAll="0"/>
    <pivotField axis="axisPage" multipleItemSelectionAllowed="1" showAll="0">
      <items count="8">
        <item x="1"/>
        <item h="1" x="0"/>
        <item h="1" x="2"/>
        <item h="1" x="4"/>
        <item h="1" x="5"/>
        <item h="1" x="3"/>
        <item h="1" m="1" x="6"/>
        <item t="default"/>
      </items>
    </pivotField>
    <pivotField axis="axisPage" showAll="0">
      <items count="7">
        <item x="3"/>
        <item x="2"/>
        <item x="1"/>
        <item x="0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multipleItemSelectionAllowed="1" showAll="0"/>
    <pivotField axis="axisPage" multipleItemSelectionAllowed="1" showAll="0">
      <items count="21">
        <item x="8"/>
        <item x="12"/>
        <item x="0"/>
        <item x="2"/>
        <item x="9"/>
        <item x="1"/>
        <item x="4"/>
        <item x="11"/>
        <item x="5"/>
        <item x="3"/>
        <item x="7"/>
        <item x="10"/>
        <item x="13"/>
        <item x="15"/>
        <item x="14"/>
        <item x="6"/>
        <item m="1" x="18"/>
        <item x="16"/>
        <item m="1" x="17"/>
        <item m="1" x="19"/>
        <item t="default"/>
      </items>
    </pivotField>
    <pivotField axis="axisRow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8">
    <i>
      <x v="2"/>
    </i>
    <i>
      <x v="7"/>
    </i>
    <i>
      <x v="13"/>
    </i>
    <i>
      <x v="26"/>
    </i>
    <i>
      <x v="30"/>
    </i>
    <i>
      <x v="40"/>
    </i>
    <i>
      <x v="5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4">
    <pageField fld="3" hier="-1"/>
    <pageField fld="7" hier="-1"/>
    <pageField fld="4" hier="-1"/>
    <pageField fld="5" item="1" hier="-1"/>
  </pageFields>
  <dataFields count="4">
    <dataField name="Zbir od Količina" fld="9" baseField="8" baseItem="0" numFmtId="4"/>
    <dataField name="Prosek od Marža" fld="12" subtotal="average" baseField="8" baseItem="41" numFmtId="4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26000000}" name="Izvedena tabela38" cacheId="0" applyNumberFormats="0" applyBorderFormats="0" applyFontFormats="0" applyPatternFormats="0" applyAlignmentFormats="0" applyWidthHeightFormats="1" dataCaption="Vrednosti" errorCaption="0" showError="1" missingCaption="0" updatedVersion="8" minRefreshableVersion="3" asteriskTotals="1" useAutoFormatting="1" itemPrintTitles="1" createdVersion="5" indent="0" outline="1" outlineData="1" multipleFieldFilters="0">
  <location ref="BM43:BP44" firstHeaderRow="0" firstDataRow="1" firstDataCol="0" rowPageCount="6" colPageCount="1"/>
  <pivotFields count="48">
    <pivotField showAll="0" defaultSubtotal="0"/>
    <pivotField numFmtId="14" showAll="0"/>
    <pivotField showAll="0"/>
    <pivotField axis="axisPage" multipleItemSelectionAllowed="1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multipleItemSelectionAllowed="1" showAll="0">
      <items count="7">
        <item x="0"/>
        <item x="3"/>
        <item x="1"/>
        <item x="2"/>
        <item x="5"/>
        <item x="4"/>
        <item t="default"/>
      </items>
    </pivotField>
    <pivotField axis="axisPage" multipleItemSelectionAllowed="1" showAll="0">
      <items count="63">
        <item h="1" x="0"/>
        <item h="1" x="2"/>
        <item h="1" x="1"/>
        <item h="1" x="3"/>
        <item h="1" x="8"/>
        <item h="1" x="4"/>
        <item h="1" x="6"/>
        <item h="1" x="5"/>
        <item h="1" x="7"/>
        <item h="1" m="1" x="50"/>
        <item x="13"/>
        <item h="1" m="1" x="22"/>
        <item h="1" m="1" x="51"/>
        <item h="1" m="1" x="45"/>
        <item h="1" m="1" x="29"/>
        <item h="1" m="1" x="23"/>
        <item h="1" m="1" x="59"/>
        <item h="1" m="1" x="58"/>
        <item h="1" m="1" x="38"/>
        <item h="1" m="1" x="56"/>
        <item h="1" m="1" x="35"/>
        <item h="1" m="1" x="52"/>
        <item h="1" m="1" x="27"/>
        <item h="1" m="1" x="54"/>
        <item h="1" m="1" x="44"/>
        <item h="1" m="1" x="41"/>
        <item h="1" m="1" x="46"/>
        <item h="1" m="1" x="61"/>
        <item h="1" m="1" x="43"/>
        <item h="1" m="1" x="57"/>
        <item h="1" m="1" x="47"/>
        <item h="1" m="1" x="55"/>
        <item h="1" m="1" x="49"/>
        <item h="1" m="1" x="53"/>
        <item h="1" m="1" x="60"/>
        <item h="1" m="1" x="42"/>
        <item h="1" m="1" x="20"/>
        <item h="1" m="1" x="48"/>
        <item h="1" x="9"/>
        <item h="1" x="10"/>
        <item h="1" m="1" x="34"/>
        <item h="1" x="12"/>
        <item h="1" m="1" x="19"/>
        <item h="1" m="1" x="16"/>
        <item h="1" m="1" x="36"/>
        <item h="1" m="1" x="37"/>
        <item h="1" m="1" x="39"/>
        <item h="1" m="1" x="15"/>
        <item h="1" m="1" x="40"/>
        <item h="1" m="1" x="14"/>
        <item h="1" x="11"/>
        <item h="1" m="1" x="18"/>
        <item h="1" m="1" x="17"/>
        <item h="1" m="1" x="21"/>
        <item h="1" m="1" x="24"/>
        <item h="1" m="1" x="25"/>
        <item h="1" m="1" x="26"/>
        <item h="1" m="1" x="28"/>
        <item h="1" m="1" x="30"/>
        <item h="1" m="1" x="31"/>
        <item h="1" m="1" x="32"/>
        <item h="1" m="1" x="33"/>
        <item t="default"/>
      </items>
    </pivotField>
    <pivotField axis="axisPage" multipleItemSelectionAllowed="1" showAll="0">
      <items count="7">
        <item x="1"/>
        <item x="2"/>
        <item x="0"/>
        <item x="3"/>
        <item h="1" x="4"/>
        <item h="1" x="5"/>
        <item t="default"/>
      </items>
    </pivotField>
    <pivotField axis="axisPage" multipleItemSelectionAllowed="1" showAll="0">
      <items count="21">
        <item x="8"/>
        <item x="12"/>
        <item x="0"/>
        <item x="2"/>
        <item x="9"/>
        <item x="1"/>
        <item x="4"/>
        <item x="11"/>
        <item x="5"/>
        <item x="3"/>
        <item x="7"/>
        <item x="10"/>
        <item x="13"/>
        <item x="15"/>
        <item x="14"/>
        <item x="6"/>
        <item m="1" x="18"/>
        <item x="16"/>
        <item m="1" x="17"/>
        <item m="1" x="19"/>
        <item t="default"/>
      </items>
    </pivotField>
    <pivotField axis="axisPage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dataField="1"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6">
    <pageField fld="6" hier="-1"/>
    <pageField fld="3" hier="-1"/>
    <pageField fld="7" hier="-1"/>
    <pageField fld="4" hier="-1"/>
    <pageField fld="8" hier="-1"/>
    <pageField fld="5" hier="-1"/>
  </pageFields>
  <dataFields count="4">
    <dataField name="Zbir od Količina" fld="9" baseField="8" baseItem="0" numFmtId="4"/>
    <dataField name="Prosek od Cena Din" fld="10" subtotal="average" baseField="8" baseItem="19" numFmtId="4"/>
    <dataField name="Zbir od Isplata" fld="15" baseField="0" baseItem="1" numFmtId="4"/>
    <dataField name="Sum of Vrednost za Isplatu" fld="33" baseField="0" baseItem="3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3E000000}" name="0" cacheId="0" applyNumberFormats="0" applyBorderFormats="0" applyFontFormats="0" applyPatternFormats="0" applyAlignmentFormats="0" applyWidthHeightFormats="1" dataCaption="Vrednosti" errorCaption="0" showError="1" missingCaption="0" updatedVersion="8" minRefreshableVersion="3" asteriskTotals="1" useAutoFormatting="1" itemPrintTitles="1" createdVersion="5" indent="0" outline="1" outlineData="1" multipleFieldFilters="0">
  <location ref="BJ45:BJ46" firstHeaderRow="1" firstDataRow="1" firstDataCol="0" rowPageCount="2" colPageCount="1"/>
  <pivotFields count="48">
    <pivotField showAll="0" defaultSubtotal="0"/>
    <pivotField numFmtId="14" showAll="0"/>
    <pivotField showAll="0"/>
    <pivotField showAll="0"/>
    <pivotField multipleItemSelectionAllowed="1" showAll="0"/>
    <pivotField showAll="0"/>
    <pivotField multipleItemSelectionAllowed="1" showAll="0"/>
    <pivotField multipleItemSelectionAllowed="1" showAll="0"/>
    <pivotField showAll="0" sortType="a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1"/>
        <item x="0"/>
        <item x="7"/>
        <item x="3"/>
        <item x="4"/>
        <item x="6"/>
        <item x="8"/>
        <item x="5"/>
        <item x="2"/>
        <item m="1" x="9"/>
        <item t="default"/>
      </items>
    </pivotField>
    <pivotField axis="axisPage" showAll="0">
      <items count="37">
        <item x="1"/>
        <item x="0"/>
        <item x="7"/>
        <item x="4"/>
        <item x="3"/>
        <item x="2"/>
        <item x="6"/>
        <item x="5"/>
        <item x="8"/>
        <item x="15"/>
        <item x="13"/>
        <item x="22"/>
        <item m="1" x="35"/>
        <item x="21"/>
        <item x="12"/>
        <item x="16"/>
        <item x="19"/>
        <item x="17"/>
        <item x="10"/>
        <item x="9"/>
        <item m="1" x="26"/>
        <item x="11"/>
        <item m="1" x="25"/>
        <item m="1" x="27"/>
        <item m="1" x="29"/>
        <item m="1" x="24"/>
        <item x="20"/>
        <item x="18"/>
        <item x="14"/>
        <item m="1" x="28"/>
        <item m="1" x="30"/>
        <item m="1" x="31"/>
        <item m="1" x="34"/>
        <item m="1" x="32"/>
        <item m="1" x="33"/>
        <item m="1" x="23"/>
        <item t="default"/>
      </items>
    </pivotField>
    <pivotField dataField="1"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2">
    <pageField fld="18" item="3" hier="-1"/>
    <pageField fld="19" hier="-1"/>
  </pageFields>
  <dataFields count="1">
    <dataField name="Zbir od Iznos Troška" fld="20" baseField="1" baseItem="378967920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2C000000}" name="Izvedena tabela10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Q43:V46" firstHeaderRow="0" firstDataRow="1" firstDataCol="1" rowPageCount="2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showAll="0"/>
    <pivotField showAll="0"/>
    <pivotField multipleItemSelectionAllowed="1" showAll="0"/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h="1" x="4"/>
        <item x="11"/>
        <item h="1" x="5"/>
        <item h="1" x="3"/>
        <item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Row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3">
    <i>
      <x v="38"/>
    </i>
    <i>
      <x v="3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2">
    <pageField fld="3" item="1" hier="-1"/>
    <pageField fld="7" hier="-1"/>
  </pageFields>
  <dataFields count="5">
    <dataField name="Zbir od Količina" fld="9" baseField="8" baseItem="0" numFmtId="4"/>
    <dataField name="Prosek od Cena EUR" fld="11" subtotal="average" baseField="8" baseItem="21" numFmtId="172"/>
    <dataField name="Zbir od Iznos EUR" fld="14" baseField="8" baseItem="20" numFmtId="172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38000000}" name="Izvedena tabela29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BJ15:BJ16" firstHeaderRow="1" firstDataRow="1" firstDataCol="0" rowPageCount="2" colPageCount="1"/>
  <pivotFields count="48">
    <pivotField showAll="0" defaultSubtotal="0"/>
    <pivotField numFmtId="14" showAll="0"/>
    <pivotField showAll="0"/>
    <pivotField showAll="0"/>
    <pivotField multipleItemSelectionAllowed="1" showAll="0"/>
    <pivotField showAll="0"/>
    <pivotField multipleItemSelectionAllowed="1" showAll="0"/>
    <pivotField multipleItemSelectionAllowed="1" showAll="0"/>
    <pivotField showAll="0" sortType="a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1"/>
        <item x="0"/>
        <item x="7"/>
        <item x="3"/>
        <item x="4"/>
        <item x="6"/>
        <item x="8"/>
        <item x="5"/>
        <item x="2"/>
        <item m="1" x="9"/>
        <item t="default"/>
      </items>
    </pivotField>
    <pivotField axis="axisPage" showAll="0">
      <items count="37">
        <item x="1"/>
        <item x="0"/>
        <item x="7"/>
        <item x="4"/>
        <item x="3"/>
        <item x="2"/>
        <item x="6"/>
        <item x="5"/>
        <item x="8"/>
        <item x="15"/>
        <item x="13"/>
        <item x="22"/>
        <item m="1" x="35"/>
        <item x="21"/>
        <item x="12"/>
        <item x="16"/>
        <item x="19"/>
        <item x="17"/>
        <item x="10"/>
        <item x="9"/>
        <item m="1" x="26"/>
        <item x="11"/>
        <item m="1" x="25"/>
        <item m="1" x="27"/>
        <item m="1" x="29"/>
        <item m="1" x="24"/>
        <item x="20"/>
        <item x="18"/>
        <item x="14"/>
        <item m="1" x="28"/>
        <item m="1" x="30"/>
        <item m="1" x="31"/>
        <item m="1" x="34"/>
        <item m="1" x="32"/>
        <item m="1" x="33"/>
        <item m="1" x="23"/>
        <item t="default"/>
      </items>
    </pivotField>
    <pivotField dataField="1"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2">
    <pageField fld="18" item="2" hier="-1"/>
    <pageField fld="19" hier="-1"/>
  </pageFields>
  <dataFields count="1">
    <dataField name="Zbir od Iznos Troška" fld="20" baseField="1" baseItem="378967920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27000000}" name="Izvedena tabela1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Q75:V78" firstHeaderRow="0" firstDataRow="1" firstDataCol="1" rowPageCount="2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showAll="0"/>
    <pivotField showAll="0"/>
    <pivotField multipleItemSelectionAllowed="1" showAll="0"/>
    <pivotField axis="axisPage" multipleItemSelectionAllowed="1" showAll="0">
      <items count="21">
        <item h="1" x="8"/>
        <item h="1" x="12"/>
        <item x="0"/>
        <item x="2"/>
        <item h="1" x="9"/>
        <item h="1" x="1"/>
        <item h="1" x="4"/>
        <item h="1" x="11"/>
        <item x="5"/>
        <item h="1" x="3"/>
        <item h="1" x="7"/>
        <item h="1"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Row" showAll="0" sortType="ascending">
      <items count="66">
        <item h="1" x="12"/>
        <item h="1" x="27"/>
        <item h="1" x="26"/>
        <item h="1" x="54"/>
        <item h="1" x="55"/>
        <item h="1" m="1" x="64"/>
        <item h="1" m="1" x="61"/>
        <item h="1" x="48"/>
        <item h="1" x="32"/>
        <item h="1" x="31"/>
        <item h="1" x="20"/>
        <item x="52"/>
        <item h="1" x="18"/>
        <item h="1" x="17"/>
        <item h="1" x="44"/>
        <item x="46"/>
        <item x="45"/>
        <item h="1" x="19"/>
        <item h="1" x="51"/>
        <item h="1" x="0"/>
        <item x="57"/>
        <item h="1" m="1" x="63"/>
        <item h="1" m="1" x="62"/>
        <item h="1" x="50"/>
        <item h="1" x="16"/>
        <item h="1" x="15"/>
        <item h="1" x="13"/>
        <item h="1" x="14"/>
        <item h="1" x="49"/>
        <item h="1" m="1" x="60"/>
        <item h="1" x="47"/>
        <item h="1" x="53"/>
        <item h="1" x="21"/>
        <item h="1" x="30"/>
        <item h="1" x="29"/>
        <item h="1" x="22"/>
        <item h="1" x="23"/>
        <item h="1" x="6"/>
        <item h="1" x="28"/>
        <item h="1" x="25"/>
        <item h="1" x="24"/>
        <item h="1" x="43"/>
        <item h="1" x="40"/>
        <item h="1" x="34"/>
        <item h="1" x="35"/>
        <item h="1" x="7"/>
        <item h="1" x="39"/>
        <item h="1" x="5"/>
        <item h="1" x="3"/>
        <item h="1" x="36"/>
        <item h="1" x="37"/>
        <item h="1" x="38"/>
        <item h="1" x="41"/>
        <item h="1" x="2"/>
        <item h="1" x="4"/>
        <item h="1" x="42"/>
        <item h="1" x="1"/>
        <item h="1" x="33"/>
        <item h="1" x="10"/>
        <item h="1" x="8"/>
        <item h="1" x="9"/>
        <item h="1" x="58"/>
        <item h="1" x="59"/>
        <item h="1" x="11"/>
        <item h="1" x="56"/>
        <item t="default"/>
      </items>
    </pivotField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3">
    <i>
      <x v="11"/>
    </i>
    <i>
      <x v="2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2">
    <pageField fld="3" item="1" hier="-1"/>
    <pageField fld="7" hier="-1"/>
  </pageFields>
  <dataFields count="5">
    <dataField name="Zbir od Količina" fld="9" baseField="8" baseItem="0" numFmtId="4"/>
    <dataField name="Prosek od Cena EUR" fld="11" subtotal="average" baseField="8" baseItem="21" numFmtId="172"/>
    <dataField name="Zbir od Iznos EUR" fld="14" baseField="8" baseItem="20" numFmtId="172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2F000000}" name="Izvedena tabela2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AQ8:AT71" firstHeaderRow="0" firstDataRow="1" firstDataCol="1" rowPageCount="4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showAll="0">
      <items count="7">
        <item x="0"/>
        <item x="3"/>
        <item x="1"/>
        <item x="2"/>
        <item x="5"/>
        <item x="4"/>
        <item t="default"/>
      </items>
    </pivotField>
    <pivotField axis="axisRow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h="1" x="2"/>
        <item x="0"/>
        <item h="1" x="3"/>
        <item x="4"/>
        <item h="1" x="5"/>
        <item t="default"/>
      </items>
    </pivotField>
    <pivotField axis="axisPage" multipleItemSelectionAllowed="1" showAll="0">
      <items count="21">
        <item x="8"/>
        <item x="12"/>
        <item x="0"/>
        <item x="2"/>
        <item x="9"/>
        <item x="1"/>
        <item x="4"/>
        <item x="11"/>
        <item x="5"/>
        <item x="3"/>
        <item x="7"/>
        <item x="10"/>
        <item x="13"/>
        <item x="15"/>
        <item x="14"/>
        <item h="1" x="6"/>
        <item h="1" m="1" x="18"/>
        <item h="1" x="16"/>
        <item h="1" m="1" x="17"/>
        <item h="1" m="1" x="19"/>
        <item t="default"/>
      </items>
    </pivotField>
    <pivotField axis="axisRow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8"/>
    <field x="5"/>
  </rowFields>
  <rowItems count="63">
    <i>
      <x v="1"/>
    </i>
    <i r="1">
      <x v="2"/>
    </i>
    <i r="1">
      <x v="7"/>
    </i>
    <i>
      <x v="2"/>
    </i>
    <i r="1">
      <x v="1"/>
    </i>
    <i r="1">
      <x v="2"/>
    </i>
    <i r="1">
      <x v="7"/>
    </i>
    <i>
      <x v="7"/>
    </i>
    <i r="1">
      <x v="1"/>
    </i>
    <i r="1">
      <x v="2"/>
    </i>
    <i r="1">
      <x v="7"/>
    </i>
    <i>
      <x v="10"/>
    </i>
    <i r="1">
      <x v="2"/>
    </i>
    <i r="1">
      <x v="7"/>
    </i>
    <i>
      <x v="12"/>
    </i>
    <i r="1">
      <x v="2"/>
    </i>
    <i>
      <x v="13"/>
    </i>
    <i r="1">
      <x v="1"/>
    </i>
    <i r="1">
      <x v="2"/>
    </i>
    <i r="1">
      <x v="7"/>
    </i>
    <i>
      <x v="14"/>
    </i>
    <i r="1">
      <x v="7"/>
    </i>
    <i>
      <x v="15"/>
    </i>
    <i r="1">
      <x v="7"/>
    </i>
    <i>
      <x v="16"/>
    </i>
    <i r="1">
      <x v="7"/>
    </i>
    <i r="1">
      <x v="8"/>
    </i>
    <i>
      <x v="17"/>
    </i>
    <i r="1">
      <x v="2"/>
    </i>
    <i r="1">
      <x v="7"/>
    </i>
    <i>
      <x v="24"/>
    </i>
    <i r="1">
      <x v="2"/>
    </i>
    <i r="1">
      <x v="7"/>
    </i>
    <i>
      <x v="25"/>
    </i>
    <i r="1">
      <x v="2"/>
    </i>
    <i r="1">
      <x v="7"/>
    </i>
    <i>
      <x v="26"/>
    </i>
    <i r="1">
      <x v="1"/>
    </i>
    <i r="1">
      <x v="2"/>
    </i>
    <i r="1">
      <x v="7"/>
    </i>
    <i>
      <x v="27"/>
    </i>
    <i r="1">
      <x v="2"/>
    </i>
    <i r="1">
      <x v="7"/>
    </i>
    <i>
      <x v="30"/>
    </i>
    <i r="1">
      <x v="1"/>
    </i>
    <i r="1">
      <x v="2"/>
    </i>
    <i r="1">
      <x v="7"/>
    </i>
    <i>
      <x v="32"/>
    </i>
    <i r="1">
      <x v="2"/>
    </i>
    <i>
      <x v="35"/>
    </i>
    <i r="1">
      <x v="2"/>
    </i>
    <i>
      <x v="36"/>
    </i>
    <i r="1">
      <x v="2"/>
    </i>
    <i>
      <x v="37"/>
    </i>
    <i r="1">
      <x v="2"/>
    </i>
    <i>
      <x v="39"/>
    </i>
    <i r="1">
      <x v="2"/>
    </i>
    <i r="1">
      <x v="7"/>
    </i>
    <i>
      <x v="40"/>
    </i>
    <i r="1">
      <x v="1"/>
    </i>
    <i r="1">
      <x v="2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6" hier="-1"/>
    <pageField fld="3" item="0" hier="-1"/>
    <pageField fld="7" hier="-1"/>
    <pageField fld="4" hier="-1"/>
  </pageFields>
  <dataFields count="3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16000000}" name="Izvedena tabela9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Q31:V37" firstHeaderRow="0" firstDataRow="1" firstDataCol="1" rowPageCount="2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showAll="0"/>
    <pivotField showAll="0"/>
    <pivotField multipleItemSelectionAllowed="1" showAll="0"/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x="4"/>
        <item h="1" x="11"/>
        <item h="1" x="5"/>
        <item h="1" x="3"/>
        <item h="1" x="7"/>
        <item x="10"/>
        <item h="1"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Row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6">
    <i>
      <x v="31"/>
    </i>
    <i>
      <x v="32"/>
    </i>
    <i>
      <x v="33"/>
    </i>
    <i>
      <x v="34"/>
    </i>
    <i>
      <x v="3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2">
    <pageField fld="3" item="1" hier="-1"/>
    <pageField fld="7" hier="-1"/>
  </pageFields>
  <dataFields count="5">
    <dataField name="Zbir od Količina" fld="9" baseField="8" baseItem="0" numFmtId="4"/>
    <dataField name="Prosek od Cena EUR" fld="11" subtotal="average" baseField="8" baseItem="21" numFmtId="172"/>
    <dataField name="Zbir od Iznos EUR" fld="14" baseField="8" baseItem="20" numFmtId="172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14000000}" name="Izvedena tabela20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AV62:AX63" firstHeaderRow="0" firstDataRow="1" firstDataCol="0" rowPageCount="6" colPageCount="1"/>
  <pivotFields count="48">
    <pivotField showAll="0" defaultSubtotal="0"/>
    <pivotField numFmtId="14" showAll="0"/>
    <pivotField showAll="0"/>
    <pivotField axis="axisPage" showAll="0">
      <items count="8">
        <item x="1"/>
        <item x="0"/>
        <item x="2"/>
        <item x="4"/>
        <item x="5"/>
        <item x="3"/>
        <item m="1" x="6"/>
        <item t="default"/>
      </items>
    </pivotField>
    <pivotField axis="axisPage" showAll="0">
      <items count="7">
        <item x="0"/>
        <item x="3"/>
        <item x="1"/>
        <item x="2"/>
        <item x="5"/>
        <item x="4"/>
        <item t="default"/>
      </items>
    </pivotField>
    <pivotField axis="axisPage" showAll="0">
      <items count="63">
        <item x="0"/>
        <item x="2"/>
        <item x="1"/>
        <item x="3"/>
        <item x="8"/>
        <item x="4"/>
        <item x="6"/>
        <item x="5"/>
        <item x="7"/>
        <item m="1" x="50"/>
        <item x="13"/>
        <item m="1" x="22"/>
        <item m="1" x="51"/>
        <item m="1" x="45"/>
        <item m="1" x="29"/>
        <item m="1" x="23"/>
        <item m="1" x="59"/>
        <item m="1" x="58"/>
        <item m="1" x="38"/>
        <item m="1" x="56"/>
        <item m="1" x="35"/>
        <item m="1" x="52"/>
        <item m="1" x="27"/>
        <item m="1" x="54"/>
        <item m="1" x="44"/>
        <item m="1" x="41"/>
        <item m="1" x="46"/>
        <item m="1" x="61"/>
        <item m="1" x="43"/>
        <item m="1" x="57"/>
        <item m="1" x="47"/>
        <item m="1" x="55"/>
        <item m="1" x="49"/>
        <item m="1" x="53"/>
        <item m="1" x="60"/>
        <item m="1" x="42"/>
        <item m="1" x="20"/>
        <item m="1" x="48"/>
        <item x="9"/>
        <item x="10"/>
        <item m="1" x="34"/>
        <item x="12"/>
        <item m="1" x="19"/>
        <item m="1" x="16"/>
        <item m="1" x="36"/>
        <item m="1" x="37"/>
        <item m="1" x="39"/>
        <item m="1" x="15"/>
        <item m="1" x="40"/>
        <item m="1" x="14"/>
        <item x="11"/>
        <item m="1" x="18"/>
        <item m="1" x="17"/>
        <item m="1" x="21"/>
        <item m="1" x="24"/>
        <item m="1" x="25"/>
        <item m="1" x="26"/>
        <item m="1" x="28"/>
        <item m="1" x="30"/>
        <item m="1" x="31"/>
        <item m="1" x="32"/>
        <item m="1" x="33"/>
        <item t="default"/>
      </items>
    </pivotField>
    <pivotField axis="axisPage" multipleItemSelectionAllowed="1" showAll="0">
      <items count="7">
        <item h="1" x="1"/>
        <item h="1" x="2"/>
        <item x="0"/>
        <item h="1" x="3"/>
        <item x="4"/>
        <item h="1" x="5"/>
        <item t="default"/>
      </items>
    </pivotField>
    <pivotField axis="axisPage" multipleItemSelectionAllowed="1" showAll="0">
      <items count="21">
        <item h="1" x="8"/>
        <item h="1" x="12"/>
        <item h="1" x="0"/>
        <item h="1" x="2"/>
        <item h="1" x="9"/>
        <item h="1" x="1"/>
        <item h="1" x="4"/>
        <item h="1" x="11"/>
        <item h="1" x="5"/>
        <item h="1" x="3"/>
        <item h="1" x="7"/>
        <item h="1" x="10"/>
        <item x="13"/>
        <item h="1" x="15"/>
        <item h="1" x="14"/>
        <item h="1" x="6"/>
        <item h="1" m="1" x="18"/>
        <item h="1" x="16"/>
        <item h="1" m="1" x="17"/>
        <item h="1" m="1" x="19"/>
        <item t="default"/>
      </items>
    </pivotField>
    <pivotField axis="axisPage" multipleItemSelectionAllowed="1" showAll="0" sortType="ascending">
      <items count="66">
        <item x="12"/>
        <item x="27"/>
        <item x="26"/>
        <item x="54"/>
        <item x="55"/>
        <item m="1" x="64"/>
        <item m="1" x="61"/>
        <item x="48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57"/>
        <item m="1" x="63"/>
        <item m="1" x="62"/>
        <item x="50"/>
        <item x="16"/>
        <item x="15"/>
        <item x="13"/>
        <item x="14"/>
        <item x="49"/>
        <item m="1" x="60"/>
        <item x="47"/>
        <item x="53"/>
        <item x="21"/>
        <item x="30"/>
        <item x="29"/>
        <item x="22"/>
        <item x="23"/>
        <item x="6"/>
        <item x="28"/>
        <item x="25"/>
        <item x="24"/>
        <item x="43"/>
        <item x="40"/>
        <item x="34"/>
        <item x="35"/>
        <item x="7"/>
        <item x="39"/>
        <item x="5"/>
        <item x="3"/>
        <item x="36"/>
        <item x="37"/>
        <item x="38"/>
        <item x="41"/>
        <item x="2"/>
        <item x="4"/>
        <item x="42"/>
        <item x="1"/>
        <item x="33"/>
        <item x="10"/>
        <item x="8"/>
        <item x="9"/>
        <item x="58"/>
        <item x="59"/>
        <item x="11"/>
        <item x="56"/>
        <item t="default"/>
      </items>
    </pivotField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6">
    <pageField fld="6" hier="-1"/>
    <pageField fld="3" item="0" hier="-1"/>
    <pageField fld="7" hier="-1"/>
    <pageField fld="4" item="3" hier="-1"/>
    <pageField fld="8" hier="-1"/>
    <pageField fld="5" hier="-1"/>
  </pageFields>
  <dataFields count="3">
    <dataField name="Zbir od Količina" fld="9" baseField="8" baseItem="0" numFmtId="4"/>
    <dataField name="Prosek od Cena Din" fld="10" subtotal="average" baseField="8" baseItem="19" numFmtId="4"/>
    <dataField name="Zbir od Iznos Din" fld="13" baseField="8" baseItem="16" numFmtId="4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1D000000}" name="Izvedena tabela6" cacheId="0" applyNumberFormats="0" applyBorderFormats="0" applyFontFormats="0" applyPatternFormats="0" applyAlignmentFormats="0" applyWidthHeightFormats="1" dataCaption="Vrednosti" updatedVersion="8" minRefreshableVersion="3" asteriskTotals="1" useAutoFormatting="1" itemPrintTitles="1" createdVersion="5" indent="0" outline="1" outlineData="1" multipleFieldFilters="0">
  <location ref="L3:M56" firstHeaderRow="1" firstDataRow="1" firstDataCol="1"/>
  <pivotFields count="48">
    <pivotField showAll="0" defaultSubtotal="0"/>
    <pivotField numFmtId="14" showAll="0"/>
    <pivotField showAll="0"/>
    <pivotField showAll="0"/>
    <pivotField showAll="0"/>
    <pivotField showAll="0"/>
    <pivotField showAll="0"/>
    <pivotField axis="axisRow" showAll="0">
      <items count="21">
        <item x="8"/>
        <item x="12"/>
        <item x="0"/>
        <item sd="0" x="2"/>
        <item sd="0" x="9"/>
        <item sd="0" x="1"/>
        <item sd="0" x="4"/>
        <item sd="0" x="11"/>
        <item sd="0" x="5"/>
        <item sd="0" x="3"/>
        <item sd="0" x="7"/>
        <item x="10"/>
        <item x="13"/>
        <item x="15"/>
        <item x="14"/>
        <item x="6"/>
        <item m="1" x="18"/>
        <item x="16"/>
        <item m="1" x="17"/>
        <item m="1" x="19"/>
        <item t="default"/>
      </items>
    </pivotField>
    <pivotField axis="axisRow" showAll="0">
      <items count="66">
        <item x="12"/>
        <item x="27"/>
        <item x="26"/>
        <item x="55"/>
        <item x="32"/>
        <item x="31"/>
        <item x="20"/>
        <item x="52"/>
        <item x="18"/>
        <item x="17"/>
        <item x="44"/>
        <item x="46"/>
        <item x="45"/>
        <item x="19"/>
        <item x="51"/>
        <item x="0"/>
        <item x="15"/>
        <item x="13"/>
        <item x="14"/>
        <item x="49"/>
        <item x="53"/>
        <item x="21"/>
        <item x="30"/>
        <item x="29"/>
        <item x="22"/>
        <item x="23"/>
        <item x="6"/>
        <item x="28"/>
        <item x="25"/>
        <item x="24"/>
        <item x="7"/>
        <item x="5"/>
        <item x="3"/>
        <item x="2"/>
        <item x="4"/>
        <item x="1"/>
        <item x="33"/>
        <item x="10"/>
        <item x="8"/>
        <item x="9"/>
        <item x="54"/>
        <item x="48"/>
        <item x="37"/>
        <item x="43"/>
        <item x="40"/>
        <item x="36"/>
        <item x="56"/>
        <item x="41"/>
        <item x="38"/>
        <item x="39"/>
        <item x="16"/>
        <item x="50"/>
        <item x="34"/>
        <item x="11"/>
        <item x="47"/>
        <item x="35"/>
        <item x="42"/>
        <item x="57"/>
        <item m="1" x="61"/>
        <item x="59"/>
        <item x="58"/>
        <item m="1" x="64"/>
        <item m="1" x="60"/>
        <item m="1" x="62"/>
        <item m="1" x="6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numFmtId="4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7"/>
    <field x="8"/>
  </rowFields>
  <rowItems count="53">
    <i>
      <x/>
    </i>
    <i r="1">
      <x/>
    </i>
    <i>
      <x v="1"/>
    </i>
    <i r="1">
      <x v="1"/>
    </i>
    <i r="1">
      <x v="2"/>
    </i>
    <i r="1">
      <x v="3"/>
    </i>
    <i r="1">
      <x v="40"/>
    </i>
    <i>
      <x v="2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57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54"/>
    </i>
    <i>
      <x v="12"/>
    </i>
    <i r="1">
      <x v="4"/>
    </i>
    <i r="1">
      <x v="5"/>
    </i>
    <i r="1">
      <x v="41"/>
    </i>
    <i>
      <x v="13"/>
    </i>
    <i r="1">
      <x v="46"/>
    </i>
    <i>
      <x v="14"/>
    </i>
    <i r="1">
      <x v="4"/>
    </i>
    <i r="1">
      <x v="43"/>
    </i>
    <i>
      <x v="15"/>
    </i>
    <i r="1">
      <x v="37"/>
    </i>
    <i r="1">
      <x v="38"/>
    </i>
    <i r="1">
      <x v="39"/>
    </i>
    <i>
      <x v="17"/>
    </i>
    <i r="1">
      <x v="59"/>
    </i>
    <i r="1">
      <x v="60"/>
    </i>
    <i t="grand">
      <x/>
    </i>
  </rowItems>
  <colItems count="1">
    <i/>
  </colItems>
  <dataFields count="1">
    <dataField name="Zbir od Iznos Din" fld="13" baseField="7" baseItem="0" numFmtId="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rednjiKurs.faces?lang=cir" connectionId="2" xr16:uid="{00000000-0016-0000-04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bracunOtkupa_1" backgroundRefresh="0" connectionId="4" xr16:uid="{00000000-0016-0000-0A00-000001000000}" autoFormatId="16" applyNumberFormats="0" applyBorderFormats="0" applyFontFormats="0" applyPatternFormats="0" applyAlignmentFormats="0" applyWidthHeightFormats="0">
  <queryTableRefresh nextId="7">
    <queryTableFields count="6">
      <queryTableField id="1" name="Dobavljač" tableColumnId="1"/>
      <queryTableField id="2" name="Nabavna vrednost" tableColumnId="2"/>
      <queryTableField id="3" name="Vrednost robe" tableColumnId="3"/>
      <queryTableField id="4" name="Isplata" tableColumnId="4"/>
      <queryTableField id="5" name="Stanje roba" tableColumnId="5"/>
      <queryTableField id="6" name="Stanje ukupno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F00-000002000000}" autoFormatId="16" applyNumberFormats="0" applyBorderFormats="0" applyFontFormats="0" applyPatternFormats="0" applyAlignmentFormats="0" applyWidthHeightFormats="0">
  <queryTableRefresh nextId="44">
    <queryTableFields count="43">
      <queryTableField id="1" name="š" tableColumnId="1"/>
      <queryTableField id="2" name="Datum" tableColumnId="2"/>
      <queryTableField id="3" name="Lokacija" tableColumnId="3"/>
      <queryTableField id="4" name="Tip Prometa" tableColumnId="4"/>
      <queryTableField id="5" name="Tip Komintenta" tableColumnId="5"/>
      <queryTableField id="6" name="Komintent" tableColumnId="6"/>
      <queryTableField id="7" name="Kat.Proizvoda" tableColumnId="7"/>
      <queryTableField id="8" name="Vr.Proizvoda" tableColumnId="8"/>
      <queryTableField id="9" name="Proizvod" tableColumnId="9"/>
      <queryTableField id="10" name="Količina" tableColumnId="10"/>
      <queryTableField id="11" name="Cena Din" tableColumnId="11"/>
      <queryTableField id="12" name="Cena EUR" tableColumnId="12"/>
      <queryTableField id="13" name="Marža" tableColumnId="13"/>
      <queryTableField id="14" name="Iznos Din" tableColumnId="14"/>
      <queryTableField id="15" name="Iznos EUR" tableColumnId="15"/>
      <queryTableField id="16" name="Isplata" tableColumnId="16"/>
      <queryTableField id="17" name="Ugovor Br" tableColumnId="17"/>
      <queryTableField id="18" name="Org. celina" tableColumnId="18"/>
      <queryTableField id="19" name="Grupa Troška" tableColumnId="19"/>
      <queryTableField id="20" name="Trošak" tableColumnId="20"/>
      <queryTableField id="21" name="Iznos Troška" tableColumnId="21"/>
      <queryTableField id="22" name="Uplata Din" tableColumnId="22"/>
      <queryTableField id="23" name="Uplate EUR" tableColumnId="23"/>
      <queryTableField id="24" name="Malina" tableColumnId="24"/>
      <queryTableField id="25" name="Kupina" tableColumnId="25"/>
      <queryTableField id="26" name="Šljiva" tableColumnId="26"/>
      <queryTableField id="27" name="Višnja" tableColumnId="27"/>
      <queryTableField id="28" name="Kajsija" tableColumnId="28"/>
      <queryTableField id="29" name="Borovnica" tableColumnId="29"/>
      <queryTableField id="30" name="Kupina Sl" tableColumnId="30"/>
      <queryTableField id="31" name="PDV Po Kg" tableColumnId="31"/>
      <queryTableField id="32" name="Cena bez PDV" tableColumnId="32"/>
      <queryTableField id="33" name="Vrednost bez PDV" tableColumnId="33"/>
      <queryTableField id="34" name="Vrednost za Isplatu" tableColumnId="34"/>
      <queryTableField id="35" name="Cena Koštanja Nabavka" tableColumnId="35"/>
      <queryTableField id="36" name="Obračunska Vrednost" tableColumnId="36"/>
      <queryTableField id="37" name="Vrednost Global Gap" tableColumnId="37"/>
      <queryTableField id="38" name="Vr.Doca Global gap" tableColumnId="38"/>
      <queryTableField id="39" name="Dobavljač Fakturna" tableColumnId="39"/>
      <queryTableField id="40" name="Otkup Isplata" tableColumnId="40"/>
      <queryTableField id="41" name="Nabavka Preduzeća" tableColumnId="41"/>
      <queryTableField id="42" name="Ukupna Marža" tableColumnId="42"/>
      <queryTableField id="43" name="Ugovorena Količina" tableColumnId="43"/>
    </queryTableFields>
  </queryTableRefresh>
  <extLst>
    <ext xmlns:x15="http://schemas.microsoft.com/office/spreadsheetml/2010/11/main" uri="{883FBD77-0823-4a55-B5E3-86C4891E6966}">
      <x15:queryTable sourceDataName="Query - Baza"/>
    </ext>
  </extLst>
</queryTable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00000000}" name="Tabela38" displayName="Tabela38" ref="A1:B8" totalsRowShown="0">
  <autoFilter ref="A1:B8" xr:uid="{00000000-0009-0000-0100-000025000000}"/>
  <tableColumns count="2">
    <tableColumn id="1" xr3:uid="{00000000-0010-0000-0000-000001000000}" name="r.b"/>
    <tableColumn id="2" xr3:uid="{00000000-0010-0000-0000-000002000000}" name="Sadržaj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35" displayName="Tabela35" ref="F1:I15" totalsRowCount="1">
  <autoFilter ref="F1:I14" xr:uid="{00000000-0009-0000-0100-000003000000}"/>
  <tableColumns count="4">
    <tableColumn id="1" xr3:uid="{00000000-0010-0000-0100-000001000000}" name="Vrsta Robe" totalsRowLabel="Zbir" dataDxfId="480"/>
    <tableColumn id="2" xr3:uid="{00000000-0010-0000-0100-000002000000}" name="Količina" totalsRowFunction="sum" dataDxfId="479" totalsRowDxfId="478"/>
    <tableColumn id="3" xr3:uid="{00000000-0010-0000-0100-000003000000}" name="Trošak po kg " totalsRowFunction="custom" dataDxfId="477" totalsRowDxfId="476">
      <totalsRowFormula>Tabela35[[#Totals],[Iznos]]/Tabela35[[#Totals],[Količina]]</totalsRowFormula>
    </tableColumn>
    <tableColumn id="4" xr3:uid="{00000000-0010-0000-0100-000004000000}" name="Iznos" totalsRowFunction="sum" dataDxfId="475" totalsRowDxfId="474">
      <calculatedColumnFormula>Tabela35[[#This Row],[Trošak po kg ]]*Tabela35[[#This Row],[Količina]]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ela27" displayName="Tabela27" ref="A2:B18" totalsRowShown="0" headerRowDxfId="473">
  <autoFilter ref="A2:B18" xr:uid="{00000000-0009-0000-0100-000005000000}"/>
  <tableColumns count="2">
    <tableColumn id="1" xr3:uid="{00000000-0010-0000-0200-000001000000}" name="Malina Sveža" dataDxfId="472"/>
    <tableColumn id="2" xr3:uid="{00000000-0010-0000-0200-000002000000}" name="Cene" dataDxfId="47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ela2727" displayName="Tabela2727" ref="A22:B37" totalsRowShown="0" headerRowDxfId="470">
  <autoFilter ref="A22:B37" xr:uid="{00000000-0009-0000-0100-000006000000}"/>
  <tableColumns count="2">
    <tableColumn id="1" xr3:uid="{00000000-0010-0000-0300-000001000000}" name="Malina Zamrznuta" dataDxfId="469"/>
    <tableColumn id="2" xr3:uid="{00000000-0010-0000-0300-000002000000}" name="Cene" dataDxfId="46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abela28" displayName="Tabela28" ref="D2:E18" totalsRowShown="0" headerRowDxfId="467">
  <autoFilter ref="D2:E18" xr:uid="{00000000-0009-0000-0100-000007000000}"/>
  <tableColumns count="2">
    <tableColumn id="1" xr3:uid="{00000000-0010-0000-0400-000001000000}" name="Kupina Sveža" dataDxfId="466"/>
    <tableColumn id="2" xr3:uid="{00000000-0010-0000-0400-000002000000}" name="Cene" dataDxfId="46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ela2829" displayName="Tabela2829" ref="D22:E37" totalsRowShown="0" headerRowDxfId="464">
  <autoFilter ref="D22:E37" xr:uid="{00000000-0009-0000-0100-000008000000}"/>
  <tableColumns count="2">
    <tableColumn id="1" xr3:uid="{00000000-0010-0000-0500-000001000000}" name="Kupina Zamrznuta" dataDxfId="463"/>
    <tableColumn id="2" xr3:uid="{00000000-0010-0000-0500-000002000000}" name="Cene" dataDxfId="46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ela29" displayName="Tabela29" ref="G2:H10" totalsRowShown="0" headerRowDxfId="461">
  <autoFilter ref="G2:H10" xr:uid="{00000000-0009-0000-0100-000009000000}"/>
  <tableColumns count="2">
    <tableColumn id="1" xr3:uid="{00000000-0010-0000-0600-000001000000}" name="Višnja Sveža" dataDxfId="460"/>
    <tableColumn id="2" xr3:uid="{00000000-0010-0000-0600-000002000000}" name="Cene" dataDxfId="45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Tabela2931" displayName="Tabela2931" ref="G22:H29" totalsRowShown="0" headerRowDxfId="458">
  <autoFilter ref="G22:H29" xr:uid="{00000000-0009-0000-0100-00000A000000}"/>
  <tableColumns count="2">
    <tableColumn id="1" xr3:uid="{00000000-0010-0000-0700-000001000000}" name="Višnja Zamrznuta" dataDxfId="457"/>
    <tableColumn id="2" xr3:uid="{00000000-0010-0000-0700-000002000000}" name="Cene" dataDxfId="45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abela31" displayName="Tabela31" ref="J2:K19" totalsRowShown="0" headerRowDxfId="455">
  <autoFilter ref="J2:K19" xr:uid="{00000000-0009-0000-0100-00000B000000}"/>
  <tableColumns count="2">
    <tableColumn id="1" xr3:uid="{00000000-0010-0000-0800-000001000000}" name="Šljiva Sveža" dataDxfId="454"/>
    <tableColumn id="2" xr3:uid="{00000000-0010-0000-0800-000002000000}" name="Cene" dataDxfId="45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Tabela3133" displayName="Tabela3133" ref="J22:K38" totalsRowShown="0" headerRowDxfId="452">
  <autoFilter ref="J22:K38" xr:uid="{00000000-0009-0000-0100-00000C000000}"/>
  <tableColumns count="2">
    <tableColumn id="1" xr3:uid="{00000000-0010-0000-0900-000001000000}" name="Šljiva Zamrznuta" dataDxfId="451"/>
    <tableColumn id="2" xr3:uid="{00000000-0010-0000-0900-000002000000}" name="Cene" dataDxfId="45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Tabela33" displayName="Tabela33" ref="M2:N10" totalsRowShown="0" headerRowDxfId="449">
  <autoFilter ref="M2:N10" xr:uid="{00000000-0009-0000-0100-00000D000000}"/>
  <tableColumns count="2">
    <tableColumn id="1" xr3:uid="{00000000-0010-0000-0A00-000001000000}" name="Borovnica Sveža" dataDxfId="448"/>
    <tableColumn id="2" xr3:uid="{00000000-0010-0000-0A00-000002000000}" name="Cene" dataDxfId="44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abela3335" displayName="Tabela3335" ref="M22:N29" totalsRowShown="0" headerRowDxfId="446">
  <autoFilter ref="M22:N29" xr:uid="{00000000-0009-0000-0100-00000E000000}"/>
  <tableColumns count="2">
    <tableColumn id="1" xr3:uid="{00000000-0010-0000-0B00-000001000000}" name="Borovnica Zamrznuta" dataDxfId="445"/>
    <tableColumn id="2" xr3:uid="{00000000-0010-0000-0B00-000002000000}" name="Cene" dataDxfId="44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Tabela3110" displayName="Tabela3110" ref="P2:Q19" totalsRowShown="0" headerRowDxfId="443">
  <autoFilter ref="P2:Q19" xr:uid="{00000000-0009-0000-0100-00000F000000}"/>
  <tableColumns count="2">
    <tableColumn id="1" xr3:uid="{00000000-0010-0000-0C00-000001000000}" name="Kajsija Sveža" dataDxfId="442"/>
    <tableColumn id="2" xr3:uid="{00000000-0010-0000-0C00-000002000000}" name="Cene" dataDxfId="44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Tabela313313" displayName="Tabela313313" ref="P22:Q38" totalsRowShown="0" headerRowDxfId="440">
  <autoFilter ref="P22:Q38" xr:uid="{00000000-0009-0000-0100-000010000000}"/>
  <tableColumns count="2">
    <tableColumn id="1" xr3:uid="{00000000-0010-0000-0D00-000001000000}" name="Kajsija Zamrznuta" dataDxfId="439"/>
    <tableColumn id="2" xr3:uid="{00000000-0010-0000-0D00-000002000000}" name="Cene" dataDxfId="43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E000000}" name="Tabela27273" displayName="Tabela27273" ref="A44:B59" totalsRowShown="0" headerRowDxfId="437">
  <autoFilter ref="A44:B59" xr:uid="{00000000-0009-0000-0100-000002000000}"/>
  <tableColumns count="2">
    <tableColumn id="1" xr3:uid="{00000000-0010-0000-0E00-000001000000}" name="Malina Usluga" dataDxfId="436"/>
    <tableColumn id="2" xr3:uid="{00000000-0010-0000-0E00-000002000000}" name="Cene" dataDxfId="43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0F000000}" name="Tabela282959" displayName="Tabela282959" ref="D44:E59" totalsRowShown="0" headerRowDxfId="434">
  <autoFilter ref="D44:E59" xr:uid="{00000000-0009-0000-0100-00003A000000}"/>
  <tableColumns count="2">
    <tableColumn id="1" xr3:uid="{00000000-0010-0000-0F00-000001000000}" name="Kupina Usluga" dataDxfId="433"/>
    <tableColumn id="2" xr3:uid="{00000000-0010-0000-0F00-000002000000}" name="Cene" dataDxfId="43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10000000}" name="Tabela293193" displayName="Tabela293193" ref="G44:H51" totalsRowShown="0" headerRowDxfId="431">
  <autoFilter ref="G44:H51" xr:uid="{00000000-0009-0000-0100-00005C000000}"/>
  <tableColumns count="2">
    <tableColumn id="1" xr3:uid="{00000000-0010-0000-1000-000001000000}" name="Višnja Usluga" dataDxfId="430"/>
    <tableColumn id="2" xr3:uid="{00000000-0010-0000-1000-000002000000}" name="Cene" dataDxfId="42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11000000}" name="Tabela313394" displayName="Tabela313394" ref="J44:K60" totalsRowShown="0" headerRowDxfId="428">
  <autoFilter ref="J44:K60" xr:uid="{00000000-0009-0000-0100-00005D000000}"/>
  <tableColumns count="2">
    <tableColumn id="1" xr3:uid="{00000000-0010-0000-1100-000001000000}" name="Šljiva Usluga" dataDxfId="427"/>
    <tableColumn id="2" xr3:uid="{00000000-0010-0000-1100-000002000000}" name="Cene" dataDxfId="42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12000000}" name="Tabela2727395" displayName="Tabela2727395" ref="M44:N59" totalsRowShown="0" headerRowDxfId="425">
  <autoFilter ref="M44:N59" xr:uid="{00000000-0009-0000-0100-00005E000000}"/>
  <tableColumns count="2">
    <tableColumn id="1" xr3:uid="{00000000-0010-0000-1200-000001000000}" name="Borovnica Usluga" dataDxfId="424"/>
    <tableColumn id="2" xr3:uid="{00000000-0010-0000-1200-000002000000}" name="Cene" dataDxfId="42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13000000}" name="Tabela31331397" displayName="Tabela31331397" ref="P44:Q60" totalsRowShown="0" headerRowDxfId="422">
  <autoFilter ref="P44:Q60" xr:uid="{00000000-0009-0000-0100-000060000000}"/>
  <tableColumns count="2">
    <tableColumn id="1" xr3:uid="{00000000-0010-0000-1300-000001000000}" name="Kajsija Usluga" dataDxfId="421"/>
    <tableColumn id="2" xr3:uid="{00000000-0010-0000-1300-000002000000}" name="Cene" dataDxfId="42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4000000}" name="Tabela214" displayName="Tabela214" ref="A4:B10" headerRowDxfId="419" dataDxfId="418">
  <autoFilter ref="A4:B10" xr:uid="{00000000-0009-0000-0100-000001000000}"/>
  <tableColumns count="2">
    <tableColumn id="1" xr3:uid="{00000000-0010-0000-1400-000001000000}" name="Vrsta" totalsRowLabel="Zbir" dataDxfId="417" totalsRowDxfId="416"/>
    <tableColumn id="3" xr3:uid="{00000000-0010-0000-1400-000003000000}" name="Zalihe" totalsRowFunction="sum" dataDxfId="415" totalsRowDxfId="414"/>
  </tableColumns>
  <tableStyleInfo name="TableStyleMedium2" showFirstColumn="1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5000000}" name="Tabela14" displayName="Tabela14" ref="C4:D9" totalsRowCount="1">
  <autoFilter ref="C4:D8" xr:uid="{00000000-0009-0000-0100-000004000000}"/>
  <tableColumns count="2">
    <tableColumn id="1" xr3:uid="{00000000-0010-0000-1500-000001000000}" name="Pros Cena eur" totalsRowFunction="custom" dataDxfId="413" totalsRowDxfId="412">
      <totalsRowFormula>Tabela14[[#Totals],[Ukupno eur]]/Tabela214[[#This Row],[Zalihe]]</totalsRowFormula>
    </tableColumn>
    <tableColumn id="2" xr3:uid="{00000000-0010-0000-1500-000002000000}" name="Ukupno eur" totalsRowFunction="custom" dataDxfId="411" totalsRowDxfId="410">
      <calculatedColumnFormula>Tabela214[[#This Row],[Zalihe]]*Tabela14[[#This Row],[Pros Cena eur]]</calculatedColumnFormula>
      <totalsRowFormula>SUM(Tabela14[Ukupno eur])</totalsRow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6000000}" name="Tabela21418" displayName="Tabela21418" ref="A26:B29" totalsRowShown="0" headerRowDxfId="409" dataDxfId="408">
  <autoFilter ref="A26:B29" xr:uid="{00000000-0009-0000-0100-000013000000}"/>
  <tableColumns count="2">
    <tableColumn id="1" xr3:uid="{00000000-0010-0000-1600-000001000000}" name="Vrsta" dataDxfId="407"/>
    <tableColumn id="3" xr3:uid="{00000000-0010-0000-1600-000003000000}" name="Zalihe" dataDxfId="406"/>
  </tableColumns>
  <tableStyleInfo name="TableStyleMedium2" showFirstColumn="1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7000000}" name="Tabela1419" displayName="Tabela1419" ref="C26:D29" totalsRowCount="1">
  <autoFilter ref="C26:D28" xr:uid="{00000000-0009-0000-0100-000014000000}"/>
  <tableColumns count="2">
    <tableColumn id="1" xr3:uid="{00000000-0010-0000-1700-000001000000}" name="Pros Cena" totalsRowFunction="custom" dataDxfId="405" totalsRowDxfId="404">
      <totalsRowFormula>Tabela1419[[#Totals],[Ukupno]]/Tabela21418[[#This Row],[Zalihe]]</totalsRowFormula>
    </tableColumn>
    <tableColumn id="2" xr3:uid="{00000000-0010-0000-1700-000002000000}" name="Ukupno" totalsRowFunction="custom" dataDxfId="403" totalsRowDxfId="402">
      <calculatedColumnFormula>Tabela21418[[#This Row],[Zalihe]]*Tabela1419[[#This Row],[Pros Cena]]</calculatedColumnFormula>
      <totalsRowFormula>D27+D28</totalsRowFormula>
    </tableColumn>
  </tableColumns>
  <tableStyleInfo name="TableStyleMedium2" showFirstColumn="1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8000000}" name="Tabela2141820" displayName="Tabela2141820" ref="A32:B35" totalsRowShown="0" headerRowDxfId="401" dataDxfId="400">
  <autoFilter ref="A32:B35" xr:uid="{00000000-0009-0000-0100-000015000000}"/>
  <tableColumns count="2">
    <tableColumn id="1" xr3:uid="{00000000-0010-0000-1800-000001000000}" name="Vrsta" dataDxfId="399"/>
    <tableColumn id="3" xr3:uid="{00000000-0010-0000-1800-000003000000}" name="Zalihe" dataDxfId="398"/>
  </tableColumns>
  <tableStyleInfo name="TableStyleMedium2" showFirstColumn="1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9000000}" name="Tabela141921" displayName="Tabela141921" ref="C32:D35" totalsRowCount="1">
  <autoFilter ref="C32:D34" xr:uid="{00000000-0009-0000-0100-000016000000}"/>
  <tableColumns count="2">
    <tableColumn id="1" xr3:uid="{00000000-0010-0000-1900-000001000000}" name="Pros Cena" dataDxfId="397" totalsRowDxfId="396"/>
    <tableColumn id="2" xr3:uid="{00000000-0010-0000-1900-000002000000}" name="Ukupno" totalsRowFunction="custom" dataDxfId="395" totalsRowDxfId="394">
      <calculatedColumnFormula>Tabela2141820[[#This Row],[Zalihe]]*Tabela141921[[#This Row],[Pros Cena]]</calculatedColumnFormula>
      <totalsRowFormula>D33+D34</totalsRow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ela214182024" displayName="Tabela214182024" ref="A20:B23" totalsRowShown="0" headerRowDxfId="393" dataDxfId="392">
  <autoFilter ref="A20:B23" xr:uid="{00000000-0009-0000-0100-00001D000000}"/>
  <tableColumns count="2">
    <tableColumn id="1" xr3:uid="{00000000-0010-0000-1A00-000001000000}" name="Vrsta" dataDxfId="391"/>
    <tableColumn id="3" xr3:uid="{00000000-0010-0000-1A00-000003000000}" name="Zalihe" dataDxfId="390"/>
  </tableColumns>
  <tableStyleInfo name="TableStyleMedium2" showFirstColumn="1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B000000}" name="Tabela14192125" displayName="Tabela14192125" ref="C20:D23" totalsRowCount="1">
  <autoFilter ref="C20:D22" xr:uid="{00000000-0009-0000-0100-00001E000000}"/>
  <tableColumns count="2">
    <tableColumn id="1" xr3:uid="{00000000-0010-0000-1B00-000001000000}" name="Pros Cena" totalsRowFunction="custom" dataDxfId="389" totalsRowDxfId="388">
      <totalsRowFormula>Tabela14192125[[#Totals],[Ukupno]]/Tabela214182024[[#This Row],[Zalihe]]</totalsRowFormula>
    </tableColumn>
    <tableColumn id="2" xr3:uid="{00000000-0010-0000-1B00-000002000000}" name="Ukupno" totalsRowFunction="custom" dataDxfId="387" totalsRowDxfId="386">
      <calculatedColumnFormula>Tabela214182024[[#This Row],[Zalihe]]*Tabela14192125[[#This Row],[Pros Cena]]</calculatedColumnFormula>
      <totalsRowFormula>D21+D22</totalsRow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Tabela21" displayName="Tabela21" ref="F4:G9" totalsRowCount="1">
  <autoFilter ref="F4:G8" xr:uid="{00000000-0009-0000-0100-00001F000000}"/>
  <tableColumns count="2">
    <tableColumn id="1" xr3:uid="{00000000-0010-0000-1C00-000001000000}" name="Cana Din" totalsRowFunction="custom" dataDxfId="385" totalsRowDxfId="384">
      <totalsRowFormula>Tabela21[[#Totals],[Vrednost din]]/Tabela214[[#This Row],[Zalihe]]</totalsRowFormula>
    </tableColumn>
    <tableColumn id="2" xr3:uid="{00000000-0010-0000-1C00-000002000000}" name="Vrednost din" totalsRowFunction="sum" dataDxfId="383" totalsRowDxfId="382">
      <calculatedColumnFormula>Tabela214[[#This Row],[Zalihe]]*F5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D000000}" name="Tabela39" displayName="Tabela39" ref="F32:I35" totalsRowCount="1">
  <autoFilter ref="F32:I34" xr:uid="{00000000-0009-0000-0100-000021000000}"/>
  <tableColumns count="4">
    <tableColumn id="1" xr3:uid="{00000000-0010-0000-1D00-000001000000}" name="Cena Din" totalsRowFunction="custom" dataDxfId="381" totalsRowDxfId="380">
      <totalsRowFormula>Tabela39[[#Totals],[Vrednost Din]]/Tabela2141820[[#This Row],[Zalihe]]</totalsRowFormula>
    </tableColumn>
    <tableColumn id="2" xr3:uid="{00000000-0010-0000-1D00-000002000000}" name="Vrednost Din" totalsRowFunction="custom" dataDxfId="379" totalsRowDxfId="378">
      <calculatedColumnFormula>Tabela2141820[[#This Row],[Zalihe]]*F33</calculatedColumnFormula>
      <totalsRowFormula>G33+G34</totalsRowFormula>
    </tableColumn>
    <tableColumn id="3" xr3:uid="{00000000-0010-0000-1D00-000003000000}" name="Column1" dataDxfId="377"/>
    <tableColumn id="4" xr3:uid="{00000000-0010-0000-1D00-000004000000}" name="Column2" dataDxfId="376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E000000}" name="Tabela40" displayName="Tabela40" ref="F20:H23" totalsRowCount="1">
  <autoFilter ref="F20:H22" xr:uid="{00000000-0009-0000-0100-000022000000}"/>
  <tableColumns count="3">
    <tableColumn id="1" xr3:uid="{00000000-0010-0000-1E00-000001000000}" name="Cena Din" totalsRowFunction="custom" dataDxfId="375" totalsRowDxfId="374">
      <totalsRowFormula>Tabela40[[#Totals],[Vrednost Din]]/Tabela214182024[[#This Row],[Zalihe]]</totalsRowFormula>
    </tableColumn>
    <tableColumn id="2" xr3:uid="{00000000-0010-0000-1E00-000002000000}" name="Vrednost Din" totalsRowFunction="sum" dataDxfId="373" totalsRowDxfId="372">
      <calculatedColumnFormula>Tabela214182024[[#This Row],[Zalihe]]*F21</calculatedColumnFormula>
    </tableColumn>
    <tableColumn id="3" xr3:uid="{00000000-0010-0000-1E00-000003000000}" name="Column1" totalsRowLabel=" " dataDxfId="37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F000000}" name="Tabela2141845" displayName="Tabela2141845" ref="A39:B42" totalsRowShown="0" headerRowDxfId="370" dataDxfId="369">
  <autoFilter ref="A39:B42" xr:uid="{00000000-0009-0000-0100-000023000000}"/>
  <tableColumns count="2">
    <tableColumn id="1" xr3:uid="{00000000-0010-0000-1F00-000001000000}" name="Vrsta" dataDxfId="368"/>
    <tableColumn id="3" xr3:uid="{00000000-0010-0000-1F00-000003000000}" name="Zalihe" dataDxfId="367"/>
  </tableColumns>
  <tableStyleInfo name="TableStyleMedium2" showFirstColumn="1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0000000}" name="Tabela141946" displayName="Tabela141946" ref="C39:D42" totalsRowCount="1">
  <autoFilter ref="C39:D41" xr:uid="{00000000-0009-0000-0100-000024000000}"/>
  <tableColumns count="2">
    <tableColumn id="1" xr3:uid="{00000000-0010-0000-2000-000001000000}" name="Pros Cena" totalsRowFunction="average" dataDxfId="366" totalsRowDxfId="365"/>
    <tableColumn id="2" xr3:uid="{00000000-0010-0000-2000-000002000000}" name="Ukupno" totalsRowFunction="sum" dataDxfId="364" totalsRowDxfId="363">
      <calculatedColumnFormula>Tabela2141845[[#This Row],[Zalihe]]*Tabela141946[[#This Row],[Pros Cena]]</calculatedColumnFormula>
    </tableColumn>
  </tableColumns>
  <tableStyleInfo name="TableStyleMedium2" showFirstColumn="1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1000000}" name="Tabela37" displayName="Tabela37" ref="I4:L11" totalsRowCount="1" headerRowDxfId="362">
  <autoFilter ref="I4:L10" xr:uid="{00000000-0009-0000-0100-000029000000}"/>
  <tableColumns count="4">
    <tableColumn id="1" xr3:uid="{00000000-0010-0000-2100-000001000000}" name="Vrsta proizvoda" totalsRowLabel="Zbir" dataDxfId="361"/>
    <tableColumn id="2" xr3:uid="{00000000-0010-0000-2100-000002000000}" name="Količina" totalsRowFunction="sum" dataDxfId="360" totalsRowDxfId="359"/>
    <tableColumn id="3" xr3:uid="{00000000-0010-0000-2100-000003000000}" name="Prosečna cena " totalsRowFunction="custom" dataDxfId="358" totalsRowDxfId="357">
      <calculatedColumnFormula>L5/J5</calculatedColumnFormula>
      <totalsRowFormula>Tabela37[[#Totals],[Vrednost ]]/Tabela37[[#Totals],[Količina]]</totalsRowFormula>
    </tableColumn>
    <tableColumn id="4" xr3:uid="{00000000-0010-0000-2100-000004000000}" name="Vrednost " totalsRowFunction="sum" dataDxfId="356" totalsRowDxfId="355"/>
  </tableColumns>
  <tableStyleInfo name="TableStyleMedium2" showFirstColumn="1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2000000}" name="Tabela42" displayName="Tabela42" ref="N4:O11" totalsRowCount="1">
  <autoFilter ref="N4:O10" xr:uid="{00000000-0009-0000-0100-00002A000000}"/>
  <tableColumns count="2">
    <tableColumn id="1" xr3:uid="{00000000-0010-0000-2200-000001000000}" name="Cena Din" totalsRowFunction="average" dataDxfId="354" totalsRowDxfId="353"/>
    <tableColumn id="2" xr3:uid="{00000000-0010-0000-2200-000002000000}" name="Vednost Din" totalsRowFunction="sum" dataDxfId="352" totalsRowDxfId="35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3000000}" name="Tabela2250" displayName="Tabela2250" ref="F12:G17" totalsRowCount="1">
  <autoFilter ref="F12:G16" xr:uid="{00000000-0009-0000-0100-000031000000}"/>
  <tableColumns count="2">
    <tableColumn id="1" xr3:uid="{00000000-0010-0000-2300-000001000000}" name="Cena Din" totalsRowFunction="custom" dataDxfId="350" totalsRowDxfId="349">
      <totalsRowFormula>Tabela2250[[#Totals],[Vrednost din]]/Tabela2141652[[#This Row],[Zalihe]]</totalsRowFormula>
    </tableColumn>
    <tableColumn id="2" xr3:uid="{00000000-0010-0000-2300-000002000000}" name="Vrednost din" totalsRowFunction="sum" dataDxfId="348" totalsRowDxfId="347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24000000}" name="Tabela141751" displayName="Tabela141751" ref="C12:D17" totalsRowCount="1">
  <autoFilter ref="C12:D16" xr:uid="{00000000-0009-0000-0100-000032000000}"/>
  <tableColumns count="2">
    <tableColumn id="1" xr3:uid="{00000000-0010-0000-2400-000001000000}" name="Pros Cena" totalsRowFunction="custom" dataDxfId="346" totalsRowDxfId="345">
      <totalsRowFormula>Tabela141751[[#Totals],[Ukupno]]/Tabela2141652[[#This Row],[Zalihe]]</totalsRowFormula>
    </tableColumn>
    <tableColumn id="2" xr3:uid="{00000000-0010-0000-2400-000002000000}" name="Ukupno" totalsRowFunction="custom" dataDxfId="344" totalsRowDxfId="343">
      <totalsRowFormula>D13+D14+D15</totalsRow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25000000}" name="Tabela2141652" displayName="Tabela2141652" ref="A12:B17" totalsRowShown="0" headerRowDxfId="342" dataDxfId="341">
  <autoFilter ref="A12:B17" xr:uid="{00000000-0009-0000-0100-000033000000}"/>
  <tableColumns count="2">
    <tableColumn id="1" xr3:uid="{00000000-0010-0000-2500-000001000000}" name="Vrsta" dataDxfId="340"/>
    <tableColumn id="3" xr3:uid="{00000000-0010-0000-2500-000003000000}" name="Zalihe" dataDxfId="339"/>
  </tableColumns>
  <tableStyleInfo name="TableStyleMedium2" showFirstColumn="1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26000000}" name="Tabela214184596" displayName="Tabela214184596" ref="A45:B48" totalsRowShown="0" headerRowDxfId="338" dataDxfId="337">
  <autoFilter ref="A45:B48" xr:uid="{00000000-0009-0000-0100-00005F000000}"/>
  <tableColumns count="2">
    <tableColumn id="1" xr3:uid="{00000000-0010-0000-2600-000001000000}" name="Vrsta" dataDxfId="336"/>
    <tableColumn id="3" xr3:uid="{00000000-0010-0000-2600-000003000000}" name="Zalihe" dataDxfId="335"/>
  </tableColumns>
  <tableStyleInfo name="TableStyleMedium2" showFirstColumn="1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27000000}" name="Tabela14194698" displayName="Tabela14194698" ref="C45:D48" totalsRowCount="1">
  <autoFilter ref="C45:D47" xr:uid="{00000000-0009-0000-0100-000061000000}"/>
  <tableColumns count="2">
    <tableColumn id="1" xr3:uid="{00000000-0010-0000-2700-000001000000}" name="Pros Cena" totalsRowFunction="average" dataDxfId="334" totalsRowDxfId="333"/>
    <tableColumn id="2" xr3:uid="{00000000-0010-0000-2700-000002000000}" name="Ukupno" totalsRowFunction="sum" dataDxfId="332" totalsRowDxfId="331">
      <calculatedColumnFormula>Tabela214184596[[#This Row],[Zalihe]]*Tabela14194698[[#This Row],[Pros Cena]]</calculatedColumnFormula>
    </tableColumn>
  </tableColumns>
  <tableStyleInfo name="TableStyleMedium2" showFirstColumn="1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28000000}" name="Tabela224" displayName="Tabela224" ref="A4:E8" totalsRowShown="0" headerRowDxfId="330" dataDxfId="329">
  <autoFilter ref="A4:E8" xr:uid="{00000000-0009-0000-0100-000017000000}"/>
  <tableColumns count="5">
    <tableColumn id="1" xr3:uid="{00000000-0010-0000-2800-000001000000}" name="Vrsta" dataDxfId="328"/>
    <tableColumn id="2" xr3:uid="{00000000-0010-0000-2800-000002000000}" name="Količina " dataDxfId="327"/>
    <tableColumn id="3" xr3:uid="{00000000-0010-0000-2800-000003000000}" name="Prodato" dataDxfId="326"/>
    <tableColumn id="4" xr3:uid="{00000000-0010-0000-2800-000004000000}" name="Stanje" dataDxfId="325">
      <calculatedColumnFormula>B5-C5</calculatedColumnFormula>
    </tableColumn>
    <tableColumn id="5" xr3:uid="{00000000-0010-0000-2800-000005000000}" name="Procenat" dataDxfId="324">
      <calculatedColumnFormula>Tabela224[[#This Row],[Stanje]]/$D$8</calculatedColumnFormula>
    </tableColumn>
  </tableColumns>
  <tableStyleInfo name="TableStyleMedium2" showFirstColumn="1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29000000}" name="Tabela25" displayName="Tabela25" ref="A13:E17" totalsRowShown="0" headerRowDxfId="323">
  <autoFilter ref="A13:E17" xr:uid="{00000000-0009-0000-0100-000018000000}"/>
  <tableColumns count="5">
    <tableColumn id="1" xr3:uid="{00000000-0010-0000-2900-000001000000}" name="Vrsta" dataDxfId="322"/>
    <tableColumn id="2" xr3:uid="{00000000-0010-0000-2900-000002000000}" name="Količina " dataDxfId="321"/>
    <tableColumn id="3" xr3:uid="{00000000-0010-0000-2900-000003000000}" name="Prodato" dataDxfId="320"/>
    <tableColumn id="4" xr3:uid="{00000000-0010-0000-2900-000004000000}" name="Stanje" dataDxfId="319">
      <calculatedColumnFormula>B14-C14</calculatedColumnFormula>
    </tableColumn>
    <tableColumn id="5" xr3:uid="{00000000-0010-0000-2900-000005000000}" name="Procenat" dataDxfId="318">
      <calculatedColumnFormula>Tabela25[[#This Row],[Stanje]]/$D$17</calculatedColumnFormula>
    </tableColumn>
  </tableColumns>
  <tableStyleInfo name="TableStyleMedium2" showFirstColumn="1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2A000000}" name="Tabela26" displayName="Tabela26" ref="A28:E32" totalsRowShown="0" headerRowDxfId="317" dataDxfId="316">
  <autoFilter ref="A28:E32" xr:uid="{00000000-0009-0000-0100-000019000000}"/>
  <tableColumns count="5">
    <tableColumn id="1" xr3:uid="{00000000-0010-0000-2A00-000001000000}" name="Vrsta" dataDxfId="315"/>
    <tableColumn id="2" xr3:uid="{00000000-0010-0000-2A00-000002000000}" name="Količina " dataDxfId="314"/>
    <tableColumn id="3" xr3:uid="{00000000-0010-0000-2A00-000003000000}" name="Prodato" dataDxfId="313"/>
    <tableColumn id="4" xr3:uid="{00000000-0010-0000-2A00-000004000000}" name="Stanje" dataDxfId="312">
      <calculatedColumnFormula>B29-C29</calculatedColumnFormula>
    </tableColumn>
    <tableColumn id="5" xr3:uid="{00000000-0010-0000-2A00-000005000000}" name="Procenat" dataDxfId="311">
      <calculatedColumnFormula>Tabela26[[#This Row],[Stanje]]/$D$32</calculatedColumnFormula>
    </tableColumn>
  </tableColumns>
  <tableStyleInfo name="TableStyleMedium2" showFirstColumn="1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2B000000}" name="Tabela2611" displayName="Tabela2611" ref="A36:E39" totalsRowShown="0" headerRowDxfId="310" dataDxfId="309">
  <autoFilter ref="A36:E39" xr:uid="{00000000-0009-0000-0100-00001A000000}"/>
  <tableColumns count="5">
    <tableColumn id="1" xr3:uid="{00000000-0010-0000-2B00-000001000000}" name="Vrsta" dataDxfId="308"/>
    <tableColumn id="2" xr3:uid="{00000000-0010-0000-2B00-000002000000}" name="Količina " dataDxfId="307"/>
    <tableColumn id="3" xr3:uid="{00000000-0010-0000-2B00-000003000000}" name="Prodato" dataDxfId="306"/>
    <tableColumn id="4" xr3:uid="{00000000-0010-0000-2B00-000004000000}" name="Stanje" dataDxfId="305">
      <calculatedColumnFormula>B37-C37</calculatedColumnFormula>
    </tableColumn>
    <tableColumn id="5" xr3:uid="{00000000-0010-0000-2B00-000005000000}" name="Procenat" dataDxfId="304">
      <calculatedColumnFormula>Tabela2611[[#This Row],[Stanje]]/$D$39</calculatedColumnFormula>
    </tableColumn>
  </tableColumns>
  <tableStyleInfo name="TableStyleMedium2" showFirstColumn="1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2C000000}" name="Tabela261112" displayName="Tabela261112" ref="A21:D24" totalsRowShown="0" headerRowDxfId="303" dataDxfId="302">
  <autoFilter ref="A21:D24" xr:uid="{00000000-0009-0000-0100-00001B000000}"/>
  <tableColumns count="4">
    <tableColumn id="1" xr3:uid="{00000000-0010-0000-2C00-000001000000}" name="Vrsta" dataDxfId="301"/>
    <tableColumn id="2" xr3:uid="{00000000-0010-0000-2C00-000002000000}" name="Količina " dataDxfId="300"/>
    <tableColumn id="3" xr3:uid="{00000000-0010-0000-2C00-000003000000}" name="Prodato" dataDxfId="299"/>
    <tableColumn id="4" xr3:uid="{00000000-0010-0000-2C00-000004000000}" name="Stanje" dataDxfId="298">
      <calculatedColumnFormula>B22-C22</calculatedColumnFormula>
    </tableColumn>
  </tableColumns>
  <tableStyleInfo name="TableStyleMedium2" showFirstColumn="1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2D000000}" name="Tabela2639" displayName="Tabela2639" ref="A45:E49" totalsRowShown="0" headerRowDxfId="297" dataDxfId="296">
  <autoFilter ref="A45:E49" xr:uid="{00000000-0009-0000-0100-00001C000000}"/>
  <tableColumns count="5">
    <tableColumn id="1" xr3:uid="{00000000-0010-0000-2D00-000001000000}" name="Vrsta" dataDxfId="295"/>
    <tableColumn id="2" xr3:uid="{00000000-0010-0000-2D00-000002000000}" name="Količina " dataDxfId="294"/>
    <tableColumn id="3" xr3:uid="{00000000-0010-0000-2D00-000003000000}" name="Prodato" dataDxfId="293"/>
    <tableColumn id="4" xr3:uid="{00000000-0010-0000-2D00-000004000000}" name="Stanje" dataDxfId="292">
      <calculatedColumnFormula>B46-C46</calculatedColumnFormula>
    </tableColumn>
    <tableColumn id="5" xr3:uid="{00000000-0010-0000-2D00-000005000000}" name="Procenat" dataDxfId="291">
      <calculatedColumnFormula>Tabela2639[[#This Row],[Stanje]]/$D$49</calculatedColumnFormula>
    </tableColumn>
  </tableColumns>
  <tableStyleInfo name="TableStyleMedium2" showFirstColumn="1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2E000000}" name="Tabela263999" displayName="Tabela263999" ref="A54:E56" totalsRowShown="0" headerRowDxfId="290" dataDxfId="289">
  <autoFilter ref="A54:E56" xr:uid="{00000000-0009-0000-0100-000062000000}"/>
  <tableColumns count="5">
    <tableColumn id="1" xr3:uid="{00000000-0010-0000-2E00-000001000000}" name="Vrsta" dataDxfId="288"/>
    <tableColumn id="2" xr3:uid="{00000000-0010-0000-2E00-000002000000}" name="Količina " dataDxfId="287"/>
    <tableColumn id="3" xr3:uid="{00000000-0010-0000-2E00-000003000000}" name="Prodato" dataDxfId="286"/>
    <tableColumn id="4" xr3:uid="{00000000-0010-0000-2E00-000004000000}" name="Stanje" dataDxfId="285">
      <calculatedColumnFormula>B55-C55</calculatedColumnFormula>
    </tableColumn>
    <tableColumn id="5" xr3:uid="{00000000-0010-0000-2E00-000005000000}" name="Procenat" dataDxfId="284">
      <calculatedColumnFormula>E54</calculatedColumnFormula>
    </tableColumn>
  </tableColumns>
  <tableStyleInfo name="TableStyleMedium2" showFirstColumn="1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F000000}" name="Tabela1" displayName="Tabela1" ref="A3:F10" totalsRowCount="1">
  <autoFilter ref="A3:F9" xr:uid="{00000000-0009-0000-0100-00002E000000}"/>
  <tableColumns count="6">
    <tableColumn id="1" xr3:uid="{00000000-0010-0000-2F00-000001000000}" name="Vrsta robe" totalsRowLabel="Zbir"/>
    <tableColumn id="2" xr3:uid="{00000000-0010-0000-2F00-000002000000}" name="Kupljeno" totalsRowFunction="sum" dataDxfId="283" totalsRowDxfId="282"/>
    <tableColumn id="3" xr3:uid="{00000000-0010-0000-2F00-000003000000}" name="Prodato" totalsRowFunction="sum" dataDxfId="281" totalsRowDxfId="280"/>
    <tableColumn id="4" xr3:uid="{00000000-0010-0000-2F00-000004000000}" name="Na zalihama" totalsRowFunction="sum" dataDxfId="279" totalsRowDxfId="278">
      <calculatedColumnFormula>'Vrednost Zaliha'!B9</calculatedColumnFormula>
    </tableColumn>
    <tableColumn id="5" xr3:uid="{00000000-0010-0000-2F00-000005000000}" name="Kalo" totalsRowFunction="sum" dataDxfId="277" totalsRowDxfId="276"/>
    <tableColumn id="6" xr3:uid="{00000000-0010-0000-2F00-000006000000}" name="Prosecna cena" dataDxfId="275"/>
  </tableColumns>
  <tableStyleInfo name="TableStyleMedium2" showFirstColumn="1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30000000}" name="Table_ObracunOtkupa_1" displayName="Table_ObracunOtkupa_1" ref="A13:F18" tableType="queryTable" totalsRowCount="1" totalsRowDxfId="274">
  <autoFilter ref="A13:F17" xr:uid="{00000000-0009-0000-0100-000030000000}"/>
  <tableColumns count="6">
    <tableColumn id="1" xr3:uid="{00000000-0010-0000-3000-000001000000}" uniqueName="1" name="Dobavljač" totalsRowLabel="Total" queryTableFieldId="1" totalsRowDxfId="273"/>
    <tableColumn id="2" xr3:uid="{00000000-0010-0000-3000-000002000000}" uniqueName="2" name="Vrednost  Robe" totalsRowFunction="sum" queryTableFieldId="2" dataDxfId="272" totalsRowDxfId="271"/>
    <tableColumn id="3" xr3:uid="{00000000-0010-0000-3000-000003000000}" uniqueName="3" name="Vrednost sa Maržom" totalsRowFunction="sum" queryTableFieldId="3" dataDxfId="270" totalsRowDxfId="269"/>
    <tableColumn id="4" xr3:uid="{00000000-0010-0000-3000-000004000000}" uniqueName="4" name="Isplata" totalsRowFunction="sum" queryTableFieldId="4" dataDxfId="268" totalsRowDxfId="267"/>
    <tableColumn id="5" xr3:uid="{00000000-0010-0000-3000-000005000000}" uniqueName="5" name="Stanje roba" totalsRowFunction="sum" queryTableFieldId="5" dataDxfId="266" totalsRowDxfId="265"/>
    <tableColumn id="6" xr3:uid="{00000000-0010-0000-3000-000006000000}" uniqueName="6" name="Stanje ukupno" totalsRowFunction="sum" queryTableFieldId="6" dataDxfId="264" totalsRowDxfId="263"/>
  </tableColumns>
  <tableStyleInfo name="TableStyleMedium2" showFirstColumn="1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31000000}" name="Tabela43" displayName="Tabela43" ref="H2:J9" totalsRowShown="0">
  <autoFilter ref="H2:J9" xr:uid="{00000000-0009-0000-0100-00002F000000}"/>
  <tableColumns count="3">
    <tableColumn id="1" xr3:uid="{00000000-0010-0000-3100-000001000000}" name="Saldo Poslovanja"/>
    <tableColumn id="2" xr3:uid="{00000000-0010-0000-3100-000002000000}" name="Ukupno Din" dataDxfId="262"/>
    <tableColumn id="3" xr3:uid="{00000000-0010-0000-3100-000003000000}" name="Ukupno Eur" dataDxfId="261"/>
  </tableColumns>
  <tableStyleInfo name="TableStyleMedium2" showFirstColumn="1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2000000}" name="Tabela433860" displayName="Tabela433860" ref="H12:I19" totalsRowShown="0">
  <autoFilter ref="H12:I19" xr:uid="{00000000-0009-0000-0100-00003B000000}"/>
  <tableColumns count="2">
    <tableColumn id="1" xr3:uid="{00000000-0010-0000-3200-000001000000}" name="Saldo Poslovanja"/>
    <tableColumn id="2" xr3:uid="{00000000-0010-0000-3200-000002000000}" name="Ukupno Din" dataDxfId="260"/>
  </tableColumns>
  <tableStyleInfo name="TableStyleMedium2" showFirstColumn="1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3000000}" name="Tabela43386061" displayName="Tabela43386061" ref="H22:I29" totalsRowShown="0">
  <autoFilter ref="H22:I29" xr:uid="{00000000-0009-0000-0100-00003C000000}"/>
  <tableColumns count="2">
    <tableColumn id="1" xr3:uid="{00000000-0010-0000-3300-000001000000}" name="Saldo Poslovanja"/>
    <tableColumn id="2" xr3:uid="{00000000-0010-0000-3300-000002000000}" name="Ukupno Din" dataDxfId="259"/>
  </tableColumns>
  <tableStyleInfo name="TableStyleMedium2" showFirstColumn="1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34000000}" name="Tabela91" displayName="Tabela91" ref="M2:Q11" totalsRowShown="0">
  <autoFilter ref="M2:Q11" xr:uid="{00000000-0009-0000-0100-00005B000000}"/>
  <tableColumns count="5">
    <tableColumn id="1" xr3:uid="{00000000-0010-0000-3400-000001000000}" name="Troškovi" dataDxfId="258"/>
    <tableColumn id="2" xr3:uid="{00000000-0010-0000-3400-000002000000}" name="Iznos" dataDxfId="257"/>
    <tableColumn id="3" xr3:uid="{00000000-0010-0000-3400-000003000000}" name="Po Kg Ukupno" dataDxfId="256">
      <calculatedColumnFormula>N3/Tabela1[[#Totals],[Kupljeno]]</calculatedColumnFormula>
    </tableColumn>
    <tableColumn id="4" xr3:uid="{00000000-0010-0000-3400-000004000000}" name="Din Do Sad" dataDxfId="255">
      <calculatedColumnFormula>N3/Tabela1[[#Totals],[Prodato]]</calculatedColumnFormula>
    </tableColumn>
    <tableColumn id="5" xr3:uid="{00000000-0010-0000-3400-000005000000}" name="Udeo " dataDxfId="254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35000000}" name="Tabela2141" displayName="Tabela2141" ref="F6:G11" totalsRowCount="1">
  <autoFilter ref="F6:G10" xr:uid="{00000000-0009-0000-0100-000028000000}"/>
  <tableColumns count="2">
    <tableColumn id="1" xr3:uid="{00000000-0010-0000-3500-000001000000}" name="Cana Din" totalsRowFunction="custom" dataDxfId="243" totalsRowDxfId="242">
      <totalsRowFormula>Tabela2141[[#Totals],[Vrednost din]]/Tabela21439[[#This Row],[Zalihe]]</totalsRowFormula>
    </tableColumn>
    <tableColumn id="2" xr3:uid="{00000000-0010-0000-3500-000002000000}" name="Vrednost din" totalsRowFunction="sum" dataDxfId="241" totalsRowDxfId="240">
      <calculatedColumnFormula>Tabela21439[[#This Row],[Zalihe]]*F7</calculatedColumnFormula>
    </tableColumn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36000000}" name="Tabela21439" displayName="Tabela21439" ref="A6:B11" headerRowDxfId="239" dataDxfId="238">
  <autoFilter ref="A6:B11" xr:uid="{00000000-0009-0000-0100-000026000000}"/>
  <tableColumns count="2">
    <tableColumn id="1" xr3:uid="{00000000-0010-0000-3600-000001000000}" name="Vrsta" totalsRowLabel="Zbir" dataDxfId="237" totalsRowDxfId="236"/>
    <tableColumn id="3" xr3:uid="{00000000-0010-0000-3600-000003000000}" name="Zalihe" totalsRowFunction="sum" dataDxfId="235" totalsRowDxfId="234"/>
  </tableColumns>
  <tableStyleInfo name="TableStyleMedium2" showFirstColumn="1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37000000}" name="Tabela1440" displayName="Tabela1440" ref="C6:D11" totalsRowCount="1">
  <autoFilter ref="C6:D10" xr:uid="{00000000-0009-0000-0100-000027000000}"/>
  <tableColumns count="2">
    <tableColumn id="1" xr3:uid="{00000000-0010-0000-3700-000001000000}" name="Pros Cena eur" totalsRowFunction="custom" dataDxfId="233" totalsRowDxfId="232">
      <totalsRowFormula>Tabela1440[[#Totals],[Ukupno eur]]/Tabela21439[[#This Row],[Zalihe]]</totalsRowFormula>
    </tableColumn>
    <tableColumn id="2" xr3:uid="{00000000-0010-0000-3700-000002000000}" name="Ukupno eur" totalsRowFunction="custom" dataDxfId="231" totalsRowDxfId="230">
      <calculatedColumnFormula>Tabela21439[[#This Row],[Zalihe]]*Tabela1440[[#This Row],[Pros Cena eur]]</calculatedColumnFormula>
      <totalsRowFormula>SUM(Tabela1440[Ukupno eur])</totalsRowFormula>
    </tableColumn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38000000}" name="Tabela22445" displayName="Tabela22445" ref="A15:D20" totalsRowShown="0" headerRowDxfId="229" dataDxfId="228">
  <autoFilter ref="A15:D20" xr:uid="{00000000-0009-0000-0100-00002C000000}"/>
  <tableColumns count="4">
    <tableColumn id="1" xr3:uid="{00000000-0010-0000-3800-000001000000}" name="Vrsta" dataDxfId="227"/>
    <tableColumn id="2" xr3:uid="{00000000-0010-0000-3800-000002000000}" name="Količina " dataDxfId="226"/>
    <tableColumn id="3" xr3:uid="{00000000-0010-0000-3800-000003000000}" name="Prodato" dataDxfId="225"/>
    <tableColumn id="4" xr3:uid="{00000000-0010-0000-3800-000004000000}" name="Stanje" dataDxfId="224">
      <calculatedColumnFormula>B16-C16</calculatedColumnFormula>
    </tableColumn>
  </tableColumns>
  <tableStyleInfo name="TableStyleMedium2" showFirstColumn="1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39000000}" name="Tabela2546" displayName="Tabela2546" ref="A33:D37" totalsRowShown="0" headerRowDxfId="223">
  <autoFilter ref="A33:D37" xr:uid="{00000000-0009-0000-0100-00002D000000}"/>
  <tableColumns count="4">
    <tableColumn id="1" xr3:uid="{00000000-0010-0000-3900-000001000000}" name="Vrsta" dataDxfId="222"/>
    <tableColumn id="2" xr3:uid="{00000000-0010-0000-3900-000002000000}" name="Količina " dataDxfId="221"/>
    <tableColumn id="3" xr3:uid="{00000000-0010-0000-3900-000003000000}" name="Prodato" dataDxfId="220"/>
    <tableColumn id="4" xr3:uid="{00000000-0010-0000-3900-000004000000}" name="Stanje" dataDxfId="219">
      <calculatedColumnFormula>B34-C34</calculatedColumnFormula>
    </tableColumn>
  </tableColumns>
  <tableStyleInfo name="TableStyleMedium2" showFirstColumn="1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3A000000}" name="Tabela22" displayName="Tabela22" ref="F24:G29" totalsRowCount="1">
  <autoFilter ref="F24:G28" xr:uid="{00000000-0009-0000-0100-000020000000}"/>
  <tableColumns count="2">
    <tableColumn id="1" xr3:uid="{00000000-0010-0000-3A00-000001000000}" name="Cena Din" totalsRowFunction="custom" dataDxfId="218" totalsRowDxfId="217">
      <totalsRowFormula>Tabela22[[#Totals],[Vrednost din]]/Tabela21416[[#This Row],[Zalihe]]</totalsRowFormula>
    </tableColumn>
    <tableColumn id="2" xr3:uid="{00000000-0010-0000-3A00-000002000000}" name="Vrednost din" totalsRowFunction="sum" dataDxfId="216" totalsRowDxfId="215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3B000000}" name="Tabela1417" displayName="Tabela1417" ref="C24:D29" totalsRowCount="1">
  <autoFilter ref="C24:D28" xr:uid="{00000000-0009-0000-0100-000012000000}"/>
  <tableColumns count="2">
    <tableColumn id="1" xr3:uid="{00000000-0010-0000-3B00-000001000000}" name="Pros Cena" totalsRowFunction="custom" dataDxfId="214" totalsRowDxfId="213">
      <totalsRowFormula>Tabela1417[[#Totals],[Ukupno]]/Tabela21416[[#This Row],[Zalihe]]</totalsRowFormula>
    </tableColumn>
    <tableColumn id="2" xr3:uid="{00000000-0010-0000-3B00-000002000000}" name="Ukupno" totalsRowFunction="custom" dataDxfId="212" totalsRowDxfId="211">
      <totalsRowFormula>D25+D26+D27</totalsRowFormula>
    </tableColumn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3C000000}" name="Tabela21416" displayName="Tabela21416" ref="A24:B29" totalsRowShown="0" headerRowDxfId="210" dataDxfId="209">
  <autoFilter ref="A24:B29" xr:uid="{00000000-0009-0000-0100-000011000000}"/>
  <tableColumns count="2">
    <tableColumn id="1" xr3:uid="{00000000-0010-0000-3C00-000001000000}" name="Vrsta" dataDxfId="208"/>
    <tableColumn id="3" xr3:uid="{00000000-0010-0000-3C00-000003000000}" name="Zalihe" dataDxfId="207"/>
  </tableColumns>
  <tableStyleInfo name="TableStyleMedium2" showFirstColumn="1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D000000}" name="Tabela21418202453" displayName="Tabela21418202453" ref="A40:B43" totalsRowShown="0" headerRowDxfId="206" dataDxfId="205">
  <autoFilter ref="A40:B43" xr:uid="{00000000-0009-0000-0100-000034000000}"/>
  <tableColumns count="2">
    <tableColumn id="1" xr3:uid="{00000000-0010-0000-3D00-000001000000}" name="Vrsta" dataDxfId="204"/>
    <tableColumn id="3" xr3:uid="{00000000-0010-0000-3D00-000003000000}" name="Zalihe" dataDxfId="203"/>
  </tableColumns>
  <tableStyleInfo name="TableStyleMedium2" showFirstColumn="1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E000000}" name="Tabela1419212554" displayName="Tabela1419212554" ref="C40:D43" totalsRowCount="1">
  <autoFilter ref="C40:D42" xr:uid="{00000000-0009-0000-0100-000035000000}"/>
  <tableColumns count="2">
    <tableColumn id="1" xr3:uid="{00000000-0010-0000-3E00-000001000000}" name="Pros Cena" totalsRowFunction="custom" dataDxfId="202" totalsRowDxfId="201">
      <totalsRowFormula>Tabela1419212554[[#Totals],[Ukupno]]/Tabela214182024[[#This Row],[Zalihe]]</totalsRowFormula>
    </tableColumn>
    <tableColumn id="2" xr3:uid="{00000000-0010-0000-3E00-000002000000}" name="Ukupno" totalsRowFunction="custom" dataDxfId="200" totalsRowDxfId="199">
      <calculatedColumnFormula>Tabela21418202453[[#This Row],[Zalihe]]*Tabela1419212554[[#This Row],[Pros Cena]]</calculatedColumnFormula>
      <totalsRowFormula>D41+D42</totalsRowFormula>
    </tableColumn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F000000}" name="Tabela4055" displayName="Tabela4055" ref="F40:G43" totalsRowCount="1">
  <autoFilter ref="F40:G42" xr:uid="{00000000-0009-0000-0100-000036000000}"/>
  <tableColumns count="2">
    <tableColumn id="1" xr3:uid="{00000000-0010-0000-3F00-000001000000}" name="Cena Din" totalsRowFunction="average" dataDxfId="198" totalsRowDxfId="197"/>
    <tableColumn id="2" xr3:uid="{00000000-0010-0000-3F00-000002000000}" name="Vrednost Din" totalsRowFunction="sum" dataDxfId="196" totalsRowDxfId="195">
      <calculatedColumnFormula>Tabela21418202453[[#This Row],[Zalihe]]*F41</calculatedColumnFormula>
    </tableColumn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40000000}" name="Tabela26111256" displayName="Tabela26111256" ref="A47:D50" totalsRowShown="0" headerRowDxfId="194" dataDxfId="193">
  <autoFilter ref="A47:D50" xr:uid="{00000000-0009-0000-0100-000037000000}"/>
  <tableColumns count="4">
    <tableColumn id="1" xr3:uid="{00000000-0010-0000-4000-000001000000}" name="Vrsta" dataDxfId="192"/>
    <tableColumn id="2" xr3:uid="{00000000-0010-0000-4000-000002000000}" name="Količina " dataDxfId="191"/>
    <tableColumn id="3" xr3:uid="{00000000-0010-0000-4000-000003000000}" name="Prodato" dataDxfId="190"/>
    <tableColumn id="4" xr3:uid="{00000000-0010-0000-4000-000004000000}" name="Stanje" dataDxfId="189">
      <calculatedColumnFormula>B48-C48</calculatedColumnFormula>
    </tableColumn>
  </tableColumns>
  <tableStyleInfo name="TableStyleMedium2" showFirstColumn="1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41000000}" name="Tabela2141857" displayName="Tabela2141857" ref="A54:B57" totalsRowShown="0" headerRowDxfId="188" dataDxfId="187">
  <autoFilter ref="A54:B57" xr:uid="{00000000-0009-0000-0100-000038000000}"/>
  <tableColumns count="2">
    <tableColumn id="1" xr3:uid="{00000000-0010-0000-4100-000001000000}" name="Vrsta" dataDxfId="186"/>
    <tableColumn id="3" xr3:uid="{00000000-0010-0000-4100-000003000000}" name="Zalihe" dataDxfId="185"/>
  </tableColumns>
  <tableStyleInfo name="TableStyleMedium2" showFirstColumn="1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42000000}" name="Tabela141958" displayName="Tabela141958" ref="C54:D57" totalsRowCount="1">
  <autoFilter ref="C54:D56" xr:uid="{00000000-0009-0000-0100-000039000000}"/>
  <tableColumns count="2">
    <tableColumn id="1" xr3:uid="{00000000-0010-0000-4200-000001000000}" name="Pros Cena" totalsRowFunction="average" dataDxfId="184" totalsRowDxfId="183"/>
    <tableColumn id="2" xr3:uid="{00000000-0010-0000-4200-000002000000}" name="Ukupno" totalsRowFunction="custom" dataDxfId="182" totalsRowDxfId="181">
      <calculatedColumnFormula>Tabela2141857[[#This Row],[Zalihe]]*Tabela141958[[#This Row],[Pros Cena]]</calculatedColumnFormula>
      <totalsRowFormula>D55+D56</totalsRowFormula>
    </tableColumn>
  </tableColumns>
  <tableStyleInfo name="TableStyleMedium2" showFirstColumn="1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43000000}" name="Tabela2662" displayName="Tabela2662" ref="A61:D65" totalsRowShown="0" headerRowDxfId="180" dataDxfId="179">
  <autoFilter ref="A61:D65" xr:uid="{00000000-0009-0000-0100-00003D000000}"/>
  <tableColumns count="4">
    <tableColumn id="1" xr3:uid="{00000000-0010-0000-4300-000001000000}" name="Vrsta" dataDxfId="178"/>
    <tableColumn id="2" xr3:uid="{00000000-0010-0000-4300-000002000000}" name="Količina " dataDxfId="177"/>
    <tableColumn id="3" xr3:uid="{00000000-0010-0000-4300-000003000000}" name="Prodato" dataDxfId="176"/>
    <tableColumn id="4" xr3:uid="{00000000-0010-0000-4300-000004000000}" name="Stanje" dataDxfId="175">
      <calculatedColumnFormula>B62-C62</calculatedColumnFormula>
    </tableColumn>
  </tableColumns>
  <tableStyleInfo name="TableStyleMedium2" showFirstColumn="1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44000000}" name="Tabela214182063" displayName="Tabela214182063" ref="A68:B71" totalsRowShown="0" headerRowDxfId="174" dataDxfId="173">
  <autoFilter ref="A68:B71" xr:uid="{00000000-0009-0000-0100-00003E000000}"/>
  <tableColumns count="2">
    <tableColumn id="1" xr3:uid="{00000000-0010-0000-4400-000001000000}" name="Vrsta" dataDxfId="172"/>
    <tableColumn id="3" xr3:uid="{00000000-0010-0000-4400-000003000000}" name="Zalihe" dataDxfId="171"/>
  </tableColumns>
  <tableStyleInfo name="TableStyleMedium2" showFirstColumn="1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45000000}" name="Tabela14192164" displayName="Tabela14192164" ref="C68:D71" totalsRowCount="1">
  <autoFilter ref="C68:D70" xr:uid="{00000000-0009-0000-0100-00003F000000}"/>
  <tableColumns count="2">
    <tableColumn id="1" xr3:uid="{00000000-0010-0000-4500-000001000000}" name="Pros Cena" dataDxfId="170" totalsRowDxfId="169"/>
    <tableColumn id="2" xr3:uid="{00000000-0010-0000-4500-000002000000}" name="Ukupno" totalsRowFunction="custom" dataDxfId="168" totalsRowDxfId="167">
      <calculatedColumnFormula>Tabela214182063[[#This Row],[Zalihe]]*Tabela14192164[[#This Row],[Pros Cena]]</calculatedColumnFormula>
      <totalsRowFormula>D69+D70</totalsRowFormula>
    </tableColumn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46000000}" name="Tabela3965" displayName="Tabela3965" ref="F68:G71" totalsRowCount="1">
  <autoFilter ref="F68:G70" xr:uid="{00000000-0009-0000-0100-000040000000}"/>
  <tableColumns count="2">
    <tableColumn id="1" xr3:uid="{00000000-0010-0000-4600-000001000000}" name="Cena Din" totalsRowFunction="average" dataDxfId="166" totalsRowDxfId="165"/>
    <tableColumn id="2" xr3:uid="{00000000-0010-0000-4600-000002000000}" name="Vrednost Din" totalsRowFunction="custom" dataDxfId="164" totalsRowDxfId="163">
      <calculatedColumnFormula>Tabela214182063[[#This Row],[Zalihe]]*F69</calculatedColumnFormula>
      <totalsRowFormula>G69+G70</totalsRowFormula>
    </tableColumn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47000000}" name="Tabela261167" displayName="Tabela261167" ref="A75:D78" totalsRowShown="0" headerRowDxfId="162" dataDxfId="161">
  <autoFilter ref="A75:D78" xr:uid="{00000000-0009-0000-0100-000042000000}"/>
  <tableColumns count="4">
    <tableColumn id="1" xr3:uid="{00000000-0010-0000-4700-000001000000}" name="Vrsta" dataDxfId="160"/>
    <tableColumn id="2" xr3:uid="{00000000-0010-0000-4700-000002000000}" name="Količina " dataDxfId="159"/>
    <tableColumn id="3" xr3:uid="{00000000-0010-0000-4700-000003000000}" name="Prodato" dataDxfId="158"/>
    <tableColumn id="4" xr3:uid="{00000000-0010-0000-4700-000004000000}" name="Stanje" dataDxfId="157">
      <calculatedColumnFormula>B76-C76</calculatedColumnFormula>
    </tableColumn>
  </tableColumns>
  <tableStyleInfo name="TableStyleMedium2" showFirstColumn="1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48000000}" name="Tabela214184568" displayName="Tabela214184568" ref="A81:B84" totalsRowShown="0" headerRowDxfId="156" dataDxfId="155">
  <autoFilter ref="A81:B84" xr:uid="{00000000-0009-0000-0100-000043000000}"/>
  <tableColumns count="2">
    <tableColumn id="1" xr3:uid="{00000000-0010-0000-4800-000001000000}" name="Vrsta" dataDxfId="154"/>
    <tableColumn id="3" xr3:uid="{00000000-0010-0000-4800-000003000000}" name="Zalihe" dataDxfId="153"/>
  </tableColumns>
  <tableStyleInfo name="TableStyleMedium2" showFirstColumn="1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49000000}" name="Tabela14194669" displayName="Tabela14194669" ref="C81:D84" totalsRowCount="1">
  <autoFilter ref="C81:D83" xr:uid="{00000000-0009-0000-0100-000044000000}"/>
  <tableColumns count="2">
    <tableColumn id="1" xr3:uid="{00000000-0010-0000-4900-000001000000}" name="Pros Cena" totalsRowFunction="average" dataDxfId="152" totalsRowDxfId="151"/>
    <tableColumn id="2" xr3:uid="{00000000-0010-0000-4900-000002000000}" name="Ukupno" totalsRowFunction="sum" dataDxfId="150" totalsRowDxfId="149">
      <calculatedColumnFormula>Tabela214184568[[#This Row],[Zalihe]]*Tabela14194669[[#This Row],[Pros Cena]]</calculatedColumnFormula>
    </tableColumn>
  </tableColumns>
  <tableStyleInfo name="TableStyleMedium2" showFirstColumn="1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4A000000}" name="Tabela263971" displayName="Tabela263971" ref="A88:D92" totalsRowShown="0" headerRowDxfId="148" dataDxfId="147">
  <autoFilter ref="A88:D92" xr:uid="{00000000-0009-0000-0100-000046000000}"/>
  <tableColumns count="4">
    <tableColumn id="1" xr3:uid="{00000000-0010-0000-4A00-000001000000}" name="Vrsta" dataDxfId="146"/>
    <tableColumn id="2" xr3:uid="{00000000-0010-0000-4A00-000002000000}" name="Količina " dataDxfId="145"/>
    <tableColumn id="3" xr3:uid="{00000000-0010-0000-4A00-000003000000}" name="Prodato" dataDxfId="144"/>
    <tableColumn id="4" xr3:uid="{00000000-0010-0000-4A00-000004000000}" name="Stanje" dataDxfId="143">
      <calculatedColumnFormula>B89-C89</calculatedColumnFormula>
    </tableColumn>
  </tableColumns>
  <tableStyleInfo name="TableStyleMedium2" showFirstColumn="1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4B000000}" name="Tabela214166" displayName="Tabela214166" ref="F6:G11" totalsRowCount="1">
  <autoFilter ref="F6:G10" xr:uid="{00000000-0009-0000-0100-000041000000}"/>
  <tableColumns count="2">
    <tableColumn id="1" xr3:uid="{00000000-0010-0000-4B00-000001000000}" name="Cana Din" totalsRowFunction="custom" dataDxfId="142" totalsRowDxfId="141">
      <totalsRowFormula>Tabela214166[[#Totals],[Vrednost din]]/Tabela21439[[#This Row],[Zalihe]]</totalsRowFormula>
    </tableColumn>
    <tableColumn id="2" xr3:uid="{00000000-0010-0000-4B00-000002000000}" name="Vrednost din" totalsRowFunction="sum" dataDxfId="140" totalsRowDxfId="139">
      <calculatedColumnFormula>Tabela2143970[[#This Row],[Zalihe]]*F7</calculatedColumnFormula>
    </tableColumn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4C000000}" name="Tabela2143970" displayName="Tabela2143970" ref="A6:B11" headerRowDxfId="138" dataDxfId="137">
  <autoFilter ref="A6:B11" xr:uid="{00000000-0009-0000-0100-000045000000}"/>
  <tableColumns count="2">
    <tableColumn id="1" xr3:uid="{00000000-0010-0000-4C00-000001000000}" name="Vrsta" totalsRowLabel="Zbir" dataDxfId="136" totalsRowDxfId="135"/>
    <tableColumn id="3" xr3:uid="{00000000-0010-0000-4C00-000003000000}" name="Zalihe" totalsRowFunction="sum" dataDxfId="134" totalsRowDxfId="133"/>
  </tableColumns>
  <tableStyleInfo name="TableStyleMedium2" showFirstColumn="1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4D000000}" name="Tabela144072" displayName="Tabela144072" ref="C6:D11" totalsRowCount="1">
  <autoFilter ref="C6:D10" xr:uid="{00000000-0009-0000-0100-000047000000}"/>
  <tableColumns count="2">
    <tableColumn id="1" xr3:uid="{00000000-0010-0000-4D00-000001000000}" name="Pros Cena eur" totalsRowFunction="custom" dataDxfId="132" totalsRowDxfId="131">
      <totalsRowFormula>Tabela144072[[#Totals],[Ukupno eur]]/Tabela21439[[#This Row],[Zalihe]]</totalsRowFormula>
    </tableColumn>
    <tableColumn id="2" xr3:uid="{00000000-0010-0000-4D00-000002000000}" name="Ukupno eur" totalsRowFunction="custom" dataDxfId="130" totalsRowDxfId="129">
      <calculatedColumnFormula>Tabela2143970[[#This Row],[Zalihe]]*Tabela144072[[#This Row],[Pros Cena eur]]</calculatedColumnFormula>
      <totalsRowFormula>SUM(Tabela144072[Ukupno eur])</totalsRowFormula>
    </tableColumn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4E000000}" name="Tabela2244573" displayName="Tabela2244573" ref="A15:D20" totalsRowShown="0" headerRowDxfId="128" dataDxfId="127">
  <autoFilter ref="A15:D20" xr:uid="{00000000-0009-0000-0100-000048000000}"/>
  <tableColumns count="4">
    <tableColumn id="1" xr3:uid="{00000000-0010-0000-4E00-000001000000}" name="Vrsta" dataDxfId="126"/>
    <tableColumn id="2" xr3:uid="{00000000-0010-0000-4E00-000002000000}" name="Količina " dataDxfId="125"/>
    <tableColumn id="3" xr3:uid="{00000000-0010-0000-4E00-000003000000}" name="Prodato" dataDxfId="124"/>
    <tableColumn id="4" xr3:uid="{00000000-0010-0000-4E00-000004000000}" name="Stanje" dataDxfId="123">
      <calculatedColumnFormula>B16-C16</calculatedColumnFormula>
    </tableColumn>
  </tableColumns>
  <tableStyleInfo name="TableStyleMedium2" showFirstColumn="1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4F000000}" name="Tabela254674" displayName="Tabela254674" ref="A33:D37" totalsRowShown="0" headerRowDxfId="122">
  <autoFilter ref="A33:D37" xr:uid="{00000000-0009-0000-0100-000049000000}"/>
  <tableColumns count="4">
    <tableColumn id="1" xr3:uid="{00000000-0010-0000-4F00-000001000000}" name="Vrsta" dataDxfId="121"/>
    <tableColumn id="2" xr3:uid="{00000000-0010-0000-4F00-000002000000}" name="Količina " dataDxfId="120"/>
    <tableColumn id="3" xr3:uid="{00000000-0010-0000-4F00-000003000000}" name="Prodato" dataDxfId="119"/>
    <tableColumn id="4" xr3:uid="{00000000-0010-0000-4F00-000004000000}" name="Stanje" dataDxfId="118">
      <calculatedColumnFormula>B34-C34</calculatedColumnFormula>
    </tableColumn>
  </tableColumns>
  <tableStyleInfo name="TableStyleMedium2" showFirstColumn="1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50000000}" name="Tabela2275" displayName="Tabela2275" ref="F24:G29" totalsRowCount="1">
  <autoFilter ref="F24:G28" xr:uid="{00000000-0009-0000-0100-00004A000000}"/>
  <tableColumns count="2">
    <tableColumn id="1" xr3:uid="{00000000-0010-0000-5000-000001000000}" name="Cena Din" totalsRowFunction="custom" dataDxfId="117" totalsRowDxfId="116">
      <totalsRowFormula>Tabela2275[[#Totals],[Vrednost din]]/Tabela21416[[#This Row],[Zalihe]]</totalsRowFormula>
    </tableColumn>
    <tableColumn id="2" xr3:uid="{00000000-0010-0000-5000-000002000000}" name="Vrednost din" totalsRowFunction="sum" dataDxfId="115" totalsRowDxfId="114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51000000}" name="Tabela141776" displayName="Tabela141776" ref="C24:D29" totalsRowCount="1">
  <autoFilter ref="C24:D28" xr:uid="{00000000-0009-0000-0100-00004B000000}"/>
  <tableColumns count="2">
    <tableColumn id="1" xr3:uid="{00000000-0010-0000-5100-000001000000}" name="Pros Cena" totalsRowFunction="custom" dataDxfId="113" totalsRowDxfId="112">
      <totalsRowFormula>Tabela141776[[#Totals],[Ukupno]]/Tabela21416[[#This Row],[Zalihe]]</totalsRowFormula>
    </tableColumn>
    <tableColumn id="2" xr3:uid="{00000000-0010-0000-5100-000002000000}" name="Ukupno" totalsRowFunction="custom" dataDxfId="111" totalsRowDxfId="110">
      <totalsRowFormula>D25+D26+D27</totalsRowFormula>
    </tableColumn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52000000}" name="Tabela2141677" displayName="Tabela2141677" ref="A24:B29" totalsRowShown="0" headerRowDxfId="109" dataDxfId="108">
  <autoFilter ref="A24:B29" xr:uid="{00000000-0009-0000-0100-00004C000000}"/>
  <tableColumns count="2">
    <tableColumn id="1" xr3:uid="{00000000-0010-0000-5200-000001000000}" name="Vrsta" dataDxfId="107"/>
    <tableColumn id="3" xr3:uid="{00000000-0010-0000-5200-000003000000}" name="Zalihe" dataDxfId="106"/>
  </tableColumns>
  <tableStyleInfo name="TableStyleMedium2" showFirstColumn="1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53000000}" name="Tabela2141820245378" displayName="Tabela2141820245378" ref="A40:B43" totalsRowShown="0" headerRowDxfId="105" dataDxfId="104">
  <autoFilter ref="A40:B43" xr:uid="{00000000-0009-0000-0100-00004D000000}"/>
  <tableColumns count="2">
    <tableColumn id="1" xr3:uid="{00000000-0010-0000-5300-000001000000}" name="Vrsta" dataDxfId="103"/>
    <tableColumn id="3" xr3:uid="{00000000-0010-0000-5300-000003000000}" name="Zalihe" dataDxfId="102"/>
  </tableColumns>
  <tableStyleInfo name="TableStyleMedium2" showFirstColumn="1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54000000}" name="Tabela141921255479" displayName="Tabela141921255479" ref="C40:D43" totalsRowCount="1">
  <autoFilter ref="C40:D42" xr:uid="{00000000-0009-0000-0100-00004E000000}"/>
  <tableColumns count="2">
    <tableColumn id="1" xr3:uid="{00000000-0010-0000-5400-000001000000}" name="Pros Cena" totalsRowFunction="custom" dataDxfId="101" totalsRowDxfId="100">
      <totalsRowFormula>Tabela141921255479[[#Totals],[Ukupno]]/Tabela214182024[[#This Row],[Zalihe]]</totalsRowFormula>
    </tableColumn>
    <tableColumn id="2" xr3:uid="{00000000-0010-0000-5400-000002000000}" name="Ukupno" totalsRowFunction="custom" dataDxfId="99" totalsRowDxfId="98">
      <calculatedColumnFormula>Tabela2141820245378[[#This Row],[Zalihe]]*Tabela141921255479[[#This Row],[Pros Cena]]</calculatedColumnFormula>
      <totalsRowFormula>D41+D42</totalsRowFormula>
    </tableColumn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55000000}" name="Tabela405580" displayName="Tabela405580" ref="F40:G43" totalsRowCount="1">
  <autoFilter ref="F40:G42" xr:uid="{00000000-0009-0000-0100-00004F000000}"/>
  <tableColumns count="2">
    <tableColumn id="1" xr3:uid="{00000000-0010-0000-5500-000001000000}" name="Cena Din" totalsRowFunction="average" dataDxfId="97" totalsRowDxfId="96"/>
    <tableColumn id="2" xr3:uid="{00000000-0010-0000-5500-000002000000}" name="Vrednost Din" totalsRowFunction="sum" dataDxfId="95" totalsRowDxfId="94">
      <calculatedColumnFormula>Tabela2141820245378[[#This Row],[Zalihe]]*F41</calculatedColumnFormula>
    </tableColumn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56000000}" name="Tabela2611125681" displayName="Tabela2611125681" ref="A47:D50" totalsRowShown="0" headerRowDxfId="93" dataDxfId="92">
  <autoFilter ref="A47:D50" xr:uid="{00000000-0009-0000-0100-000050000000}"/>
  <tableColumns count="4">
    <tableColumn id="1" xr3:uid="{00000000-0010-0000-5600-000001000000}" name="Vrsta" dataDxfId="91"/>
    <tableColumn id="2" xr3:uid="{00000000-0010-0000-5600-000002000000}" name="Količina " dataDxfId="90"/>
    <tableColumn id="3" xr3:uid="{00000000-0010-0000-5600-000003000000}" name="Prodato" dataDxfId="89"/>
    <tableColumn id="4" xr3:uid="{00000000-0010-0000-5600-000004000000}" name="Stanje" dataDxfId="88">
      <calculatedColumnFormula>B48-C48</calculatedColumnFormula>
    </tableColumn>
  </tableColumns>
  <tableStyleInfo name="TableStyleMedium2" showFirstColumn="1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57000000}" name="Tabela214185782" displayName="Tabela214185782" ref="A54:B57" totalsRowShown="0" headerRowDxfId="87" dataDxfId="86">
  <autoFilter ref="A54:B57" xr:uid="{00000000-0009-0000-0100-000051000000}"/>
  <tableColumns count="2">
    <tableColumn id="1" xr3:uid="{00000000-0010-0000-5700-000001000000}" name="Vrsta" dataDxfId="85"/>
    <tableColumn id="3" xr3:uid="{00000000-0010-0000-5700-000003000000}" name="Zalihe" dataDxfId="84"/>
  </tableColumns>
  <tableStyleInfo name="TableStyleMedium2" showFirstColumn="1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58000000}" name="Tabela14195883" displayName="Tabela14195883" ref="C54:D57" totalsRowCount="1">
  <autoFilter ref="C54:D56" xr:uid="{00000000-0009-0000-0100-000052000000}"/>
  <tableColumns count="2">
    <tableColumn id="1" xr3:uid="{00000000-0010-0000-5800-000001000000}" name="Pros Cena" totalsRowFunction="average" dataDxfId="83" totalsRowDxfId="82"/>
    <tableColumn id="2" xr3:uid="{00000000-0010-0000-5800-000002000000}" name="Ukupno" totalsRowFunction="custom" dataDxfId="81" totalsRowDxfId="80">
      <calculatedColumnFormula>Tabela214185782[[#This Row],[Zalihe]]*Tabela14195883[[#This Row],[Pros Cena]]</calculatedColumnFormula>
      <totalsRowFormula>D55+D56</totalsRowFormula>
    </tableColumn>
  </tableColumns>
  <tableStyleInfo name="TableStyleMedium2" showFirstColumn="1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59000000}" name="Tabela266284" displayName="Tabela266284" ref="A61:D65" totalsRowShown="0" headerRowDxfId="79" dataDxfId="78">
  <autoFilter ref="A61:D65" xr:uid="{00000000-0009-0000-0100-000053000000}"/>
  <tableColumns count="4">
    <tableColumn id="1" xr3:uid="{00000000-0010-0000-5900-000001000000}" name="Vrsta" dataDxfId="77"/>
    <tableColumn id="2" xr3:uid="{00000000-0010-0000-5900-000002000000}" name="Količina " dataDxfId="76"/>
    <tableColumn id="3" xr3:uid="{00000000-0010-0000-5900-000003000000}" name="Prodato" dataDxfId="75"/>
    <tableColumn id="4" xr3:uid="{00000000-0010-0000-5900-000004000000}" name="Stanje" dataDxfId="74">
      <calculatedColumnFormula>B62-C62</calculatedColumnFormula>
    </tableColumn>
  </tableColumns>
  <tableStyleInfo name="TableStyleMedium2" showFirstColumn="1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5A000000}" name="Tabela21418206385" displayName="Tabela21418206385" ref="A68:B71" totalsRowShown="0" headerRowDxfId="73" dataDxfId="72">
  <autoFilter ref="A68:B71" xr:uid="{00000000-0009-0000-0100-000054000000}"/>
  <tableColumns count="2">
    <tableColumn id="1" xr3:uid="{00000000-0010-0000-5A00-000001000000}" name="Vrsta" dataDxfId="71"/>
    <tableColumn id="3" xr3:uid="{00000000-0010-0000-5A00-000003000000}" name="Zalihe" dataDxfId="70"/>
  </tableColumns>
  <tableStyleInfo name="TableStyleMedium2" showFirstColumn="1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5B000000}" name="Tabela1419216486" displayName="Tabela1419216486" ref="C68:D71" totalsRowCount="1">
  <autoFilter ref="C68:D70" xr:uid="{00000000-0009-0000-0100-000055000000}"/>
  <tableColumns count="2">
    <tableColumn id="1" xr3:uid="{00000000-0010-0000-5B00-000001000000}" name="Pros Cena" dataDxfId="69" totalsRowDxfId="68"/>
    <tableColumn id="2" xr3:uid="{00000000-0010-0000-5B00-000002000000}" name="Ukupno" totalsRowFunction="custom" dataDxfId="67" totalsRowDxfId="66">
      <calculatedColumnFormula>Tabela21418206385[[#This Row],[Zalihe]]*Tabela1419216486[[#This Row],[Pros Cena]]</calculatedColumnFormula>
      <totalsRowFormula>D69+D70</totalsRowFormula>
    </tableColumn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5C000000}" name="Tabela396587" displayName="Tabela396587" ref="F68:G71" totalsRowCount="1">
  <autoFilter ref="F68:G70" xr:uid="{00000000-0009-0000-0100-000056000000}"/>
  <tableColumns count="2">
    <tableColumn id="1" xr3:uid="{00000000-0010-0000-5C00-000001000000}" name="Cena Din" totalsRowFunction="average" dataDxfId="65" totalsRowDxfId="64"/>
    <tableColumn id="2" xr3:uid="{00000000-0010-0000-5C00-000002000000}" name="Vrednost Din" totalsRowFunction="custom" dataDxfId="63" totalsRowDxfId="62">
      <calculatedColumnFormula>Tabela21418206385[[#This Row],[Zalihe]]*F69</calculatedColumnFormula>
      <totalsRowFormula>G69+G70</totalsRowFormula>
    </tableColumn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5D000000}" name="Tabela26116788" displayName="Tabela26116788" ref="A75:D78" totalsRowShown="0" headerRowDxfId="61" dataDxfId="60">
  <autoFilter ref="A75:D78" xr:uid="{00000000-0009-0000-0100-000057000000}"/>
  <tableColumns count="4">
    <tableColumn id="1" xr3:uid="{00000000-0010-0000-5D00-000001000000}" name="Vrsta" dataDxfId="59"/>
    <tableColumn id="2" xr3:uid="{00000000-0010-0000-5D00-000002000000}" name="Količina " dataDxfId="58"/>
    <tableColumn id="3" xr3:uid="{00000000-0010-0000-5D00-000003000000}" name="Prodato" dataDxfId="57"/>
    <tableColumn id="4" xr3:uid="{00000000-0010-0000-5D00-000004000000}" name="Stanje" dataDxfId="56">
      <calculatedColumnFormula>B76-C76</calculatedColumnFormula>
    </tableColumn>
  </tableColumns>
  <tableStyleInfo name="TableStyleMedium2" showFirstColumn="1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5E000000}" name="Tabela21418456889" displayName="Tabela21418456889" ref="A81:B84" totalsRowShown="0" headerRowDxfId="55" dataDxfId="54">
  <autoFilter ref="A81:B84" xr:uid="{00000000-0009-0000-0100-000058000000}"/>
  <tableColumns count="2">
    <tableColumn id="1" xr3:uid="{00000000-0010-0000-5E00-000001000000}" name="Vrsta" dataDxfId="53"/>
    <tableColumn id="3" xr3:uid="{00000000-0010-0000-5E00-000003000000}" name="Zalihe" dataDxfId="52"/>
  </tableColumns>
  <tableStyleInfo name="TableStyleMedium2" showFirstColumn="1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5F000000}" name="Tabela1419466990" displayName="Tabela1419466990" ref="C81:D84" totalsRowCount="1">
  <autoFilter ref="C81:D83" xr:uid="{00000000-0009-0000-0100-000059000000}"/>
  <tableColumns count="2">
    <tableColumn id="1" xr3:uid="{00000000-0010-0000-5F00-000001000000}" name="Pros Cena" totalsRowFunction="average" dataDxfId="51" totalsRowDxfId="50"/>
    <tableColumn id="2" xr3:uid="{00000000-0010-0000-5F00-000002000000}" name="Ukupno" totalsRowFunction="sum" dataDxfId="49" totalsRowDxfId="48">
      <calculatedColumnFormula>Tabela21418456889[[#This Row],[Zalihe]]*Tabela1419466990[[#This Row],[Pros Cena]]</calculatedColumnFormula>
    </tableColumn>
  </tableColumns>
  <tableStyleInfo name="TableStyleMedium2" showFirstColumn="1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60000000}" name="Tabela26397191" displayName="Tabela26397191" ref="A88:D92" totalsRowShown="0" headerRowDxfId="47" dataDxfId="46">
  <autoFilter ref="A88:D92" xr:uid="{00000000-0009-0000-0100-00005A000000}"/>
  <tableColumns count="4">
    <tableColumn id="1" xr3:uid="{00000000-0010-0000-6000-000001000000}" name="Vrsta" dataDxfId="45"/>
    <tableColumn id="2" xr3:uid="{00000000-0010-0000-6000-000002000000}" name="Količina " dataDxfId="44"/>
    <tableColumn id="3" xr3:uid="{00000000-0010-0000-6000-000003000000}" name="Prodato" dataDxfId="43"/>
    <tableColumn id="4" xr3:uid="{00000000-0010-0000-6000-000004000000}" name="Stanje" dataDxfId="42">
      <calculatedColumnFormula>B89-C89</calculatedColumnFormula>
    </tableColumn>
  </tableColumns>
  <tableStyleInfo name="TableStyleMedium2" showFirstColumn="1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61000000}" name="Baza" displayName="Baza" ref="A1:AQ266" tableType="queryTable" totalsRowShown="0">
  <autoFilter ref="A1:AQ266" xr:uid="{00000000-0009-0000-0100-00002B000000}"/>
  <sortState xmlns:xlrd2="http://schemas.microsoft.com/office/spreadsheetml/2017/richdata2" ref="A2:AQ266">
    <sortCondition ref="A1:A116"/>
  </sortState>
  <tableColumns count="43">
    <tableColumn id="1" xr3:uid="{00000000-0010-0000-6100-000001000000}" uniqueName="1" name="š" queryTableFieldId="1"/>
    <tableColumn id="2" xr3:uid="{00000000-0010-0000-6100-000002000000}" uniqueName="2" name="Datum" queryTableFieldId="2" dataDxfId="41"/>
    <tableColumn id="3" xr3:uid="{00000000-0010-0000-6100-000003000000}" uniqueName="3" name="Lokacija" queryTableFieldId="3" dataDxfId="40"/>
    <tableColumn id="4" xr3:uid="{00000000-0010-0000-6100-000004000000}" uniqueName="4" name="Tip Prometa" queryTableFieldId="4" dataDxfId="39"/>
    <tableColumn id="5" xr3:uid="{00000000-0010-0000-6100-000005000000}" uniqueName="5" name="Tip Komintenta" queryTableFieldId="5" dataDxfId="38"/>
    <tableColumn id="6" xr3:uid="{00000000-0010-0000-6100-000006000000}" uniqueName="6" name="Komintent" queryTableFieldId="6" dataDxfId="37"/>
    <tableColumn id="7" xr3:uid="{00000000-0010-0000-6100-000007000000}" uniqueName="7" name="Kat.Proizvoda" queryTableFieldId="7" dataDxfId="36"/>
    <tableColumn id="8" xr3:uid="{00000000-0010-0000-6100-000008000000}" uniqueName="8" name="Vr.Proizvoda" queryTableFieldId="8" dataDxfId="35"/>
    <tableColumn id="9" xr3:uid="{00000000-0010-0000-6100-000009000000}" uniqueName="9" name="Proizvod" queryTableFieldId="9" dataDxfId="34"/>
    <tableColumn id="10" xr3:uid="{00000000-0010-0000-6100-00000A000000}" uniqueName="10" name="Količina" queryTableFieldId="10" dataDxfId="33"/>
    <tableColumn id="11" xr3:uid="{00000000-0010-0000-6100-00000B000000}" uniqueName="11" name="Cena Din" queryTableFieldId="11" dataDxfId="32"/>
    <tableColumn id="12" xr3:uid="{00000000-0010-0000-6100-00000C000000}" uniqueName="12" name="Cena EUR" queryTableFieldId="12" dataDxfId="31"/>
    <tableColumn id="13" xr3:uid="{00000000-0010-0000-6100-00000D000000}" uniqueName="13" name="Marža" queryTableFieldId="13" dataDxfId="30"/>
    <tableColumn id="14" xr3:uid="{00000000-0010-0000-6100-00000E000000}" uniqueName="14" name="Iznos Din" queryTableFieldId="14" dataDxfId="29"/>
    <tableColumn id="15" xr3:uid="{00000000-0010-0000-6100-00000F000000}" uniqueName="15" name="Iznos EUR" queryTableFieldId="15" dataDxfId="28"/>
    <tableColumn id="16" xr3:uid="{00000000-0010-0000-6100-000010000000}" uniqueName="16" name="Isplata" queryTableFieldId="16" dataDxfId="27"/>
    <tableColumn id="17" xr3:uid="{00000000-0010-0000-6100-000011000000}" uniqueName="17" name="Ugovor Br" queryTableFieldId="17" dataDxfId="26"/>
    <tableColumn id="18" xr3:uid="{00000000-0010-0000-6100-000012000000}" uniqueName="18" name="Org. celina" queryTableFieldId="18" dataDxfId="25"/>
    <tableColumn id="19" xr3:uid="{00000000-0010-0000-6100-000013000000}" uniqueName="19" name="Grupa Troška" queryTableFieldId="19" dataDxfId="24"/>
    <tableColumn id="20" xr3:uid="{00000000-0010-0000-6100-000014000000}" uniqueName="20" name="Trošak" queryTableFieldId="20" dataDxfId="23"/>
    <tableColumn id="21" xr3:uid="{00000000-0010-0000-6100-000015000000}" uniqueName="21" name="Iznos Troška" queryTableFieldId="21" dataDxfId="22"/>
    <tableColumn id="22" xr3:uid="{00000000-0010-0000-6100-000016000000}" uniqueName="22" name="Uplata Din" queryTableFieldId="22" dataDxfId="21"/>
    <tableColumn id="23" xr3:uid="{00000000-0010-0000-6100-000017000000}" uniqueName="23" name="Uplate EUR" queryTableFieldId="23" dataDxfId="20"/>
    <tableColumn id="24" xr3:uid="{00000000-0010-0000-6100-000018000000}" uniqueName="24" name="Malina" queryTableFieldId="24" dataDxfId="19"/>
    <tableColumn id="25" xr3:uid="{00000000-0010-0000-6100-000019000000}" uniqueName="25" name="Kupina" queryTableFieldId="25" dataDxfId="18"/>
    <tableColumn id="26" xr3:uid="{00000000-0010-0000-6100-00001A000000}" uniqueName="26" name="Šljiva" queryTableFieldId="26" dataDxfId="17"/>
    <tableColumn id="27" xr3:uid="{00000000-0010-0000-6100-00001B000000}" uniqueName="27" name="Višnja" queryTableFieldId="27" dataDxfId="16"/>
    <tableColumn id="28" xr3:uid="{00000000-0010-0000-6100-00001C000000}" uniqueName="28" name="Kajsija" queryTableFieldId="28" dataDxfId="15"/>
    <tableColumn id="29" xr3:uid="{00000000-0010-0000-6100-00001D000000}" uniqueName="29" name="Borovnica" queryTableFieldId="29" dataDxfId="14"/>
    <tableColumn id="30" xr3:uid="{00000000-0010-0000-6100-00001E000000}" uniqueName="30" name="Kupina Sl" queryTableFieldId="30" dataDxfId="13"/>
    <tableColumn id="31" xr3:uid="{00000000-0010-0000-6100-00001F000000}" uniqueName="31" name="PDV Po Kg" queryTableFieldId="31" dataDxfId="12"/>
    <tableColumn id="32" xr3:uid="{00000000-0010-0000-6100-000020000000}" uniqueName="32" name="Cena bez PDV" queryTableFieldId="32" dataDxfId="11"/>
    <tableColumn id="33" xr3:uid="{00000000-0010-0000-6100-000021000000}" uniqueName="33" name="Vrednost bez PDV" queryTableFieldId="33" dataDxfId="10"/>
    <tableColumn id="34" xr3:uid="{00000000-0010-0000-6100-000022000000}" uniqueName="34" name="Vrednost za Isplatu" queryTableFieldId="34" dataDxfId="9"/>
    <tableColumn id="35" xr3:uid="{00000000-0010-0000-6100-000023000000}" uniqueName="35" name="Cena Koštanja Nabavka" queryTableFieldId="35" dataDxfId="8"/>
    <tableColumn id="36" xr3:uid="{00000000-0010-0000-6100-000024000000}" uniqueName="36" name="Obračunska Vrednost" queryTableFieldId="36" dataDxfId="7"/>
    <tableColumn id="37" xr3:uid="{00000000-0010-0000-6100-000025000000}" uniqueName="37" name="Vrednost Global Gap" queryTableFieldId="37" dataDxfId="6"/>
    <tableColumn id="38" xr3:uid="{00000000-0010-0000-6100-000026000000}" uniqueName="38" name="Vr.Doca Global gap" queryTableFieldId="38" dataDxfId="5"/>
    <tableColumn id="39" xr3:uid="{00000000-0010-0000-6100-000027000000}" uniqueName="39" name="Dobavljač Fakturna" queryTableFieldId="39" dataDxfId="4"/>
    <tableColumn id="40" xr3:uid="{00000000-0010-0000-6100-000028000000}" uniqueName="40" name="Otkup Isplata" queryTableFieldId="40" dataDxfId="3"/>
    <tableColumn id="41" xr3:uid="{00000000-0010-0000-6100-000029000000}" uniqueName="41" name="Nabavka Preduzeća" queryTableFieldId="41" dataDxfId="2"/>
    <tableColumn id="42" xr3:uid="{00000000-0010-0000-6100-00002A000000}" uniqueName="42" name="Ukupna Marža" queryTableFieldId="42" dataDxfId="1"/>
    <tableColumn id="43" xr3:uid="{00000000-0010-0000-6100-00002B000000}" uniqueName="43" name="Ugovorena Količina" queryTableFieldId="4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525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A2C9D0DF-85B2-4BF5-8BA8-2B188B044252}">
  <we:reference id="wa200005271" version="1.1.0.0" store="en-US" storeType="OMEX"/>
  <we:alternateReferences>
    <we:reference id="wa200005271" version="1.1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9761A3FB-1BA3-474C-93E4-1C0B43911C43}">
  <we:reference id="wa200009404" version="1.0.0.5" store="sr-Latn-RS" storeType="OMEX"/>
  <we:alternateReferences>
    <we:reference id="WA200009404" version="1.0.0.5" store="WA200009404" storeType="OMEX"/>
  </we:alternateReferences>
  <we:properties>
    <we:property name="claude.fileId" value="&quot;9b6de4e8-118c-47cb-afab-e160636debd2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5" Type="http://schemas.openxmlformats.org/officeDocument/2006/relationships/table" Target="../tables/table2.xml"/><Relationship Id="rId4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6.xml"/><Relationship Id="rId13" Type="http://schemas.openxmlformats.org/officeDocument/2006/relationships/table" Target="../tables/table31.xml"/><Relationship Id="rId18" Type="http://schemas.openxmlformats.org/officeDocument/2006/relationships/table" Target="../tables/table36.xml"/><Relationship Id="rId3" Type="http://schemas.openxmlformats.org/officeDocument/2006/relationships/table" Target="../tables/table21.xml"/><Relationship Id="rId21" Type="http://schemas.openxmlformats.org/officeDocument/2006/relationships/table" Target="../tables/table39.xml"/><Relationship Id="rId7" Type="http://schemas.openxmlformats.org/officeDocument/2006/relationships/table" Target="../tables/table25.xml"/><Relationship Id="rId12" Type="http://schemas.openxmlformats.org/officeDocument/2006/relationships/table" Target="../tables/table30.xml"/><Relationship Id="rId17" Type="http://schemas.openxmlformats.org/officeDocument/2006/relationships/table" Target="../tables/table35.xml"/><Relationship Id="rId2" Type="http://schemas.openxmlformats.org/officeDocument/2006/relationships/drawing" Target="../drawings/drawing3.xml"/><Relationship Id="rId16" Type="http://schemas.openxmlformats.org/officeDocument/2006/relationships/table" Target="../tables/table34.xml"/><Relationship Id="rId20" Type="http://schemas.openxmlformats.org/officeDocument/2006/relationships/table" Target="../tables/table3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4.xml"/><Relationship Id="rId11" Type="http://schemas.openxmlformats.org/officeDocument/2006/relationships/table" Target="../tables/table29.xml"/><Relationship Id="rId5" Type="http://schemas.openxmlformats.org/officeDocument/2006/relationships/table" Target="../tables/table23.xml"/><Relationship Id="rId15" Type="http://schemas.openxmlformats.org/officeDocument/2006/relationships/table" Target="../tables/table33.xml"/><Relationship Id="rId10" Type="http://schemas.openxmlformats.org/officeDocument/2006/relationships/table" Target="../tables/table28.xml"/><Relationship Id="rId19" Type="http://schemas.openxmlformats.org/officeDocument/2006/relationships/table" Target="../tables/table37.xml"/><Relationship Id="rId4" Type="http://schemas.openxmlformats.org/officeDocument/2006/relationships/table" Target="../tables/table22.xml"/><Relationship Id="rId9" Type="http://schemas.openxmlformats.org/officeDocument/2006/relationships/table" Target="../tables/table27.xml"/><Relationship Id="rId14" Type="http://schemas.openxmlformats.org/officeDocument/2006/relationships/table" Target="../tables/table32.xml"/><Relationship Id="rId22" Type="http://schemas.openxmlformats.org/officeDocument/2006/relationships/table" Target="../tables/table4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6.xml"/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Relationship Id="rId9" Type="http://schemas.openxmlformats.org/officeDocument/2006/relationships/table" Target="../tables/table4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3.xml"/><Relationship Id="rId3" Type="http://schemas.openxmlformats.org/officeDocument/2006/relationships/table" Target="../tables/table48.xml"/><Relationship Id="rId7" Type="http://schemas.openxmlformats.org/officeDocument/2006/relationships/table" Target="../tables/table5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1.xml"/><Relationship Id="rId5" Type="http://schemas.openxmlformats.org/officeDocument/2006/relationships/table" Target="../tables/table50.xml"/><Relationship Id="rId4" Type="http://schemas.openxmlformats.org/officeDocument/2006/relationships/table" Target="../tables/table4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7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4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13" Type="http://schemas.openxmlformats.org/officeDocument/2006/relationships/pivotTable" Target="../pivotTables/pivotTable30.xml"/><Relationship Id="rId18" Type="http://schemas.openxmlformats.org/officeDocument/2006/relationships/pivotTable" Target="../pivotTables/pivotTable35.xml"/><Relationship Id="rId26" Type="http://schemas.openxmlformats.org/officeDocument/2006/relationships/pivotTable" Target="../pivotTables/pivotTable43.xml"/><Relationship Id="rId39" Type="http://schemas.openxmlformats.org/officeDocument/2006/relationships/pivotTable" Target="../pivotTables/pivotTable56.xml"/><Relationship Id="rId3" Type="http://schemas.openxmlformats.org/officeDocument/2006/relationships/pivotTable" Target="../pivotTables/pivotTable20.xml"/><Relationship Id="rId21" Type="http://schemas.openxmlformats.org/officeDocument/2006/relationships/pivotTable" Target="../pivotTables/pivotTable38.xml"/><Relationship Id="rId34" Type="http://schemas.openxmlformats.org/officeDocument/2006/relationships/pivotTable" Target="../pivotTables/pivotTable51.xml"/><Relationship Id="rId42" Type="http://schemas.openxmlformats.org/officeDocument/2006/relationships/pivotTable" Target="../pivotTables/pivotTable59.xml"/><Relationship Id="rId47" Type="http://schemas.openxmlformats.org/officeDocument/2006/relationships/pivotTable" Target="../pivotTables/pivotTable64.xml"/><Relationship Id="rId7" Type="http://schemas.openxmlformats.org/officeDocument/2006/relationships/pivotTable" Target="../pivotTables/pivotTable24.xml"/><Relationship Id="rId12" Type="http://schemas.openxmlformats.org/officeDocument/2006/relationships/pivotTable" Target="../pivotTables/pivotTable29.xml"/><Relationship Id="rId17" Type="http://schemas.openxmlformats.org/officeDocument/2006/relationships/pivotTable" Target="../pivotTables/pivotTable34.xml"/><Relationship Id="rId25" Type="http://schemas.openxmlformats.org/officeDocument/2006/relationships/pivotTable" Target="../pivotTables/pivotTable42.xml"/><Relationship Id="rId33" Type="http://schemas.openxmlformats.org/officeDocument/2006/relationships/pivotTable" Target="../pivotTables/pivotTable50.xml"/><Relationship Id="rId38" Type="http://schemas.openxmlformats.org/officeDocument/2006/relationships/pivotTable" Target="../pivotTables/pivotTable55.xml"/><Relationship Id="rId46" Type="http://schemas.openxmlformats.org/officeDocument/2006/relationships/pivotTable" Target="../pivotTables/pivotTable63.xml"/><Relationship Id="rId2" Type="http://schemas.openxmlformats.org/officeDocument/2006/relationships/pivotTable" Target="../pivotTables/pivotTable19.xml"/><Relationship Id="rId16" Type="http://schemas.openxmlformats.org/officeDocument/2006/relationships/pivotTable" Target="../pivotTables/pivotTable33.xml"/><Relationship Id="rId20" Type="http://schemas.openxmlformats.org/officeDocument/2006/relationships/pivotTable" Target="../pivotTables/pivotTable37.xml"/><Relationship Id="rId29" Type="http://schemas.openxmlformats.org/officeDocument/2006/relationships/pivotTable" Target="../pivotTables/pivotTable46.xml"/><Relationship Id="rId41" Type="http://schemas.openxmlformats.org/officeDocument/2006/relationships/pivotTable" Target="../pivotTables/pivotTable58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openxmlformats.org/officeDocument/2006/relationships/pivotTable" Target="../pivotTables/pivotTable28.xml"/><Relationship Id="rId24" Type="http://schemas.openxmlformats.org/officeDocument/2006/relationships/pivotTable" Target="../pivotTables/pivotTable41.xml"/><Relationship Id="rId32" Type="http://schemas.openxmlformats.org/officeDocument/2006/relationships/pivotTable" Target="../pivotTables/pivotTable49.xml"/><Relationship Id="rId37" Type="http://schemas.openxmlformats.org/officeDocument/2006/relationships/pivotTable" Target="../pivotTables/pivotTable54.xml"/><Relationship Id="rId40" Type="http://schemas.openxmlformats.org/officeDocument/2006/relationships/pivotTable" Target="../pivotTables/pivotTable57.xml"/><Relationship Id="rId45" Type="http://schemas.openxmlformats.org/officeDocument/2006/relationships/pivotTable" Target="../pivotTables/pivotTable62.xml"/><Relationship Id="rId5" Type="http://schemas.openxmlformats.org/officeDocument/2006/relationships/pivotTable" Target="../pivotTables/pivotTable22.xml"/><Relationship Id="rId15" Type="http://schemas.openxmlformats.org/officeDocument/2006/relationships/pivotTable" Target="../pivotTables/pivotTable32.xml"/><Relationship Id="rId23" Type="http://schemas.openxmlformats.org/officeDocument/2006/relationships/pivotTable" Target="../pivotTables/pivotTable40.xml"/><Relationship Id="rId28" Type="http://schemas.openxmlformats.org/officeDocument/2006/relationships/pivotTable" Target="../pivotTables/pivotTable45.xml"/><Relationship Id="rId36" Type="http://schemas.openxmlformats.org/officeDocument/2006/relationships/pivotTable" Target="../pivotTables/pivotTable53.xml"/><Relationship Id="rId10" Type="http://schemas.openxmlformats.org/officeDocument/2006/relationships/pivotTable" Target="../pivotTables/pivotTable27.xml"/><Relationship Id="rId19" Type="http://schemas.openxmlformats.org/officeDocument/2006/relationships/pivotTable" Target="../pivotTables/pivotTable36.xml"/><Relationship Id="rId31" Type="http://schemas.openxmlformats.org/officeDocument/2006/relationships/pivotTable" Target="../pivotTables/pivotTable48.xml"/><Relationship Id="rId44" Type="http://schemas.openxmlformats.org/officeDocument/2006/relationships/pivotTable" Target="../pivotTables/pivotTable61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Relationship Id="rId14" Type="http://schemas.openxmlformats.org/officeDocument/2006/relationships/pivotTable" Target="../pivotTables/pivotTable31.xml"/><Relationship Id="rId22" Type="http://schemas.openxmlformats.org/officeDocument/2006/relationships/pivotTable" Target="../pivotTables/pivotTable39.xml"/><Relationship Id="rId27" Type="http://schemas.openxmlformats.org/officeDocument/2006/relationships/pivotTable" Target="../pivotTables/pivotTable44.xml"/><Relationship Id="rId30" Type="http://schemas.openxmlformats.org/officeDocument/2006/relationships/pivotTable" Target="../pivotTables/pivotTable47.xml"/><Relationship Id="rId35" Type="http://schemas.openxmlformats.org/officeDocument/2006/relationships/pivotTable" Target="../pivotTables/pivotTable52.xml"/><Relationship Id="rId43" Type="http://schemas.openxmlformats.org/officeDocument/2006/relationships/pivotTable" Target="../pivotTables/pivotTable60.xml"/><Relationship Id="rId48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0.xml"/><Relationship Id="rId13" Type="http://schemas.openxmlformats.org/officeDocument/2006/relationships/table" Target="../tables/table65.xml"/><Relationship Id="rId18" Type="http://schemas.openxmlformats.org/officeDocument/2006/relationships/table" Target="../tables/table70.xml"/><Relationship Id="rId3" Type="http://schemas.openxmlformats.org/officeDocument/2006/relationships/table" Target="../tables/table55.xml"/><Relationship Id="rId21" Type="http://schemas.openxmlformats.org/officeDocument/2006/relationships/table" Target="../tables/table73.xml"/><Relationship Id="rId7" Type="http://schemas.openxmlformats.org/officeDocument/2006/relationships/table" Target="../tables/table59.xml"/><Relationship Id="rId12" Type="http://schemas.openxmlformats.org/officeDocument/2006/relationships/table" Target="../tables/table64.xml"/><Relationship Id="rId17" Type="http://schemas.openxmlformats.org/officeDocument/2006/relationships/table" Target="../tables/table69.xml"/><Relationship Id="rId2" Type="http://schemas.openxmlformats.org/officeDocument/2006/relationships/table" Target="../tables/table54.xml"/><Relationship Id="rId16" Type="http://schemas.openxmlformats.org/officeDocument/2006/relationships/table" Target="../tables/table68.xml"/><Relationship Id="rId20" Type="http://schemas.openxmlformats.org/officeDocument/2006/relationships/table" Target="../tables/table7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58.xml"/><Relationship Id="rId11" Type="http://schemas.openxmlformats.org/officeDocument/2006/relationships/table" Target="../tables/table63.xml"/><Relationship Id="rId5" Type="http://schemas.openxmlformats.org/officeDocument/2006/relationships/table" Target="../tables/table57.xml"/><Relationship Id="rId15" Type="http://schemas.openxmlformats.org/officeDocument/2006/relationships/table" Target="../tables/table67.xml"/><Relationship Id="rId23" Type="http://schemas.openxmlformats.org/officeDocument/2006/relationships/table" Target="../tables/table75.xml"/><Relationship Id="rId10" Type="http://schemas.openxmlformats.org/officeDocument/2006/relationships/table" Target="../tables/table62.xml"/><Relationship Id="rId19" Type="http://schemas.openxmlformats.org/officeDocument/2006/relationships/table" Target="../tables/table71.xml"/><Relationship Id="rId4" Type="http://schemas.openxmlformats.org/officeDocument/2006/relationships/table" Target="../tables/table56.xml"/><Relationship Id="rId9" Type="http://schemas.openxmlformats.org/officeDocument/2006/relationships/table" Target="../tables/table61.xml"/><Relationship Id="rId14" Type="http://schemas.openxmlformats.org/officeDocument/2006/relationships/table" Target="../tables/table66.xml"/><Relationship Id="rId22" Type="http://schemas.openxmlformats.org/officeDocument/2006/relationships/table" Target="../tables/table7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2.xml"/><Relationship Id="rId13" Type="http://schemas.openxmlformats.org/officeDocument/2006/relationships/table" Target="../tables/table87.xml"/><Relationship Id="rId18" Type="http://schemas.openxmlformats.org/officeDocument/2006/relationships/table" Target="../tables/table92.xml"/><Relationship Id="rId3" Type="http://schemas.openxmlformats.org/officeDocument/2006/relationships/table" Target="../tables/table77.xml"/><Relationship Id="rId21" Type="http://schemas.openxmlformats.org/officeDocument/2006/relationships/table" Target="../tables/table95.xml"/><Relationship Id="rId7" Type="http://schemas.openxmlformats.org/officeDocument/2006/relationships/table" Target="../tables/table81.xml"/><Relationship Id="rId12" Type="http://schemas.openxmlformats.org/officeDocument/2006/relationships/table" Target="../tables/table86.xml"/><Relationship Id="rId17" Type="http://schemas.openxmlformats.org/officeDocument/2006/relationships/table" Target="../tables/table91.xml"/><Relationship Id="rId2" Type="http://schemas.openxmlformats.org/officeDocument/2006/relationships/table" Target="../tables/table76.xml"/><Relationship Id="rId16" Type="http://schemas.openxmlformats.org/officeDocument/2006/relationships/table" Target="../tables/table90.xml"/><Relationship Id="rId20" Type="http://schemas.openxmlformats.org/officeDocument/2006/relationships/table" Target="../tables/table94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80.xml"/><Relationship Id="rId11" Type="http://schemas.openxmlformats.org/officeDocument/2006/relationships/table" Target="../tables/table85.xml"/><Relationship Id="rId5" Type="http://schemas.openxmlformats.org/officeDocument/2006/relationships/table" Target="../tables/table79.xml"/><Relationship Id="rId15" Type="http://schemas.openxmlformats.org/officeDocument/2006/relationships/table" Target="../tables/table89.xml"/><Relationship Id="rId23" Type="http://schemas.openxmlformats.org/officeDocument/2006/relationships/table" Target="../tables/table97.xml"/><Relationship Id="rId10" Type="http://schemas.openxmlformats.org/officeDocument/2006/relationships/table" Target="../tables/table84.xml"/><Relationship Id="rId19" Type="http://schemas.openxmlformats.org/officeDocument/2006/relationships/table" Target="../tables/table93.xml"/><Relationship Id="rId4" Type="http://schemas.openxmlformats.org/officeDocument/2006/relationships/table" Target="../tables/table78.xml"/><Relationship Id="rId9" Type="http://schemas.openxmlformats.org/officeDocument/2006/relationships/table" Target="../tables/table83.xml"/><Relationship Id="rId14" Type="http://schemas.openxmlformats.org/officeDocument/2006/relationships/table" Target="../tables/table88.xml"/><Relationship Id="rId22" Type="http://schemas.openxmlformats.org/officeDocument/2006/relationships/table" Target="../tables/table9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8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2"/>
  <sheetViews>
    <sheetView topLeftCell="K1" workbookViewId="0">
      <selection activeCell="AA2" sqref="AA2"/>
    </sheetView>
  </sheetViews>
  <sheetFormatPr defaultRowHeight="14.5" x14ac:dyDescent="0.35"/>
  <cols>
    <col min="3" max="6" width="54.54296875" customWidth="1"/>
  </cols>
  <sheetData>
    <row r="1" spans="1:6" x14ac:dyDescent="0.35">
      <c r="A1" s="91" t="s">
        <v>446</v>
      </c>
      <c r="B1" s="91" t="s">
        <v>447</v>
      </c>
      <c r="C1" s="91" t="s">
        <v>448</v>
      </c>
      <c r="D1" s="91" t="s">
        <v>449</v>
      </c>
      <c r="E1" s="91" t="s">
        <v>450</v>
      </c>
      <c r="F1" s="91" t="s">
        <v>451</v>
      </c>
    </row>
    <row r="2" spans="1:6" x14ac:dyDescent="0.35">
      <c r="A2">
        <v>1</v>
      </c>
      <c r="B2" s="83">
        <v>46071</v>
      </c>
      <c r="C2" t="s">
        <v>452</v>
      </c>
      <c r="D2" t="s">
        <v>453</v>
      </c>
      <c r="E2" t="s">
        <v>454</v>
      </c>
      <c r="F2" t="s">
        <v>455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0"/>
  <dimension ref="A1:B8"/>
  <sheetViews>
    <sheetView workbookViewId="0">
      <selection activeCell="B10" sqref="B10"/>
    </sheetView>
  </sheetViews>
  <sheetFormatPr defaultRowHeight="14.5" x14ac:dyDescent="0.35"/>
  <cols>
    <col min="2" max="2" width="30.54296875" customWidth="1"/>
  </cols>
  <sheetData>
    <row r="1" spans="1:2" x14ac:dyDescent="0.35">
      <c r="A1" t="s">
        <v>373</v>
      </c>
      <c r="B1" s="80" t="s">
        <v>258</v>
      </c>
    </row>
    <row r="2" spans="1:2" x14ac:dyDescent="0.35">
      <c r="A2" t="s">
        <v>273</v>
      </c>
      <c r="B2" s="9" t="s">
        <v>106</v>
      </c>
    </row>
    <row r="3" spans="1:2" x14ac:dyDescent="0.35">
      <c r="A3" t="s">
        <v>274</v>
      </c>
      <c r="B3" s="9" t="s">
        <v>109</v>
      </c>
    </row>
    <row r="4" spans="1:2" x14ac:dyDescent="0.35">
      <c r="A4" t="s">
        <v>276</v>
      </c>
      <c r="B4" s="9" t="s">
        <v>267</v>
      </c>
    </row>
    <row r="5" spans="1:2" x14ac:dyDescent="0.35">
      <c r="A5" t="s">
        <v>277</v>
      </c>
      <c r="B5" s="9" t="s">
        <v>374</v>
      </c>
    </row>
    <row r="6" spans="1:2" x14ac:dyDescent="0.35">
      <c r="A6" t="s">
        <v>278</v>
      </c>
      <c r="B6" s="9" t="s">
        <v>376</v>
      </c>
    </row>
    <row r="7" spans="1:2" x14ac:dyDescent="0.35">
      <c r="A7" t="s">
        <v>375</v>
      </c>
      <c r="B7" s="9" t="s">
        <v>275</v>
      </c>
    </row>
    <row r="8" spans="1:2" x14ac:dyDescent="0.35">
      <c r="A8" t="s">
        <v>400</v>
      </c>
      <c r="B8" s="9" t="s">
        <v>377</v>
      </c>
    </row>
  </sheetData>
  <hyperlinks>
    <hyperlink ref="B2" location="Nabavka!A1" display="Nabavka" xr:uid="{00000000-0004-0000-0100-000000000000}"/>
    <hyperlink ref="B3" location="Prodaja!A1" display="Prodaja" xr:uid="{00000000-0004-0000-0100-000001000000}"/>
    <hyperlink ref="B4" location="Troškovi!A1" display="Troškovi" xr:uid="{00000000-0004-0000-0100-000002000000}"/>
    <hyperlink ref="B5" location="'Vrednost Zaliha'!A1" display="Vrednost zaliha" xr:uid="{00000000-0004-0000-0100-000003000000}"/>
    <hyperlink ref="B6" location="Izveštaj!A1" display="Izveštaj" xr:uid="{00000000-0004-0000-0100-000004000000}"/>
    <hyperlink ref="B7" location="Kalkulacija!A1" display="Kalkulacija" xr:uid="{00000000-0004-0000-0100-000005000000}"/>
    <hyperlink ref="B8" location="Ugovori!A1" display="Ugovori" xr:uid="{00000000-0004-0000-0100-000006000000}"/>
  </hyperlink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4"/>
  <dimension ref="A1:AA176"/>
  <sheetViews>
    <sheetView tabSelected="1" topLeftCell="A21" workbookViewId="0">
      <selection activeCell="F47" sqref="F47"/>
    </sheetView>
  </sheetViews>
  <sheetFormatPr defaultRowHeight="14.5" x14ac:dyDescent="0.35"/>
  <cols>
    <col min="1" max="1" width="14.7265625" bestFit="1" customWidth="1"/>
    <col min="2" max="2" width="17.81640625" bestFit="1" customWidth="1"/>
    <col min="3" max="3" width="13.54296875" bestFit="1" customWidth="1"/>
    <col min="4" max="4" width="6.81640625" bestFit="1" customWidth="1"/>
    <col min="5" max="6" width="12.7265625" bestFit="1" customWidth="1"/>
    <col min="7" max="7" width="27" bestFit="1" customWidth="1"/>
    <col min="8" max="8" width="13.54296875" customWidth="1"/>
    <col min="9" max="9" width="9.1796875" customWidth="1"/>
    <col min="10" max="10" width="34.54296875" bestFit="1" customWidth="1"/>
    <col min="11" max="11" width="12.54296875" bestFit="1" customWidth="1"/>
    <col min="12" max="12" width="13.54296875" bestFit="1" customWidth="1"/>
    <col min="13" max="13" width="6.81640625" bestFit="1" customWidth="1"/>
    <col min="14" max="14" width="12.7265625" bestFit="1" customWidth="1"/>
    <col min="15" max="15" width="8.453125" bestFit="1" customWidth="1"/>
    <col min="16" max="17" width="9.1796875" customWidth="1"/>
    <col min="18" max="18" width="12.54296875" hidden="1" customWidth="1"/>
    <col min="19" max="19" width="17.81640625" hidden="1" customWidth="1"/>
    <col min="20" max="20" width="17.81640625" customWidth="1"/>
    <col min="21" max="21" width="14.7265625" bestFit="1" customWidth="1"/>
    <col min="22" max="22" width="12.54296875" bestFit="1" customWidth="1"/>
    <col min="23" max="23" width="13.54296875" bestFit="1" customWidth="1"/>
    <col min="24" max="24" width="6.81640625" bestFit="1" customWidth="1"/>
    <col min="25" max="25" width="9.1796875" bestFit="1" customWidth="1"/>
    <col min="26" max="26" width="12.7265625" bestFit="1" customWidth="1"/>
    <col min="27" max="27" width="24.81640625" bestFit="1" customWidth="1"/>
    <col min="28" max="28" width="12.54296875" customWidth="1"/>
  </cols>
  <sheetData>
    <row r="1" spans="1:27" x14ac:dyDescent="0.35">
      <c r="A1" s="94" t="s">
        <v>259</v>
      </c>
      <c r="B1" s="94"/>
      <c r="E1" s="96" t="s">
        <v>21</v>
      </c>
      <c r="F1" s="96"/>
      <c r="I1" s="9" t="s">
        <v>258</v>
      </c>
      <c r="R1" s="2" t="s">
        <v>23</v>
      </c>
    </row>
    <row r="2" spans="1:27" x14ac:dyDescent="0.35">
      <c r="A2" s="5" t="s">
        <v>1</v>
      </c>
      <c r="B2" t="s">
        <v>460</v>
      </c>
      <c r="E2" s="81" t="s">
        <v>23</v>
      </c>
      <c r="F2" s="88">
        <f>'Pivoti za obračun'!BA11</f>
        <v>467.19881912651681</v>
      </c>
      <c r="J2" s="5" t="s">
        <v>1</v>
      </c>
      <c r="K2" t="s">
        <v>459</v>
      </c>
      <c r="R2" s="5" t="s">
        <v>1</v>
      </c>
      <c r="S2" t="s">
        <v>106</v>
      </c>
      <c r="U2" s="94" t="s">
        <v>260</v>
      </c>
      <c r="V2" s="94"/>
    </row>
    <row r="3" spans="1:27" ht="18.5" x14ac:dyDescent="0.45">
      <c r="A3" s="5" t="s">
        <v>2</v>
      </c>
      <c r="B3" t="s">
        <v>459</v>
      </c>
      <c r="E3" s="81" t="s">
        <v>409</v>
      </c>
      <c r="F3" s="88">
        <f>'Pivoti za obračun'!BB22</f>
        <v>1</v>
      </c>
      <c r="J3" s="5" t="s">
        <v>7</v>
      </c>
      <c r="K3" t="s">
        <v>459</v>
      </c>
      <c r="R3" s="5" t="s">
        <v>5</v>
      </c>
      <c r="S3" t="s">
        <v>460</v>
      </c>
      <c r="Y3" s="95" t="s">
        <v>261</v>
      </c>
      <c r="Z3" s="95"/>
    </row>
    <row r="4" spans="1:27" ht="21" x14ac:dyDescent="0.5">
      <c r="A4" s="5" t="s">
        <v>7</v>
      </c>
      <c r="B4" t="s">
        <v>459</v>
      </c>
      <c r="C4" s="5"/>
      <c r="E4" s="81" t="s">
        <v>410</v>
      </c>
      <c r="F4" s="88">
        <f>'Pivoti za obračun'!BB33</f>
        <v>0.83333333333333337</v>
      </c>
      <c r="J4" s="5" t="s">
        <v>5</v>
      </c>
      <c r="K4" t="s">
        <v>459</v>
      </c>
      <c r="R4" s="5" t="s">
        <v>8</v>
      </c>
      <c r="S4" t="s">
        <v>459</v>
      </c>
      <c r="U4" s="5" t="s">
        <v>1</v>
      </c>
      <c r="V4" t="s">
        <v>111</v>
      </c>
      <c r="Y4" s="93">
        <f>GETPIVOTDATA("Isplaćeno",$U$11)-GETPIVOTDATA("Vrednost",$U$11)</f>
        <v>70070050</v>
      </c>
      <c r="Z4" s="93"/>
    </row>
    <row r="5" spans="1:27" ht="18.5" x14ac:dyDescent="0.45">
      <c r="A5" s="5" t="s">
        <v>3</v>
      </c>
      <c r="B5" t="s">
        <v>459</v>
      </c>
      <c r="E5" s="81" t="s">
        <v>25</v>
      </c>
      <c r="F5" s="88">
        <f>'Pivoti za obračun'!BB44</f>
        <v>0.75</v>
      </c>
      <c r="J5" s="5" t="s">
        <v>4</v>
      </c>
      <c r="K5" t="s">
        <v>459</v>
      </c>
      <c r="U5" s="5" t="s">
        <v>2</v>
      </c>
      <c r="V5" t="s">
        <v>459</v>
      </c>
      <c r="Y5" s="95" t="s">
        <v>262</v>
      </c>
      <c r="Z5" s="95"/>
    </row>
    <row r="6" spans="1:27" ht="21" x14ac:dyDescent="0.5">
      <c r="A6" s="5" t="s">
        <v>4</v>
      </c>
      <c r="B6" t="s">
        <v>459</v>
      </c>
      <c r="E6" s="81" t="s">
        <v>26</v>
      </c>
      <c r="F6" s="88">
        <f>'Pivoti za obračun'!BA55</f>
        <v>2.0661157024793389E-3</v>
      </c>
      <c r="R6" t="s">
        <v>137</v>
      </c>
      <c r="S6" t="s">
        <v>138</v>
      </c>
      <c r="U6" s="5" t="s">
        <v>3</v>
      </c>
      <c r="V6" t="s">
        <v>459</v>
      </c>
      <c r="Y6" s="93">
        <f>GETPIVOTDATA("Isplaćeno",$U$11)-GETPIVOTDATA("Sum of Vrednost za Isplatu",$U$11)</f>
        <v>70070050</v>
      </c>
      <c r="Z6" s="93"/>
    </row>
    <row r="7" spans="1:27" x14ac:dyDescent="0.35">
      <c r="A7" s="5" t="s">
        <v>5</v>
      </c>
      <c r="B7" t="s">
        <v>459</v>
      </c>
      <c r="J7" s="11" t="s">
        <v>456</v>
      </c>
      <c r="K7" t="s">
        <v>137</v>
      </c>
      <c r="L7" t="s">
        <v>139</v>
      </c>
      <c r="M7" t="s">
        <v>140</v>
      </c>
      <c r="N7" t="s">
        <v>138</v>
      </c>
      <c r="O7" t="s">
        <v>412</v>
      </c>
      <c r="R7" s="1">
        <v>165147</v>
      </c>
      <c r="S7" s="1">
        <v>77149492.399999976</v>
      </c>
      <c r="T7" s="1"/>
      <c r="U7" s="5" t="s">
        <v>4</v>
      </c>
      <c r="V7" t="s">
        <v>459</v>
      </c>
    </row>
    <row r="8" spans="1:27" x14ac:dyDescent="0.35">
      <c r="A8" s="5" t="s">
        <v>6</v>
      </c>
      <c r="B8" t="s">
        <v>459</v>
      </c>
      <c r="J8" s="10">
        <v>43466</v>
      </c>
      <c r="K8" s="1">
        <v>98</v>
      </c>
      <c r="L8" s="1">
        <v>0.97169811320754718</v>
      </c>
      <c r="M8" s="1">
        <v>0</v>
      </c>
      <c r="N8" s="1">
        <v>99</v>
      </c>
      <c r="O8" s="92">
        <v>6786</v>
      </c>
      <c r="R8" s="2" t="s">
        <v>243</v>
      </c>
      <c r="U8" s="5" t="s">
        <v>5</v>
      </c>
      <c r="V8" t="s">
        <v>459</v>
      </c>
    </row>
    <row r="9" spans="1:27" x14ac:dyDescent="0.35">
      <c r="J9" s="10">
        <v>44197</v>
      </c>
      <c r="K9" s="1">
        <v>12</v>
      </c>
      <c r="L9" s="1">
        <v>1</v>
      </c>
      <c r="M9" s="1">
        <v>1</v>
      </c>
      <c r="N9" s="1">
        <v>24</v>
      </c>
      <c r="O9" s="92">
        <v>1470</v>
      </c>
      <c r="R9" s="5" t="s">
        <v>1</v>
      </c>
      <c r="S9" t="s">
        <v>106</v>
      </c>
      <c r="U9" s="5" t="s">
        <v>6</v>
      </c>
      <c r="V9" t="s">
        <v>459</v>
      </c>
    </row>
    <row r="10" spans="1:27" x14ac:dyDescent="0.35">
      <c r="A10" s="5" t="s">
        <v>456</v>
      </c>
      <c r="B10" t="s">
        <v>137</v>
      </c>
      <c r="C10" t="s">
        <v>139</v>
      </c>
      <c r="D10" t="s">
        <v>140</v>
      </c>
      <c r="E10" t="s">
        <v>138</v>
      </c>
      <c r="F10" t="s">
        <v>141</v>
      </c>
      <c r="G10" t="s">
        <v>383</v>
      </c>
      <c r="J10" s="10">
        <v>44270</v>
      </c>
      <c r="K10" s="1">
        <v>2</v>
      </c>
      <c r="L10" s="1">
        <v>1</v>
      </c>
      <c r="M10" s="1">
        <v>1</v>
      </c>
      <c r="N10" s="1">
        <v>3</v>
      </c>
      <c r="O10" s="92">
        <v>259</v>
      </c>
      <c r="P10" s="5"/>
      <c r="R10" s="5" t="s">
        <v>5</v>
      </c>
      <c r="S10" t="s">
        <v>460</v>
      </c>
    </row>
    <row r="11" spans="1:27" x14ac:dyDescent="0.35">
      <c r="A11" s="10">
        <v>43466</v>
      </c>
      <c r="B11" s="1">
        <v>66</v>
      </c>
      <c r="C11" s="1">
        <v>0.95588235294117652</v>
      </c>
      <c r="D11" s="1">
        <v>0</v>
      </c>
      <c r="E11" s="1">
        <v>67</v>
      </c>
      <c r="F11" s="1">
        <v>1</v>
      </c>
      <c r="G11" s="1">
        <v>42</v>
      </c>
      <c r="H11" s="1"/>
      <c r="J11" s="7" t="s">
        <v>62</v>
      </c>
      <c r="K11" s="1">
        <v>1</v>
      </c>
      <c r="L11" s="1">
        <v>1</v>
      </c>
      <c r="M11" s="1">
        <v>1</v>
      </c>
      <c r="N11" s="1">
        <v>2</v>
      </c>
      <c r="O11" s="92">
        <v>129</v>
      </c>
      <c r="R11" s="5" t="s">
        <v>8</v>
      </c>
      <c r="S11" t="s">
        <v>459</v>
      </c>
      <c r="U11" s="5" t="s">
        <v>456</v>
      </c>
      <c r="V11" t="s">
        <v>137</v>
      </c>
      <c r="W11" t="s">
        <v>139</v>
      </c>
      <c r="X11" t="s">
        <v>140</v>
      </c>
      <c r="Y11" t="s">
        <v>138</v>
      </c>
      <c r="Z11" t="s">
        <v>141</v>
      </c>
      <c r="AA11" t="s">
        <v>391</v>
      </c>
    </row>
    <row r="12" spans="1:27" x14ac:dyDescent="0.35">
      <c r="A12" s="10">
        <v>44197</v>
      </c>
      <c r="B12" s="1">
        <v>12</v>
      </c>
      <c r="C12" s="1">
        <v>1</v>
      </c>
      <c r="D12" s="1">
        <v>1</v>
      </c>
      <c r="E12" s="1">
        <v>24</v>
      </c>
      <c r="F12" s="1">
        <v>0</v>
      </c>
      <c r="G12" s="1">
        <v>12</v>
      </c>
      <c r="H12" s="1"/>
      <c r="J12" s="13" t="s">
        <v>401</v>
      </c>
      <c r="K12" s="1">
        <v>1</v>
      </c>
      <c r="L12" s="1">
        <v>1</v>
      </c>
      <c r="M12" s="1">
        <v>1</v>
      </c>
      <c r="N12" s="1">
        <v>2</v>
      </c>
      <c r="O12" s="92">
        <v>129</v>
      </c>
      <c r="U12" s="10">
        <v>43466</v>
      </c>
      <c r="V12" s="1"/>
      <c r="W12" s="1"/>
      <c r="X12" s="1"/>
      <c r="Y12" s="1"/>
      <c r="Z12" s="1">
        <v>1</v>
      </c>
      <c r="AA12" s="1">
        <v>0</v>
      </c>
    </row>
    <row r="13" spans="1:27" x14ac:dyDescent="0.35">
      <c r="A13" s="10">
        <v>44270</v>
      </c>
      <c r="B13" s="1">
        <v>1</v>
      </c>
      <c r="C13" s="1">
        <v>1</v>
      </c>
      <c r="D13" s="1">
        <v>1</v>
      </c>
      <c r="E13" s="1">
        <v>2</v>
      </c>
      <c r="F13" s="1">
        <v>0</v>
      </c>
      <c r="G13" s="1">
        <v>1</v>
      </c>
      <c r="H13" s="1"/>
      <c r="J13" s="7" t="s">
        <v>408</v>
      </c>
      <c r="K13" s="1">
        <v>1</v>
      </c>
      <c r="L13" s="1">
        <v>1</v>
      </c>
      <c r="M13" s="1"/>
      <c r="N13" s="1">
        <v>1</v>
      </c>
      <c r="O13" s="92">
        <v>130</v>
      </c>
      <c r="R13" t="s">
        <v>137</v>
      </c>
      <c r="S13" t="s">
        <v>138</v>
      </c>
      <c r="U13" s="10">
        <v>44690</v>
      </c>
      <c r="V13" s="1"/>
      <c r="W13" s="1"/>
      <c r="X13" s="1"/>
      <c r="Y13" s="1"/>
      <c r="Z13" s="1">
        <v>1</v>
      </c>
      <c r="AA13" s="1">
        <v>0</v>
      </c>
    </row>
    <row r="14" spans="1:27" x14ac:dyDescent="0.35">
      <c r="A14" s="10">
        <v>44690</v>
      </c>
      <c r="B14" s="1">
        <v>1</v>
      </c>
      <c r="C14" s="1">
        <v>1</v>
      </c>
      <c r="D14" s="1">
        <v>1</v>
      </c>
      <c r="E14" s="1">
        <v>2</v>
      </c>
      <c r="F14" s="1">
        <v>1</v>
      </c>
      <c r="G14" s="1">
        <v>1</v>
      </c>
      <c r="H14" s="1"/>
      <c r="J14" s="13" t="s">
        <v>399</v>
      </c>
      <c r="K14" s="1">
        <v>1</v>
      </c>
      <c r="L14" s="1">
        <v>1</v>
      </c>
      <c r="M14" s="1"/>
      <c r="N14" s="1">
        <v>1</v>
      </c>
      <c r="O14" s="92">
        <v>130</v>
      </c>
      <c r="R14" s="1">
        <v>23</v>
      </c>
      <c r="S14" s="1">
        <v>26</v>
      </c>
      <c r="T14" s="1"/>
      <c r="U14" s="10">
        <v>46175</v>
      </c>
      <c r="V14" s="1"/>
      <c r="W14" s="1"/>
      <c r="X14" s="1"/>
      <c r="Y14" s="1"/>
      <c r="Z14" s="1">
        <v>1500000</v>
      </c>
      <c r="AA14" s="1">
        <v>0</v>
      </c>
    </row>
    <row r="15" spans="1:27" x14ac:dyDescent="0.35">
      <c r="A15" s="10">
        <v>45420</v>
      </c>
      <c r="B15" s="1">
        <v>1</v>
      </c>
      <c r="C15" s="1">
        <v>1</v>
      </c>
      <c r="D15" s="1">
        <v>1</v>
      </c>
      <c r="E15" s="1">
        <v>2</v>
      </c>
      <c r="F15" s="1">
        <v>0</v>
      </c>
      <c r="G15" s="1">
        <v>1</v>
      </c>
      <c r="H15" s="1"/>
      <c r="J15" s="10">
        <v>44690</v>
      </c>
      <c r="K15" s="1">
        <v>2</v>
      </c>
      <c r="L15" s="1">
        <v>1</v>
      </c>
      <c r="M15" s="1">
        <v>1</v>
      </c>
      <c r="N15" s="1">
        <v>3</v>
      </c>
      <c r="O15" s="92">
        <v>530</v>
      </c>
      <c r="R15" s="2" t="s">
        <v>25</v>
      </c>
      <c r="U15" s="10">
        <v>46176</v>
      </c>
      <c r="V15" s="1"/>
      <c r="W15" s="1"/>
      <c r="X15" s="1"/>
      <c r="Y15" s="1"/>
      <c r="Z15" s="1">
        <v>72390</v>
      </c>
      <c r="AA15" s="1">
        <v>0</v>
      </c>
    </row>
    <row r="16" spans="1:27" x14ac:dyDescent="0.35">
      <c r="A16" s="10">
        <v>45433</v>
      </c>
      <c r="B16" s="1">
        <v>1</v>
      </c>
      <c r="C16" s="1">
        <v>1</v>
      </c>
      <c r="D16" s="1">
        <v>1</v>
      </c>
      <c r="E16" s="1">
        <v>2</v>
      </c>
      <c r="F16" s="1">
        <v>0</v>
      </c>
      <c r="G16" s="1">
        <v>1</v>
      </c>
      <c r="H16" s="1"/>
      <c r="J16" s="7" t="s">
        <v>104</v>
      </c>
      <c r="K16" s="1">
        <v>1</v>
      </c>
      <c r="L16" s="1">
        <v>1</v>
      </c>
      <c r="M16" s="1"/>
      <c r="N16" s="1">
        <v>1</v>
      </c>
      <c r="O16" s="92">
        <v>132</v>
      </c>
      <c r="R16" s="5" t="s">
        <v>1</v>
      </c>
      <c r="S16" t="s">
        <v>106</v>
      </c>
      <c r="U16" s="10">
        <v>46169</v>
      </c>
      <c r="V16" s="1"/>
      <c r="W16" s="1"/>
      <c r="X16" s="1"/>
      <c r="Y16" s="1"/>
      <c r="Z16" s="1">
        <v>1500000</v>
      </c>
      <c r="AA16" s="1">
        <v>0</v>
      </c>
    </row>
    <row r="17" spans="1:27" x14ac:dyDescent="0.35">
      <c r="A17" s="10">
        <v>45439</v>
      </c>
      <c r="B17" s="1">
        <v>1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/>
      <c r="J17" s="13" t="s">
        <v>399</v>
      </c>
      <c r="K17" s="1">
        <v>1</v>
      </c>
      <c r="L17" s="1">
        <v>1</v>
      </c>
      <c r="M17" s="1"/>
      <c r="N17" s="1">
        <v>1</v>
      </c>
      <c r="O17" s="92">
        <v>132</v>
      </c>
      <c r="R17" s="5" t="s">
        <v>5</v>
      </c>
      <c r="S17" t="s">
        <v>460</v>
      </c>
      <c r="U17" s="10">
        <v>46181</v>
      </c>
      <c r="V17" s="1"/>
      <c r="W17" s="1"/>
      <c r="X17" s="1"/>
      <c r="Y17" s="1"/>
      <c r="Z17" s="1">
        <v>5000000</v>
      </c>
      <c r="AA17" s="1">
        <v>0</v>
      </c>
    </row>
    <row r="18" spans="1:27" x14ac:dyDescent="0.35">
      <c r="A18" s="10">
        <v>46167</v>
      </c>
      <c r="B18" s="1">
        <v>100</v>
      </c>
      <c r="C18" s="1">
        <v>200</v>
      </c>
      <c r="D18" s="1">
        <v>18.5</v>
      </c>
      <c r="E18" s="1">
        <v>43918.5</v>
      </c>
      <c r="F18" s="1">
        <v>0</v>
      </c>
      <c r="G18" s="1">
        <v>40940.725200000001</v>
      </c>
      <c r="H18" s="1"/>
      <c r="J18" s="7" t="s">
        <v>35</v>
      </c>
      <c r="K18" s="1">
        <v>1</v>
      </c>
      <c r="L18" s="1">
        <v>1</v>
      </c>
      <c r="M18" s="1">
        <v>1</v>
      </c>
      <c r="N18" s="1">
        <v>2</v>
      </c>
      <c r="O18" s="92">
        <v>131</v>
      </c>
      <c r="R18" s="5" t="s">
        <v>8</v>
      </c>
      <c r="S18" t="s">
        <v>459</v>
      </c>
      <c r="U18" s="10">
        <v>46182</v>
      </c>
      <c r="V18" s="1"/>
      <c r="W18" s="1"/>
      <c r="X18" s="1"/>
      <c r="Y18" s="1"/>
      <c r="Z18" s="1">
        <v>4900000</v>
      </c>
      <c r="AA18" s="1">
        <v>0</v>
      </c>
    </row>
    <row r="19" spans="1:27" x14ac:dyDescent="0.35">
      <c r="A19" s="10">
        <v>46169</v>
      </c>
      <c r="B19" s="1">
        <v>0</v>
      </c>
      <c r="C19" s="1">
        <v>0</v>
      </c>
      <c r="D19" s="1">
        <v>0</v>
      </c>
      <c r="E19" s="1">
        <v>0</v>
      </c>
      <c r="F19" s="1">
        <v>1500000</v>
      </c>
      <c r="G19" s="1">
        <v>0</v>
      </c>
      <c r="H19" s="1"/>
      <c r="J19" s="13" t="s">
        <v>33</v>
      </c>
      <c r="K19" s="1">
        <v>1</v>
      </c>
      <c r="L19" s="1">
        <v>1</v>
      </c>
      <c r="M19" s="1">
        <v>1</v>
      </c>
      <c r="N19" s="1">
        <v>2</v>
      </c>
      <c r="O19" s="92">
        <v>131</v>
      </c>
      <c r="U19" s="10">
        <v>46183</v>
      </c>
      <c r="V19" s="1"/>
      <c r="W19" s="1"/>
      <c r="X19" s="1"/>
      <c r="Y19" s="1"/>
      <c r="Z19" s="1">
        <v>10000000</v>
      </c>
      <c r="AA19" s="1">
        <v>0</v>
      </c>
    </row>
    <row r="20" spans="1:27" x14ac:dyDescent="0.35">
      <c r="A20" s="10">
        <v>46170</v>
      </c>
      <c r="B20" s="1">
        <v>138</v>
      </c>
      <c r="C20" s="1">
        <v>200</v>
      </c>
      <c r="D20" s="1">
        <v>18.5</v>
      </c>
      <c r="E20" s="1">
        <v>60087.5</v>
      </c>
      <c r="F20" s="1">
        <v>0</v>
      </c>
      <c r="G20" s="1">
        <v>56013.43</v>
      </c>
      <c r="J20" s="7" t="s">
        <v>457</v>
      </c>
      <c r="K20" s="1"/>
      <c r="L20" s="1"/>
      <c r="M20" s="1"/>
      <c r="N20" s="1"/>
      <c r="O20" s="92">
        <v>267</v>
      </c>
      <c r="R20" t="s">
        <v>137</v>
      </c>
      <c r="S20" t="s">
        <v>138</v>
      </c>
      <c r="U20" s="10">
        <v>46184</v>
      </c>
      <c r="V20" s="1"/>
      <c r="W20" s="1"/>
      <c r="X20" s="1"/>
      <c r="Y20" s="1"/>
      <c r="Z20" s="1">
        <v>5000000</v>
      </c>
      <c r="AA20" s="1">
        <v>0</v>
      </c>
    </row>
    <row r="21" spans="1:27" x14ac:dyDescent="0.35">
      <c r="A21" s="10">
        <v>46172</v>
      </c>
      <c r="B21" s="1">
        <v>430</v>
      </c>
      <c r="C21" s="1">
        <v>170</v>
      </c>
      <c r="D21" s="1">
        <v>7.4</v>
      </c>
      <c r="E21" s="1">
        <v>186379.5</v>
      </c>
      <c r="F21" s="1">
        <v>0</v>
      </c>
      <c r="G21" s="1">
        <v>173683.2164</v>
      </c>
      <c r="J21" s="13" t="s">
        <v>33</v>
      </c>
      <c r="K21" s="1"/>
      <c r="L21" s="1"/>
      <c r="M21" s="1"/>
      <c r="N21" s="1"/>
      <c r="O21" s="92">
        <v>134</v>
      </c>
      <c r="R21" s="1">
        <v>8</v>
      </c>
      <c r="S21" s="1">
        <v>10</v>
      </c>
      <c r="T21" s="1"/>
      <c r="U21" s="10">
        <v>46185</v>
      </c>
      <c r="V21" s="1"/>
      <c r="W21" s="1"/>
      <c r="X21" s="1"/>
      <c r="Y21" s="1"/>
      <c r="Z21" s="1">
        <v>8000000</v>
      </c>
      <c r="AA21" s="1">
        <v>0</v>
      </c>
    </row>
    <row r="22" spans="1:27" x14ac:dyDescent="0.35">
      <c r="A22" s="10">
        <v>46174</v>
      </c>
      <c r="B22" s="1">
        <v>1024</v>
      </c>
      <c r="C22" s="1">
        <v>400</v>
      </c>
      <c r="D22" s="1">
        <v>37</v>
      </c>
      <c r="E22" s="1">
        <v>447400.6</v>
      </c>
      <c r="F22" s="1">
        <v>0</v>
      </c>
      <c r="G22" s="1">
        <v>417065.81552</v>
      </c>
      <c r="J22" s="13" t="s">
        <v>457</v>
      </c>
      <c r="K22" s="1"/>
      <c r="L22" s="1"/>
      <c r="M22" s="1"/>
      <c r="N22" s="1"/>
      <c r="O22" s="92">
        <v>133</v>
      </c>
      <c r="R22" s="2" t="s">
        <v>26</v>
      </c>
      <c r="U22" s="10">
        <v>46188</v>
      </c>
      <c r="V22" s="1"/>
      <c r="W22" s="1"/>
      <c r="X22" s="1"/>
      <c r="Y22" s="1"/>
      <c r="Z22" s="1">
        <v>6000000</v>
      </c>
      <c r="AA22" s="1">
        <v>0</v>
      </c>
    </row>
    <row r="23" spans="1:27" x14ac:dyDescent="0.35">
      <c r="A23" s="10">
        <v>46175</v>
      </c>
      <c r="B23" s="1">
        <v>1148</v>
      </c>
      <c r="C23" s="1">
        <v>402.5</v>
      </c>
      <c r="D23" s="1">
        <v>18.5</v>
      </c>
      <c r="E23" s="1">
        <v>501156.6</v>
      </c>
      <c r="F23" s="1">
        <v>1500000</v>
      </c>
      <c r="G23" s="1">
        <v>467142.74512500002</v>
      </c>
      <c r="J23" s="10">
        <v>44691</v>
      </c>
      <c r="K23" s="1"/>
      <c r="L23" s="1"/>
      <c r="M23" s="1"/>
      <c r="N23" s="1"/>
      <c r="O23" s="92">
        <v>135</v>
      </c>
      <c r="R23" s="5" t="s">
        <v>1</v>
      </c>
      <c r="S23" t="s">
        <v>106</v>
      </c>
      <c r="U23" s="10">
        <v>46189</v>
      </c>
      <c r="V23" s="1"/>
      <c r="W23" s="1"/>
      <c r="X23" s="1"/>
      <c r="Y23" s="1"/>
      <c r="Z23" s="1">
        <v>5000000</v>
      </c>
      <c r="AA23" s="1">
        <v>0</v>
      </c>
    </row>
    <row r="24" spans="1:27" x14ac:dyDescent="0.35">
      <c r="A24" s="10">
        <v>46176</v>
      </c>
      <c r="B24" s="1">
        <v>2033</v>
      </c>
      <c r="C24" s="1">
        <v>400</v>
      </c>
      <c r="D24" s="1">
        <v>37</v>
      </c>
      <c r="E24" s="1">
        <v>888377.3</v>
      </c>
      <c r="F24" s="1">
        <v>72390</v>
      </c>
      <c r="G24" s="1">
        <v>828143.28616000002</v>
      </c>
      <c r="J24" s="7" t="s">
        <v>457</v>
      </c>
      <c r="K24" s="1"/>
      <c r="L24" s="1"/>
      <c r="M24" s="1"/>
      <c r="N24" s="1"/>
      <c r="O24" s="92">
        <v>135</v>
      </c>
      <c r="R24" s="5" t="s">
        <v>5</v>
      </c>
      <c r="S24" t="s">
        <v>460</v>
      </c>
      <c r="U24" s="10">
        <v>46190</v>
      </c>
      <c r="V24" s="1"/>
      <c r="W24" s="1"/>
      <c r="X24" s="1"/>
      <c r="Y24" s="1"/>
      <c r="Z24" s="1">
        <v>7000000</v>
      </c>
      <c r="AA24" s="1">
        <v>0</v>
      </c>
    </row>
    <row r="25" spans="1:27" x14ac:dyDescent="0.35">
      <c r="A25" s="10">
        <v>46177</v>
      </c>
      <c r="B25" s="1">
        <v>2100</v>
      </c>
      <c r="C25" s="1">
        <v>400</v>
      </c>
      <c r="D25" s="1">
        <v>37</v>
      </c>
      <c r="E25" s="1">
        <v>917612.6</v>
      </c>
      <c r="F25" s="1">
        <v>0</v>
      </c>
      <c r="G25" s="1">
        <v>855396.36592000013</v>
      </c>
      <c r="J25" s="13" t="s">
        <v>399</v>
      </c>
      <c r="K25" s="1"/>
      <c r="L25" s="1"/>
      <c r="M25" s="1"/>
      <c r="N25" s="1"/>
      <c r="O25" s="92">
        <v>135</v>
      </c>
      <c r="R25" s="5" t="s">
        <v>8</v>
      </c>
      <c r="S25" t="s">
        <v>459</v>
      </c>
      <c r="U25" s="10">
        <v>46191</v>
      </c>
      <c r="V25" s="1"/>
      <c r="W25" s="1"/>
      <c r="X25" s="1"/>
      <c r="Y25" s="1"/>
      <c r="Z25" s="1">
        <v>6000000</v>
      </c>
      <c r="AA25" s="1">
        <v>0</v>
      </c>
    </row>
    <row r="26" spans="1:27" x14ac:dyDescent="0.35">
      <c r="A26" s="10">
        <v>46178</v>
      </c>
      <c r="B26" s="1">
        <v>5818</v>
      </c>
      <c r="C26" s="1">
        <v>400</v>
      </c>
      <c r="D26" s="1">
        <v>37</v>
      </c>
      <c r="E26" s="1">
        <v>2542466</v>
      </c>
      <c r="F26" s="1">
        <v>0</v>
      </c>
      <c r="G26" s="1">
        <v>2370080.9872000003</v>
      </c>
      <c r="J26" s="10">
        <v>45420</v>
      </c>
      <c r="K26" s="1">
        <v>1</v>
      </c>
      <c r="L26" s="1">
        <v>1</v>
      </c>
      <c r="M26" s="1">
        <v>1</v>
      </c>
      <c r="N26" s="1">
        <v>2</v>
      </c>
      <c r="O26" s="92">
        <v>136</v>
      </c>
      <c r="U26" s="10">
        <v>46192</v>
      </c>
      <c r="V26" s="1"/>
      <c r="W26" s="1"/>
      <c r="X26" s="1"/>
      <c r="Y26" s="1"/>
      <c r="Z26" s="1">
        <v>10097658</v>
      </c>
      <c r="AA26" s="1">
        <v>0</v>
      </c>
    </row>
    <row r="27" spans="1:27" x14ac:dyDescent="0.35">
      <c r="A27" s="10">
        <v>46179</v>
      </c>
      <c r="B27" s="1">
        <v>5002</v>
      </c>
      <c r="C27" s="1">
        <v>402.5</v>
      </c>
      <c r="D27" s="1">
        <v>18.5</v>
      </c>
      <c r="E27" s="1">
        <v>2185051.7999999998</v>
      </c>
      <c r="F27" s="1">
        <v>0</v>
      </c>
      <c r="G27" s="1">
        <v>2036855.837085</v>
      </c>
      <c r="J27" s="7" t="s">
        <v>35</v>
      </c>
      <c r="K27" s="1">
        <v>1</v>
      </c>
      <c r="L27" s="1">
        <v>1</v>
      </c>
      <c r="M27" s="1">
        <v>1</v>
      </c>
      <c r="N27" s="1">
        <v>2</v>
      </c>
      <c r="O27" s="92">
        <v>136</v>
      </c>
      <c r="R27" t="s">
        <v>137</v>
      </c>
      <c r="S27" t="s">
        <v>138</v>
      </c>
      <c r="U27" s="10" t="s">
        <v>458</v>
      </c>
      <c r="V27" s="1"/>
      <c r="W27" s="1"/>
      <c r="X27" s="1"/>
      <c r="Y27" s="1"/>
      <c r="Z27" s="1">
        <v>70070050</v>
      </c>
      <c r="AA27" s="1">
        <v>0</v>
      </c>
    </row>
    <row r="28" spans="1:27" x14ac:dyDescent="0.35">
      <c r="A28" s="10">
        <v>46180</v>
      </c>
      <c r="B28" s="1">
        <v>7315</v>
      </c>
      <c r="C28" s="1">
        <v>402.5</v>
      </c>
      <c r="D28" s="1">
        <v>18.5</v>
      </c>
      <c r="E28" s="1">
        <v>3195998.1</v>
      </c>
      <c r="F28" s="1">
        <v>0</v>
      </c>
      <c r="G28" s="1">
        <v>2979267.3167310003</v>
      </c>
      <c r="J28" s="13" t="s">
        <v>33</v>
      </c>
      <c r="K28" s="1">
        <v>1</v>
      </c>
      <c r="L28" s="1">
        <v>1</v>
      </c>
      <c r="M28" s="1">
        <v>1</v>
      </c>
      <c r="N28" s="1">
        <v>2</v>
      </c>
      <c r="O28" s="92">
        <v>136</v>
      </c>
      <c r="R28" s="1">
        <v>1458</v>
      </c>
      <c r="S28" s="1">
        <v>11</v>
      </c>
      <c r="T28" s="1"/>
    </row>
    <row r="29" spans="1:27" x14ac:dyDescent="0.35">
      <c r="A29" s="10">
        <v>46181</v>
      </c>
      <c r="B29" s="1">
        <v>8774</v>
      </c>
      <c r="C29" s="1">
        <v>400</v>
      </c>
      <c r="D29" s="1">
        <v>37</v>
      </c>
      <c r="E29" s="1">
        <v>3834150.6</v>
      </c>
      <c r="F29" s="1">
        <v>5000000</v>
      </c>
      <c r="G29" s="1">
        <v>3574186.4155199998</v>
      </c>
      <c r="J29" s="10">
        <v>45433</v>
      </c>
      <c r="K29" s="1">
        <v>1</v>
      </c>
      <c r="L29" s="1">
        <v>1</v>
      </c>
      <c r="M29" s="1">
        <v>1</v>
      </c>
      <c r="N29" s="1">
        <v>2</v>
      </c>
      <c r="O29" s="92">
        <v>137</v>
      </c>
      <c r="R29" s="2" t="s">
        <v>42</v>
      </c>
    </row>
    <row r="30" spans="1:27" x14ac:dyDescent="0.35">
      <c r="A30" s="10">
        <v>46182</v>
      </c>
      <c r="B30" s="1">
        <v>9339</v>
      </c>
      <c r="C30" s="1">
        <v>400</v>
      </c>
      <c r="D30" s="1">
        <v>37</v>
      </c>
      <c r="E30" s="1">
        <v>4081143</v>
      </c>
      <c r="F30" s="1">
        <v>4900000</v>
      </c>
      <c r="G30" s="1">
        <v>3804432.1655999999</v>
      </c>
      <c r="J30" s="7" t="s">
        <v>53</v>
      </c>
      <c r="K30" s="1">
        <v>1</v>
      </c>
      <c r="L30" s="1">
        <v>1</v>
      </c>
      <c r="M30" s="1">
        <v>1</v>
      </c>
      <c r="N30" s="1">
        <v>2</v>
      </c>
      <c r="O30" s="92">
        <v>137</v>
      </c>
      <c r="R30" s="5" t="s">
        <v>1</v>
      </c>
      <c r="S30" t="s">
        <v>106</v>
      </c>
    </row>
    <row r="31" spans="1:27" x14ac:dyDescent="0.35">
      <c r="A31" s="10">
        <v>46183</v>
      </c>
      <c r="B31" s="1">
        <v>8732</v>
      </c>
      <c r="C31" s="1">
        <v>400</v>
      </c>
      <c r="D31" s="1">
        <v>37</v>
      </c>
      <c r="E31" s="1">
        <v>3815665.5</v>
      </c>
      <c r="F31" s="1">
        <v>10000000</v>
      </c>
      <c r="G31" s="1">
        <v>3556954.6476000003</v>
      </c>
      <c r="J31" s="13" t="s">
        <v>430</v>
      </c>
      <c r="K31" s="1">
        <v>1</v>
      </c>
      <c r="L31" s="1">
        <v>1</v>
      </c>
      <c r="M31" s="1">
        <v>1</v>
      </c>
      <c r="N31" s="1">
        <v>2</v>
      </c>
      <c r="O31" s="92">
        <v>137</v>
      </c>
      <c r="R31" s="5" t="s">
        <v>5</v>
      </c>
      <c r="S31" t="s">
        <v>460</v>
      </c>
    </row>
    <row r="32" spans="1:27" x14ac:dyDescent="0.35">
      <c r="A32" s="10">
        <v>46184</v>
      </c>
      <c r="B32" s="1">
        <v>4973</v>
      </c>
      <c r="C32" s="1">
        <v>402.5</v>
      </c>
      <c r="D32" s="1">
        <v>18.5</v>
      </c>
      <c r="E32" s="1">
        <v>2172489.6</v>
      </c>
      <c r="F32" s="1">
        <v>5000000</v>
      </c>
      <c r="G32" s="1">
        <v>2025140.3029050003</v>
      </c>
      <c r="J32" s="10">
        <v>45439</v>
      </c>
      <c r="K32" s="1">
        <v>1</v>
      </c>
      <c r="L32" s="1">
        <v>0</v>
      </c>
      <c r="M32" s="1">
        <v>0</v>
      </c>
      <c r="N32" s="1">
        <v>0</v>
      </c>
      <c r="O32" s="92">
        <v>138</v>
      </c>
      <c r="R32" s="5" t="s">
        <v>8</v>
      </c>
      <c r="S32" t="s">
        <v>459</v>
      </c>
    </row>
    <row r="33" spans="1:20" x14ac:dyDescent="0.35">
      <c r="A33" s="10">
        <v>46185</v>
      </c>
      <c r="B33" s="1">
        <v>13512</v>
      </c>
      <c r="C33" s="1">
        <v>420</v>
      </c>
      <c r="D33" s="1">
        <v>37</v>
      </c>
      <c r="E33" s="1">
        <v>6175166.7999999998</v>
      </c>
      <c r="F33" s="1">
        <v>8000000</v>
      </c>
      <c r="G33" s="1">
        <v>5754781.4426079998</v>
      </c>
      <c r="J33" s="7" t="s">
        <v>433</v>
      </c>
      <c r="K33" s="1">
        <v>1</v>
      </c>
      <c r="L33" s="1">
        <v>0</v>
      </c>
      <c r="M33" s="1">
        <v>0</v>
      </c>
      <c r="N33" s="1">
        <v>0</v>
      </c>
      <c r="O33" s="92">
        <v>138</v>
      </c>
    </row>
    <row r="34" spans="1:20" x14ac:dyDescent="0.35">
      <c r="A34" s="10">
        <v>46186</v>
      </c>
      <c r="B34" s="1">
        <v>16689</v>
      </c>
      <c r="C34" s="1">
        <v>427.5</v>
      </c>
      <c r="D34" s="1">
        <v>18.5</v>
      </c>
      <c r="E34" s="1">
        <v>8126190.5</v>
      </c>
      <c r="F34" s="1">
        <v>0</v>
      </c>
      <c r="G34" s="1">
        <v>7569947.3895770004</v>
      </c>
      <c r="J34" s="13" t="s">
        <v>432</v>
      </c>
      <c r="K34" s="1">
        <v>1</v>
      </c>
      <c r="L34" s="1">
        <v>0</v>
      </c>
      <c r="M34" s="1">
        <v>0</v>
      </c>
      <c r="N34" s="1">
        <v>0</v>
      </c>
      <c r="O34" s="92">
        <v>138</v>
      </c>
      <c r="R34" t="s">
        <v>137</v>
      </c>
      <c r="S34" t="s">
        <v>138</v>
      </c>
    </row>
    <row r="35" spans="1:20" x14ac:dyDescent="0.35">
      <c r="A35" s="10">
        <v>46187</v>
      </c>
      <c r="B35" s="1">
        <v>17546</v>
      </c>
      <c r="C35" s="1">
        <v>427.5</v>
      </c>
      <c r="D35" s="1">
        <v>18.5</v>
      </c>
      <c r="E35" s="1">
        <v>8543490.0999999996</v>
      </c>
      <c r="F35" s="1">
        <v>0</v>
      </c>
      <c r="G35" s="1">
        <v>7958677.3514799997</v>
      </c>
      <c r="J35" s="10">
        <v>46167</v>
      </c>
      <c r="K35" s="1">
        <v>100</v>
      </c>
      <c r="L35" s="1">
        <v>200</v>
      </c>
      <c r="M35" s="1">
        <v>18.5</v>
      </c>
      <c r="N35" s="1">
        <v>43918.5</v>
      </c>
      <c r="O35" s="92">
        <v>299</v>
      </c>
      <c r="R35" s="1">
        <v>4</v>
      </c>
      <c r="S35" s="1">
        <v>6</v>
      </c>
      <c r="T35" s="1"/>
    </row>
    <row r="36" spans="1:20" x14ac:dyDescent="0.35">
      <c r="A36" s="10">
        <v>46188</v>
      </c>
      <c r="B36" s="1">
        <v>12661</v>
      </c>
      <c r="C36" s="1">
        <v>225</v>
      </c>
      <c r="D36" s="1">
        <v>18.5</v>
      </c>
      <c r="E36" s="1">
        <v>6105032</v>
      </c>
      <c r="F36" s="1">
        <v>6000000</v>
      </c>
      <c r="G36" s="1">
        <v>5687165.7511999998</v>
      </c>
      <c r="J36" s="7" t="s">
        <v>35</v>
      </c>
      <c r="K36" s="1">
        <v>100</v>
      </c>
      <c r="L36" s="1">
        <v>200</v>
      </c>
      <c r="M36" s="1">
        <v>18.5</v>
      </c>
      <c r="N36" s="1">
        <v>43918.5</v>
      </c>
      <c r="O36" s="92">
        <v>299</v>
      </c>
      <c r="R36" s="2" t="s">
        <v>244</v>
      </c>
    </row>
    <row r="37" spans="1:20" x14ac:dyDescent="0.35">
      <c r="A37" s="10">
        <v>46189</v>
      </c>
      <c r="B37" s="1">
        <v>10305</v>
      </c>
      <c r="C37" s="1">
        <v>225</v>
      </c>
      <c r="D37" s="1">
        <v>18.5</v>
      </c>
      <c r="E37" s="1">
        <v>4914073.5</v>
      </c>
      <c r="F37" s="1">
        <v>5000000</v>
      </c>
      <c r="G37" s="1">
        <v>4577723.8363499995</v>
      </c>
      <c r="J37" s="13" t="s">
        <v>461</v>
      </c>
      <c r="K37" s="1">
        <v>100</v>
      </c>
      <c r="L37" s="1">
        <v>200</v>
      </c>
      <c r="M37" s="1">
        <v>18.5</v>
      </c>
      <c r="N37" s="1">
        <v>43918.5</v>
      </c>
      <c r="O37" s="92">
        <v>299</v>
      </c>
      <c r="R37" s="5" t="s">
        <v>1</v>
      </c>
      <c r="S37" t="s">
        <v>106</v>
      </c>
    </row>
    <row r="38" spans="1:20" x14ac:dyDescent="0.35">
      <c r="A38" s="10">
        <v>46190</v>
      </c>
      <c r="B38" s="1">
        <v>12592</v>
      </c>
      <c r="C38" s="1">
        <v>285</v>
      </c>
      <c r="D38" s="1">
        <v>12.333333333333334</v>
      </c>
      <c r="E38" s="1">
        <v>5908103.7999999998</v>
      </c>
      <c r="F38" s="1">
        <v>7000000</v>
      </c>
      <c r="G38" s="1">
        <v>5503578.8711919999</v>
      </c>
      <c r="J38" s="10">
        <v>46169</v>
      </c>
      <c r="K38" s="1"/>
      <c r="L38" s="1"/>
      <c r="M38" s="1"/>
      <c r="N38" s="1"/>
      <c r="O38" s="92">
        <v>170</v>
      </c>
      <c r="R38" s="5" t="s">
        <v>5</v>
      </c>
      <c r="S38" t="s">
        <v>460</v>
      </c>
    </row>
    <row r="39" spans="1:20" x14ac:dyDescent="0.35">
      <c r="A39" s="10">
        <v>46191</v>
      </c>
      <c r="B39" s="1">
        <v>13738</v>
      </c>
      <c r="C39" s="1">
        <v>225</v>
      </c>
      <c r="D39" s="1">
        <v>18.5</v>
      </c>
      <c r="E39" s="1">
        <v>6585847.0999999996</v>
      </c>
      <c r="F39" s="1">
        <v>6000000</v>
      </c>
      <c r="G39" s="1">
        <v>6135070.88411</v>
      </c>
      <c r="J39" s="7" t="s">
        <v>457</v>
      </c>
      <c r="K39" s="1"/>
      <c r="L39" s="1"/>
      <c r="M39" s="1"/>
      <c r="N39" s="1"/>
      <c r="O39" s="92">
        <v>170</v>
      </c>
      <c r="R39" s="5" t="s">
        <v>8</v>
      </c>
      <c r="S39" t="s">
        <v>459</v>
      </c>
    </row>
    <row r="40" spans="1:20" x14ac:dyDescent="0.35">
      <c r="A40" s="10">
        <v>46192</v>
      </c>
      <c r="B40" s="1">
        <v>12606</v>
      </c>
      <c r="C40" s="1">
        <v>285</v>
      </c>
      <c r="D40" s="1">
        <v>12.333333333333334</v>
      </c>
      <c r="E40" s="1">
        <v>5919713.4000000004</v>
      </c>
      <c r="F40" s="1">
        <v>10097658</v>
      </c>
      <c r="G40" s="1">
        <v>5514445.8052680008</v>
      </c>
      <c r="J40" s="13" t="s">
        <v>461</v>
      </c>
      <c r="K40" s="1"/>
      <c r="L40" s="1"/>
      <c r="M40" s="1"/>
      <c r="N40" s="1"/>
      <c r="O40" s="92">
        <v>170</v>
      </c>
    </row>
    <row r="41" spans="1:20" x14ac:dyDescent="0.35">
      <c r="A41" s="10" t="s">
        <v>458</v>
      </c>
      <c r="B41" s="1">
        <v>166658</v>
      </c>
      <c r="C41" s="1">
        <v>102.7063492063492</v>
      </c>
      <c r="D41" s="1">
        <v>6.587301587301587</v>
      </c>
      <c r="E41" s="1">
        <v>77149613.400000006</v>
      </c>
      <c r="F41" s="1">
        <v>70070050</v>
      </c>
      <c r="G41" s="1">
        <v>71886752.588751003</v>
      </c>
      <c r="J41" s="10">
        <v>46170</v>
      </c>
      <c r="K41" s="1">
        <v>138</v>
      </c>
      <c r="L41" s="1">
        <v>200</v>
      </c>
      <c r="M41" s="1">
        <v>18.5</v>
      </c>
      <c r="N41" s="1">
        <v>60087.5</v>
      </c>
      <c r="O41" s="92">
        <v>301</v>
      </c>
      <c r="R41" t="s">
        <v>137</v>
      </c>
      <c r="S41" t="s">
        <v>138</v>
      </c>
    </row>
    <row r="42" spans="1:20" x14ac:dyDescent="0.35">
      <c r="J42" s="7" t="s">
        <v>35</v>
      </c>
      <c r="K42" s="1">
        <v>138</v>
      </c>
      <c r="L42" s="1">
        <v>200</v>
      </c>
      <c r="M42" s="1">
        <v>18.5</v>
      </c>
      <c r="N42" s="1">
        <v>60087.5</v>
      </c>
      <c r="O42" s="92">
        <v>301</v>
      </c>
      <c r="R42" s="1">
        <v>8</v>
      </c>
      <c r="S42" s="1">
        <v>10</v>
      </c>
      <c r="T42" s="1"/>
    </row>
    <row r="43" spans="1:20" x14ac:dyDescent="0.35">
      <c r="J43" s="13" t="s">
        <v>461</v>
      </c>
      <c r="K43" s="1">
        <v>138</v>
      </c>
      <c r="L43" s="1">
        <v>200</v>
      </c>
      <c r="M43" s="1">
        <v>18.5</v>
      </c>
      <c r="N43" s="1">
        <v>60087.5</v>
      </c>
      <c r="O43" s="92">
        <v>301</v>
      </c>
    </row>
    <row r="44" spans="1:20" x14ac:dyDescent="0.35">
      <c r="J44" s="10">
        <v>46172</v>
      </c>
      <c r="K44" s="1">
        <v>430</v>
      </c>
      <c r="L44" s="1">
        <v>170</v>
      </c>
      <c r="M44" s="1">
        <v>7.4</v>
      </c>
      <c r="N44" s="1">
        <v>186379.5</v>
      </c>
      <c r="O44" s="92">
        <v>780</v>
      </c>
    </row>
    <row r="45" spans="1:20" x14ac:dyDescent="0.35">
      <c r="J45" s="7" t="s">
        <v>35</v>
      </c>
      <c r="K45" s="1">
        <v>429</v>
      </c>
      <c r="L45" s="1">
        <v>200</v>
      </c>
      <c r="M45" s="1">
        <v>9.25</v>
      </c>
      <c r="N45" s="1">
        <v>186329.5</v>
      </c>
      <c r="O45" s="92">
        <v>638</v>
      </c>
    </row>
    <row r="46" spans="1:20" x14ac:dyDescent="0.35">
      <c r="J46" s="13" t="s">
        <v>33</v>
      </c>
      <c r="K46" s="1">
        <v>25</v>
      </c>
      <c r="L46" s="1">
        <v>200</v>
      </c>
      <c r="M46" s="1">
        <v>0</v>
      </c>
      <c r="N46" s="1">
        <v>10000</v>
      </c>
      <c r="O46" s="92">
        <v>335</v>
      </c>
    </row>
    <row r="47" spans="1:20" x14ac:dyDescent="0.35">
      <c r="J47" s="13" t="s">
        <v>461</v>
      </c>
      <c r="K47" s="1">
        <v>404</v>
      </c>
      <c r="L47" s="1">
        <v>200</v>
      </c>
      <c r="M47" s="1">
        <v>18.5</v>
      </c>
      <c r="N47" s="1">
        <v>176329.5</v>
      </c>
      <c r="O47" s="92">
        <v>303</v>
      </c>
    </row>
    <row r="48" spans="1:20" x14ac:dyDescent="0.35">
      <c r="J48" s="7" t="s">
        <v>433</v>
      </c>
      <c r="K48" s="1">
        <v>1</v>
      </c>
      <c r="L48" s="1">
        <v>50</v>
      </c>
      <c r="M48" s="1">
        <v>0</v>
      </c>
      <c r="N48" s="1">
        <v>50</v>
      </c>
      <c r="O48" s="92">
        <v>142</v>
      </c>
    </row>
    <row r="49" spans="10:15" x14ac:dyDescent="0.35">
      <c r="J49" s="13" t="s">
        <v>432</v>
      </c>
      <c r="K49" s="1">
        <v>1</v>
      </c>
      <c r="L49" s="1">
        <v>50</v>
      </c>
      <c r="M49" s="1">
        <v>0</v>
      </c>
      <c r="N49" s="1">
        <v>50</v>
      </c>
      <c r="O49" s="92">
        <v>142</v>
      </c>
    </row>
    <row r="50" spans="10:15" x14ac:dyDescent="0.35">
      <c r="J50" s="10">
        <v>46173</v>
      </c>
      <c r="K50" s="1">
        <v>1</v>
      </c>
      <c r="L50" s="1">
        <v>50</v>
      </c>
      <c r="M50" s="1"/>
      <c r="N50" s="1">
        <v>50</v>
      </c>
      <c r="O50" s="92">
        <v>143</v>
      </c>
    </row>
    <row r="51" spans="10:15" x14ac:dyDescent="0.35">
      <c r="J51" s="7" t="s">
        <v>463</v>
      </c>
      <c r="K51" s="1">
        <v>1</v>
      </c>
      <c r="L51" s="1">
        <v>50</v>
      </c>
      <c r="M51" s="1"/>
      <c r="N51" s="1">
        <v>50</v>
      </c>
      <c r="O51" s="92">
        <v>143</v>
      </c>
    </row>
    <row r="52" spans="10:15" x14ac:dyDescent="0.35">
      <c r="J52" s="13" t="s">
        <v>462</v>
      </c>
      <c r="K52" s="1">
        <v>1</v>
      </c>
      <c r="L52" s="1">
        <v>50</v>
      </c>
      <c r="M52" s="1"/>
      <c r="N52" s="1">
        <v>50</v>
      </c>
      <c r="O52" s="92">
        <v>143</v>
      </c>
    </row>
    <row r="53" spans="10:15" x14ac:dyDescent="0.35">
      <c r="J53" s="10">
        <v>46174</v>
      </c>
      <c r="K53" s="1">
        <v>1024</v>
      </c>
      <c r="L53" s="1">
        <v>400</v>
      </c>
      <c r="M53" s="1">
        <v>37</v>
      </c>
      <c r="N53" s="1">
        <v>447400.6</v>
      </c>
      <c r="O53" s="92">
        <v>163</v>
      </c>
    </row>
    <row r="54" spans="10:15" x14ac:dyDescent="0.35">
      <c r="J54" s="7" t="s">
        <v>35</v>
      </c>
      <c r="K54" s="1">
        <v>1024</v>
      </c>
      <c r="L54" s="1">
        <v>400</v>
      </c>
      <c r="M54" s="1">
        <v>37</v>
      </c>
      <c r="N54" s="1">
        <v>447400.6</v>
      </c>
      <c r="O54" s="92">
        <v>163</v>
      </c>
    </row>
    <row r="55" spans="10:15" x14ac:dyDescent="0.35">
      <c r="J55" s="13" t="s">
        <v>461</v>
      </c>
      <c r="K55" s="1">
        <v>1024</v>
      </c>
      <c r="L55" s="1">
        <v>400</v>
      </c>
      <c r="M55" s="1">
        <v>37</v>
      </c>
      <c r="N55" s="1">
        <v>447400.6</v>
      </c>
      <c r="O55" s="92">
        <v>163</v>
      </c>
    </row>
    <row r="56" spans="10:15" x14ac:dyDescent="0.35">
      <c r="J56" s="10">
        <v>46175</v>
      </c>
      <c r="K56" s="1">
        <v>1148</v>
      </c>
      <c r="L56" s="1">
        <v>402.5</v>
      </c>
      <c r="M56" s="1">
        <v>18.5</v>
      </c>
      <c r="N56" s="1">
        <v>501156.6</v>
      </c>
      <c r="O56" s="92">
        <v>818</v>
      </c>
    </row>
    <row r="57" spans="10:15" x14ac:dyDescent="0.35">
      <c r="J57" s="7" t="s">
        <v>35</v>
      </c>
      <c r="K57" s="1">
        <v>1148</v>
      </c>
      <c r="L57" s="1">
        <v>402.5</v>
      </c>
      <c r="M57" s="1">
        <v>18.5</v>
      </c>
      <c r="N57" s="1">
        <v>501156.6</v>
      </c>
      <c r="O57" s="92">
        <v>356</v>
      </c>
    </row>
    <row r="58" spans="10:15" x14ac:dyDescent="0.35">
      <c r="J58" s="13" t="s">
        <v>33</v>
      </c>
      <c r="K58" s="1">
        <v>14</v>
      </c>
      <c r="L58" s="1">
        <v>405</v>
      </c>
      <c r="M58" s="1">
        <v>0</v>
      </c>
      <c r="N58" s="1">
        <v>5467.5</v>
      </c>
      <c r="O58" s="92">
        <v>192</v>
      </c>
    </row>
    <row r="59" spans="10:15" x14ac:dyDescent="0.35">
      <c r="J59" s="13" t="s">
        <v>461</v>
      </c>
      <c r="K59" s="1">
        <v>1134</v>
      </c>
      <c r="L59" s="1">
        <v>400</v>
      </c>
      <c r="M59" s="1">
        <v>37</v>
      </c>
      <c r="N59" s="1">
        <v>495689.1</v>
      </c>
      <c r="O59" s="92">
        <v>164</v>
      </c>
    </row>
    <row r="60" spans="10:15" x14ac:dyDescent="0.35">
      <c r="J60" s="7" t="s">
        <v>457</v>
      </c>
      <c r="K60" s="1"/>
      <c r="L60" s="1"/>
      <c r="M60" s="1"/>
      <c r="N60" s="1"/>
      <c r="O60" s="92">
        <v>462</v>
      </c>
    </row>
    <row r="61" spans="10:15" x14ac:dyDescent="0.35">
      <c r="J61" s="13" t="s">
        <v>457</v>
      </c>
      <c r="K61" s="1"/>
      <c r="L61" s="1"/>
      <c r="M61" s="1"/>
      <c r="N61" s="1"/>
      <c r="O61" s="92">
        <v>291</v>
      </c>
    </row>
    <row r="62" spans="10:15" x14ac:dyDescent="0.35">
      <c r="J62" s="13" t="s">
        <v>461</v>
      </c>
      <c r="K62" s="1"/>
      <c r="L62" s="1"/>
      <c r="M62" s="1"/>
      <c r="N62" s="1"/>
      <c r="O62" s="92">
        <v>171</v>
      </c>
    </row>
    <row r="63" spans="10:15" x14ac:dyDescent="0.35">
      <c r="J63" s="10">
        <v>46176</v>
      </c>
      <c r="K63" s="1">
        <v>2033</v>
      </c>
      <c r="L63" s="1">
        <v>400</v>
      </c>
      <c r="M63" s="1">
        <v>37</v>
      </c>
      <c r="N63" s="1">
        <v>888377.3</v>
      </c>
      <c r="O63" s="92">
        <v>312</v>
      </c>
    </row>
    <row r="64" spans="10:15" x14ac:dyDescent="0.35">
      <c r="J64" s="7" t="s">
        <v>35</v>
      </c>
      <c r="K64" s="1">
        <v>2033</v>
      </c>
      <c r="L64" s="1">
        <v>400</v>
      </c>
      <c r="M64" s="1">
        <v>37</v>
      </c>
      <c r="N64" s="1">
        <v>888377.3</v>
      </c>
      <c r="O64" s="92">
        <v>165</v>
      </c>
    </row>
    <row r="65" spans="10:15" x14ac:dyDescent="0.35">
      <c r="J65" s="13" t="s">
        <v>461</v>
      </c>
      <c r="K65" s="1">
        <v>2033</v>
      </c>
      <c r="L65" s="1">
        <v>400</v>
      </c>
      <c r="M65" s="1">
        <v>37</v>
      </c>
      <c r="N65" s="1">
        <v>888377.3</v>
      </c>
      <c r="O65" s="92">
        <v>165</v>
      </c>
    </row>
    <row r="66" spans="10:15" x14ac:dyDescent="0.35">
      <c r="J66" s="7" t="s">
        <v>457</v>
      </c>
      <c r="K66" s="1"/>
      <c r="L66" s="1"/>
      <c r="M66" s="1"/>
      <c r="N66" s="1"/>
      <c r="O66" s="92">
        <v>147</v>
      </c>
    </row>
    <row r="67" spans="10:15" x14ac:dyDescent="0.35">
      <c r="J67" s="13" t="s">
        <v>33</v>
      </c>
      <c r="K67" s="1"/>
      <c r="L67" s="1"/>
      <c r="M67" s="1"/>
      <c r="N67" s="1"/>
      <c r="O67" s="92">
        <v>147</v>
      </c>
    </row>
    <row r="68" spans="10:15" x14ac:dyDescent="0.35">
      <c r="J68" s="10">
        <v>46177</v>
      </c>
      <c r="K68" s="1">
        <v>2100</v>
      </c>
      <c r="L68" s="1">
        <v>400</v>
      </c>
      <c r="M68" s="1">
        <v>37</v>
      </c>
      <c r="N68" s="1">
        <v>917612.6</v>
      </c>
      <c r="O68" s="92">
        <v>463</v>
      </c>
    </row>
    <row r="69" spans="10:15" x14ac:dyDescent="0.35">
      <c r="J69" s="7" t="s">
        <v>35</v>
      </c>
      <c r="K69" s="1">
        <v>2100</v>
      </c>
      <c r="L69" s="1">
        <v>400</v>
      </c>
      <c r="M69" s="1">
        <v>37</v>
      </c>
      <c r="N69" s="1">
        <v>917612.6</v>
      </c>
      <c r="O69" s="92">
        <v>166</v>
      </c>
    </row>
    <row r="70" spans="10:15" x14ac:dyDescent="0.35">
      <c r="J70" s="13" t="s">
        <v>461</v>
      </c>
      <c r="K70" s="1">
        <v>2100</v>
      </c>
      <c r="L70" s="1">
        <v>400</v>
      </c>
      <c r="M70" s="1">
        <v>37</v>
      </c>
      <c r="N70" s="1">
        <v>917612.6</v>
      </c>
      <c r="O70" s="92">
        <v>166</v>
      </c>
    </row>
    <row r="71" spans="10:15" x14ac:dyDescent="0.35">
      <c r="J71" s="7" t="s">
        <v>457</v>
      </c>
      <c r="K71" s="1"/>
      <c r="L71" s="1"/>
      <c r="M71" s="1"/>
      <c r="N71" s="1"/>
      <c r="O71" s="92">
        <v>297</v>
      </c>
    </row>
    <row r="72" spans="10:15" x14ac:dyDescent="0.35">
      <c r="J72" s="13" t="s">
        <v>457</v>
      </c>
      <c r="K72" s="1"/>
      <c r="L72" s="1"/>
      <c r="M72" s="1"/>
      <c r="N72" s="1"/>
      <c r="O72" s="92">
        <v>297</v>
      </c>
    </row>
    <row r="73" spans="10:15" x14ac:dyDescent="0.35">
      <c r="J73" s="10">
        <v>46178</v>
      </c>
      <c r="K73" s="1">
        <v>5818</v>
      </c>
      <c r="L73" s="1">
        <v>400</v>
      </c>
      <c r="M73" s="1">
        <v>37</v>
      </c>
      <c r="N73" s="1">
        <v>2542466</v>
      </c>
      <c r="O73" s="92">
        <v>1553</v>
      </c>
    </row>
    <row r="74" spans="10:15" x14ac:dyDescent="0.35">
      <c r="J74" s="7" t="s">
        <v>35</v>
      </c>
      <c r="K74" s="1">
        <v>5818</v>
      </c>
      <c r="L74" s="1">
        <v>400</v>
      </c>
      <c r="M74" s="1">
        <v>37</v>
      </c>
      <c r="N74" s="1">
        <v>2542466</v>
      </c>
      <c r="O74" s="92">
        <v>167</v>
      </c>
    </row>
    <row r="75" spans="10:15" x14ac:dyDescent="0.35">
      <c r="J75" s="13" t="s">
        <v>461</v>
      </c>
      <c r="K75" s="1">
        <v>5818</v>
      </c>
      <c r="L75" s="1">
        <v>400</v>
      </c>
      <c r="M75" s="1">
        <v>37</v>
      </c>
      <c r="N75" s="1">
        <v>2542466</v>
      </c>
      <c r="O75" s="92">
        <v>167</v>
      </c>
    </row>
    <row r="76" spans="10:15" x14ac:dyDescent="0.35">
      <c r="J76" s="7" t="s">
        <v>457</v>
      </c>
      <c r="K76" s="1"/>
      <c r="L76" s="1"/>
      <c r="M76" s="1"/>
      <c r="N76" s="1"/>
      <c r="O76" s="92">
        <v>1386</v>
      </c>
    </row>
    <row r="77" spans="10:15" x14ac:dyDescent="0.35">
      <c r="J77" s="13" t="s">
        <v>457</v>
      </c>
      <c r="K77" s="1"/>
      <c r="L77" s="1"/>
      <c r="M77" s="1"/>
      <c r="N77" s="1"/>
      <c r="O77" s="92">
        <v>1386</v>
      </c>
    </row>
    <row r="78" spans="10:15" x14ac:dyDescent="0.35">
      <c r="J78" s="10">
        <v>46179</v>
      </c>
      <c r="K78" s="1">
        <v>5002</v>
      </c>
      <c r="L78" s="1">
        <v>402.5</v>
      </c>
      <c r="M78" s="1">
        <v>18.5</v>
      </c>
      <c r="N78" s="1">
        <v>2185051.7999999998</v>
      </c>
      <c r="O78" s="92">
        <v>520</v>
      </c>
    </row>
    <row r="79" spans="10:15" x14ac:dyDescent="0.35">
      <c r="J79" s="7" t="s">
        <v>35</v>
      </c>
      <c r="K79" s="1">
        <v>5002</v>
      </c>
      <c r="L79" s="1">
        <v>402.5</v>
      </c>
      <c r="M79" s="1">
        <v>18.5</v>
      </c>
      <c r="N79" s="1">
        <v>2185051.7999999998</v>
      </c>
      <c r="O79" s="92">
        <v>361</v>
      </c>
    </row>
    <row r="80" spans="10:15" x14ac:dyDescent="0.35">
      <c r="J80" s="13" t="s">
        <v>33</v>
      </c>
      <c r="K80" s="1">
        <v>18</v>
      </c>
      <c r="L80" s="1">
        <v>405</v>
      </c>
      <c r="M80" s="1">
        <v>0</v>
      </c>
      <c r="N80" s="1">
        <v>7087.5</v>
      </c>
      <c r="O80" s="92">
        <v>193</v>
      </c>
    </row>
    <row r="81" spans="10:15" x14ac:dyDescent="0.35">
      <c r="J81" s="13" t="s">
        <v>461</v>
      </c>
      <c r="K81" s="1">
        <v>4984</v>
      </c>
      <c r="L81" s="1">
        <v>400</v>
      </c>
      <c r="M81" s="1">
        <v>37</v>
      </c>
      <c r="N81" s="1">
        <v>2177964.2999999998</v>
      </c>
      <c r="O81" s="92">
        <v>168</v>
      </c>
    </row>
    <row r="82" spans="10:15" x14ac:dyDescent="0.35">
      <c r="J82" s="7" t="s">
        <v>457</v>
      </c>
      <c r="K82" s="1"/>
      <c r="L82" s="1"/>
      <c r="M82" s="1"/>
      <c r="N82" s="1"/>
      <c r="O82" s="92">
        <v>159</v>
      </c>
    </row>
    <row r="83" spans="10:15" x14ac:dyDescent="0.35">
      <c r="J83" s="13" t="s">
        <v>457</v>
      </c>
      <c r="K83" s="1"/>
      <c r="L83" s="1"/>
      <c r="M83" s="1"/>
      <c r="N83" s="1"/>
      <c r="O83" s="92">
        <v>159</v>
      </c>
    </row>
    <row r="84" spans="10:15" x14ac:dyDescent="0.35">
      <c r="J84" s="10">
        <v>46180</v>
      </c>
      <c r="K84" s="1">
        <v>7315</v>
      </c>
      <c r="L84" s="1">
        <v>402.5</v>
      </c>
      <c r="M84" s="1">
        <v>18.5</v>
      </c>
      <c r="N84" s="1">
        <v>3195998.1</v>
      </c>
      <c r="O84" s="92">
        <v>363</v>
      </c>
    </row>
    <row r="85" spans="10:15" x14ac:dyDescent="0.35">
      <c r="J85" s="7" t="s">
        <v>35</v>
      </c>
      <c r="K85" s="1">
        <v>7315</v>
      </c>
      <c r="L85" s="1">
        <v>402.5</v>
      </c>
      <c r="M85" s="1">
        <v>18.5</v>
      </c>
      <c r="N85" s="1">
        <v>3195998.1</v>
      </c>
      <c r="O85" s="92">
        <v>363</v>
      </c>
    </row>
    <row r="86" spans="10:15" x14ac:dyDescent="0.35">
      <c r="J86" s="13" t="s">
        <v>33</v>
      </c>
      <c r="K86" s="1">
        <v>14</v>
      </c>
      <c r="L86" s="1">
        <v>405</v>
      </c>
      <c r="M86" s="1">
        <v>0</v>
      </c>
      <c r="N86" s="1">
        <v>5548.5</v>
      </c>
      <c r="O86" s="92">
        <v>194</v>
      </c>
    </row>
    <row r="87" spans="10:15" x14ac:dyDescent="0.35">
      <c r="J87" s="13" t="s">
        <v>461</v>
      </c>
      <c r="K87" s="1">
        <v>7301</v>
      </c>
      <c r="L87" s="1">
        <v>400</v>
      </c>
      <c r="M87" s="1">
        <v>37</v>
      </c>
      <c r="N87" s="1">
        <v>3190449.6</v>
      </c>
      <c r="O87" s="92">
        <v>169</v>
      </c>
    </row>
    <row r="88" spans="10:15" x14ac:dyDescent="0.35">
      <c r="J88" s="10">
        <v>46181</v>
      </c>
      <c r="K88" s="1">
        <v>8774</v>
      </c>
      <c r="L88" s="1">
        <v>400</v>
      </c>
      <c r="M88" s="1">
        <v>37</v>
      </c>
      <c r="N88" s="1">
        <v>3834150.6</v>
      </c>
      <c r="O88" s="92">
        <v>1226</v>
      </c>
    </row>
    <row r="89" spans="10:15" x14ac:dyDescent="0.35">
      <c r="J89" s="7" t="s">
        <v>35</v>
      </c>
      <c r="K89" s="1">
        <v>8774</v>
      </c>
      <c r="L89" s="1">
        <v>400</v>
      </c>
      <c r="M89" s="1">
        <v>37</v>
      </c>
      <c r="N89" s="1">
        <v>3834150.6</v>
      </c>
      <c r="O89" s="92">
        <v>179</v>
      </c>
    </row>
    <row r="90" spans="10:15" x14ac:dyDescent="0.35">
      <c r="J90" s="13" t="s">
        <v>461</v>
      </c>
      <c r="K90" s="1">
        <v>8774</v>
      </c>
      <c r="L90" s="1">
        <v>400</v>
      </c>
      <c r="M90" s="1">
        <v>37</v>
      </c>
      <c r="N90" s="1">
        <v>3834150.6</v>
      </c>
      <c r="O90" s="92">
        <v>179</v>
      </c>
    </row>
    <row r="91" spans="10:15" x14ac:dyDescent="0.35">
      <c r="J91" s="7" t="s">
        <v>457</v>
      </c>
      <c r="K91" s="1"/>
      <c r="L91" s="1"/>
      <c r="M91" s="1"/>
      <c r="N91" s="1"/>
      <c r="O91" s="92">
        <v>1047</v>
      </c>
    </row>
    <row r="92" spans="10:15" x14ac:dyDescent="0.35">
      <c r="J92" s="13" t="s">
        <v>457</v>
      </c>
      <c r="K92" s="1"/>
      <c r="L92" s="1"/>
      <c r="M92" s="1"/>
      <c r="N92" s="1"/>
      <c r="O92" s="92">
        <v>875</v>
      </c>
    </row>
    <row r="93" spans="10:15" x14ac:dyDescent="0.35">
      <c r="J93" s="13" t="s">
        <v>461</v>
      </c>
      <c r="K93" s="1"/>
      <c r="L93" s="1"/>
      <c r="M93" s="1"/>
      <c r="N93" s="1"/>
      <c r="O93" s="92">
        <v>172</v>
      </c>
    </row>
    <row r="94" spans="10:15" x14ac:dyDescent="0.35">
      <c r="J94" s="10">
        <v>46182</v>
      </c>
      <c r="K94" s="1">
        <v>9339</v>
      </c>
      <c r="L94" s="1">
        <v>400</v>
      </c>
      <c r="M94" s="1">
        <v>37</v>
      </c>
      <c r="N94" s="1">
        <v>4081143</v>
      </c>
      <c r="O94" s="92">
        <v>1283</v>
      </c>
    </row>
    <row r="95" spans="10:15" x14ac:dyDescent="0.35">
      <c r="J95" s="7" t="s">
        <v>35</v>
      </c>
      <c r="K95" s="1">
        <v>9339</v>
      </c>
      <c r="L95" s="1">
        <v>400</v>
      </c>
      <c r="M95" s="1">
        <v>37</v>
      </c>
      <c r="N95" s="1">
        <v>4081143</v>
      </c>
      <c r="O95" s="92">
        <v>184</v>
      </c>
    </row>
    <row r="96" spans="10:15" x14ac:dyDescent="0.35">
      <c r="J96" s="13" t="s">
        <v>461</v>
      </c>
      <c r="K96" s="1">
        <v>9339</v>
      </c>
      <c r="L96" s="1">
        <v>400</v>
      </c>
      <c r="M96" s="1">
        <v>37</v>
      </c>
      <c r="N96" s="1">
        <v>4081143</v>
      </c>
      <c r="O96" s="92">
        <v>184</v>
      </c>
    </row>
    <row r="97" spans="10:15" x14ac:dyDescent="0.35">
      <c r="J97" s="7" t="s">
        <v>457</v>
      </c>
      <c r="K97" s="1"/>
      <c r="L97" s="1"/>
      <c r="M97" s="1"/>
      <c r="N97" s="1"/>
      <c r="O97" s="92">
        <v>1099</v>
      </c>
    </row>
    <row r="98" spans="10:15" x14ac:dyDescent="0.35">
      <c r="J98" s="13" t="s">
        <v>457</v>
      </c>
      <c r="K98" s="1"/>
      <c r="L98" s="1"/>
      <c r="M98" s="1"/>
      <c r="N98" s="1"/>
      <c r="O98" s="92">
        <v>724</v>
      </c>
    </row>
    <row r="99" spans="10:15" x14ac:dyDescent="0.35">
      <c r="J99" s="13" t="s">
        <v>475</v>
      </c>
      <c r="K99" s="1"/>
      <c r="L99" s="1"/>
      <c r="M99" s="1"/>
      <c r="N99" s="1"/>
      <c r="O99" s="92">
        <v>195</v>
      </c>
    </row>
    <row r="100" spans="10:15" x14ac:dyDescent="0.35">
      <c r="J100" s="13" t="s">
        <v>461</v>
      </c>
      <c r="K100" s="1"/>
      <c r="L100" s="1"/>
      <c r="M100" s="1"/>
      <c r="N100" s="1"/>
      <c r="O100" s="92">
        <v>180</v>
      </c>
    </row>
    <row r="101" spans="10:15" x14ac:dyDescent="0.35">
      <c r="J101" s="10">
        <v>46183</v>
      </c>
      <c r="K101" s="1">
        <v>8732</v>
      </c>
      <c r="L101" s="1">
        <v>400</v>
      </c>
      <c r="M101" s="1">
        <v>37</v>
      </c>
      <c r="N101" s="1">
        <v>3815665.5</v>
      </c>
      <c r="O101" s="92">
        <v>936</v>
      </c>
    </row>
    <row r="102" spans="10:15" x14ac:dyDescent="0.35">
      <c r="J102" s="7" t="s">
        <v>35</v>
      </c>
      <c r="K102" s="1">
        <v>8732</v>
      </c>
      <c r="L102" s="1">
        <v>400</v>
      </c>
      <c r="M102" s="1">
        <v>37</v>
      </c>
      <c r="N102" s="1">
        <v>3815665.5</v>
      </c>
      <c r="O102" s="92">
        <v>190</v>
      </c>
    </row>
    <row r="103" spans="10:15" x14ac:dyDescent="0.35">
      <c r="J103" s="13" t="s">
        <v>461</v>
      </c>
      <c r="K103" s="1">
        <v>8732</v>
      </c>
      <c r="L103" s="1">
        <v>400</v>
      </c>
      <c r="M103" s="1">
        <v>37</v>
      </c>
      <c r="N103" s="1">
        <v>3815665.5</v>
      </c>
      <c r="O103" s="92">
        <v>190</v>
      </c>
    </row>
    <row r="104" spans="10:15" x14ac:dyDescent="0.35">
      <c r="J104" s="7" t="s">
        <v>457</v>
      </c>
      <c r="K104" s="1"/>
      <c r="L104" s="1"/>
      <c r="M104" s="1"/>
      <c r="N104" s="1"/>
      <c r="O104" s="92">
        <v>746</v>
      </c>
    </row>
    <row r="105" spans="10:15" x14ac:dyDescent="0.35">
      <c r="J105" s="13" t="s">
        <v>457</v>
      </c>
      <c r="K105" s="1"/>
      <c r="L105" s="1"/>
      <c r="M105" s="1"/>
      <c r="N105" s="1"/>
      <c r="O105" s="92">
        <v>374</v>
      </c>
    </row>
    <row r="106" spans="10:15" x14ac:dyDescent="0.35">
      <c r="J106" s="13" t="s">
        <v>461</v>
      </c>
      <c r="K106" s="1"/>
      <c r="L106" s="1"/>
      <c r="M106" s="1"/>
      <c r="N106" s="1"/>
      <c r="O106" s="92">
        <v>372</v>
      </c>
    </row>
    <row r="107" spans="10:15" x14ac:dyDescent="0.35">
      <c r="J107" s="10">
        <v>46184</v>
      </c>
      <c r="K107" s="1">
        <v>4973</v>
      </c>
      <c r="L107" s="1">
        <v>402.5</v>
      </c>
      <c r="M107" s="1">
        <v>18.5</v>
      </c>
      <c r="N107" s="1">
        <v>2172489.6</v>
      </c>
      <c r="O107" s="92">
        <v>780</v>
      </c>
    </row>
    <row r="108" spans="10:15" x14ac:dyDescent="0.35">
      <c r="J108" s="7" t="s">
        <v>35</v>
      </c>
      <c r="K108" s="1">
        <v>4973</v>
      </c>
      <c r="L108" s="1">
        <v>402.5</v>
      </c>
      <c r="M108" s="1">
        <v>18.5</v>
      </c>
      <c r="N108" s="1">
        <v>2172489.6</v>
      </c>
      <c r="O108" s="92">
        <v>395</v>
      </c>
    </row>
    <row r="109" spans="10:15" x14ac:dyDescent="0.35">
      <c r="J109" s="13" t="s">
        <v>33</v>
      </c>
      <c r="K109" s="1">
        <v>20</v>
      </c>
      <c r="L109" s="1">
        <v>405</v>
      </c>
      <c r="M109" s="1">
        <v>0</v>
      </c>
      <c r="N109" s="1">
        <v>7897.5</v>
      </c>
      <c r="O109" s="92">
        <v>198</v>
      </c>
    </row>
    <row r="110" spans="10:15" x14ac:dyDescent="0.35">
      <c r="J110" s="13" t="s">
        <v>461</v>
      </c>
      <c r="K110" s="1">
        <v>4953</v>
      </c>
      <c r="L110" s="1">
        <v>400</v>
      </c>
      <c r="M110" s="1">
        <v>37</v>
      </c>
      <c r="N110" s="1">
        <v>2164592.1</v>
      </c>
      <c r="O110" s="92">
        <v>197</v>
      </c>
    </row>
    <row r="111" spans="10:15" x14ac:dyDescent="0.35">
      <c r="J111" s="7" t="s">
        <v>457</v>
      </c>
      <c r="K111" s="1"/>
      <c r="L111" s="1"/>
      <c r="M111" s="1"/>
      <c r="N111" s="1"/>
      <c r="O111" s="92">
        <v>385</v>
      </c>
    </row>
    <row r="112" spans="10:15" x14ac:dyDescent="0.35">
      <c r="J112" s="13" t="s">
        <v>475</v>
      </c>
      <c r="K112" s="1"/>
      <c r="L112" s="1"/>
      <c r="M112" s="1"/>
      <c r="N112" s="1"/>
      <c r="O112" s="92">
        <v>196</v>
      </c>
    </row>
    <row r="113" spans="10:15" x14ac:dyDescent="0.35">
      <c r="J113" s="13" t="s">
        <v>461</v>
      </c>
      <c r="K113" s="1"/>
      <c r="L113" s="1"/>
      <c r="M113" s="1"/>
      <c r="N113" s="1"/>
      <c r="O113" s="92">
        <v>189</v>
      </c>
    </row>
    <row r="114" spans="10:15" x14ac:dyDescent="0.35">
      <c r="J114" s="10">
        <v>46185</v>
      </c>
      <c r="K114" s="1">
        <v>13512</v>
      </c>
      <c r="L114" s="1">
        <v>420</v>
      </c>
      <c r="M114" s="1">
        <v>37</v>
      </c>
      <c r="N114" s="1">
        <v>6175166.7999999998</v>
      </c>
      <c r="O114" s="92">
        <v>3304</v>
      </c>
    </row>
    <row r="115" spans="10:15" x14ac:dyDescent="0.35">
      <c r="J115" s="7" t="s">
        <v>35</v>
      </c>
      <c r="K115" s="1">
        <v>13512</v>
      </c>
      <c r="L115" s="1">
        <v>420</v>
      </c>
      <c r="M115" s="1">
        <v>37</v>
      </c>
      <c r="N115" s="1">
        <v>6175166.7999999998</v>
      </c>
      <c r="O115" s="92">
        <v>214</v>
      </c>
    </row>
    <row r="116" spans="10:15" x14ac:dyDescent="0.35">
      <c r="J116" s="13" t="s">
        <v>461</v>
      </c>
      <c r="K116" s="1">
        <v>13512</v>
      </c>
      <c r="L116" s="1">
        <v>420</v>
      </c>
      <c r="M116" s="1">
        <v>37</v>
      </c>
      <c r="N116" s="1">
        <v>6175166.7999999998</v>
      </c>
      <c r="O116" s="92">
        <v>214</v>
      </c>
    </row>
    <row r="117" spans="10:15" x14ac:dyDescent="0.35">
      <c r="J117" s="7" t="s">
        <v>457</v>
      </c>
      <c r="K117" s="1"/>
      <c r="L117" s="1"/>
      <c r="M117" s="1"/>
      <c r="N117" s="1"/>
      <c r="O117" s="92">
        <v>3090</v>
      </c>
    </row>
    <row r="118" spans="10:15" x14ac:dyDescent="0.35">
      <c r="J118" s="13" t="s">
        <v>457</v>
      </c>
      <c r="K118" s="1"/>
      <c r="L118" s="1"/>
      <c r="M118" s="1"/>
      <c r="N118" s="1"/>
      <c r="O118" s="92">
        <v>2891</v>
      </c>
    </row>
    <row r="119" spans="10:15" x14ac:dyDescent="0.35">
      <c r="J119" s="13" t="s">
        <v>461</v>
      </c>
      <c r="K119" s="1"/>
      <c r="L119" s="1"/>
      <c r="M119" s="1"/>
      <c r="N119" s="1"/>
      <c r="O119" s="92">
        <v>199</v>
      </c>
    </row>
    <row r="120" spans="10:15" x14ac:dyDescent="0.35">
      <c r="J120" s="10">
        <v>46186</v>
      </c>
      <c r="K120" s="1">
        <v>16689</v>
      </c>
      <c r="L120" s="1">
        <v>427.5</v>
      </c>
      <c r="M120" s="1">
        <v>18.5</v>
      </c>
      <c r="N120" s="1">
        <v>8126190.5</v>
      </c>
      <c r="O120" s="92">
        <v>656</v>
      </c>
    </row>
    <row r="121" spans="10:15" x14ac:dyDescent="0.35">
      <c r="J121" s="7" t="s">
        <v>35</v>
      </c>
      <c r="K121" s="1">
        <v>16689</v>
      </c>
      <c r="L121" s="1">
        <v>427.5</v>
      </c>
      <c r="M121" s="1">
        <v>18.5</v>
      </c>
      <c r="N121" s="1">
        <v>8126190.5</v>
      </c>
      <c r="O121" s="92">
        <v>435</v>
      </c>
    </row>
    <row r="122" spans="10:15" x14ac:dyDescent="0.35">
      <c r="J122" s="13" t="s">
        <v>33</v>
      </c>
      <c r="K122" s="1">
        <v>16</v>
      </c>
      <c r="L122" s="1">
        <v>405</v>
      </c>
      <c r="M122" s="1">
        <v>0</v>
      </c>
      <c r="N122" s="1">
        <v>6439.5</v>
      </c>
      <c r="O122" s="92">
        <v>220</v>
      </c>
    </row>
    <row r="123" spans="10:15" x14ac:dyDescent="0.35">
      <c r="J123" s="13" t="s">
        <v>461</v>
      </c>
      <c r="K123" s="1">
        <v>16673</v>
      </c>
      <c r="L123" s="1">
        <v>450</v>
      </c>
      <c r="M123" s="1">
        <v>37</v>
      </c>
      <c r="N123" s="1">
        <v>8119751</v>
      </c>
      <c r="O123" s="92">
        <v>215</v>
      </c>
    </row>
    <row r="124" spans="10:15" x14ac:dyDescent="0.35">
      <c r="J124" s="7" t="s">
        <v>457</v>
      </c>
      <c r="K124" s="1"/>
      <c r="L124" s="1"/>
      <c r="M124" s="1"/>
      <c r="N124" s="1"/>
      <c r="O124" s="92">
        <v>221</v>
      </c>
    </row>
    <row r="125" spans="10:15" x14ac:dyDescent="0.35">
      <c r="J125" s="13" t="s">
        <v>457</v>
      </c>
      <c r="K125" s="1"/>
      <c r="L125" s="1"/>
      <c r="M125" s="1"/>
      <c r="N125" s="1"/>
      <c r="O125" s="92">
        <v>221</v>
      </c>
    </row>
    <row r="126" spans="10:15" x14ac:dyDescent="0.35">
      <c r="J126" s="10">
        <v>46187</v>
      </c>
      <c r="K126" s="1">
        <v>17546</v>
      </c>
      <c r="L126" s="1">
        <v>427.5</v>
      </c>
      <c r="M126" s="1">
        <v>18.5</v>
      </c>
      <c r="N126" s="1">
        <v>8543490.0999999996</v>
      </c>
      <c r="O126" s="92">
        <v>435</v>
      </c>
    </row>
    <row r="127" spans="10:15" x14ac:dyDescent="0.35">
      <c r="J127" s="7" t="s">
        <v>35</v>
      </c>
      <c r="K127" s="1">
        <v>17546</v>
      </c>
      <c r="L127" s="1">
        <v>427.5</v>
      </c>
      <c r="M127" s="1">
        <v>18.5</v>
      </c>
      <c r="N127" s="1">
        <v>8543490.0999999996</v>
      </c>
      <c r="O127" s="92">
        <v>435</v>
      </c>
    </row>
    <row r="128" spans="10:15" x14ac:dyDescent="0.35">
      <c r="J128" s="13" t="s">
        <v>33</v>
      </c>
      <c r="K128" s="1">
        <v>19</v>
      </c>
      <c r="L128" s="1">
        <v>405</v>
      </c>
      <c r="M128" s="1">
        <v>0</v>
      </c>
      <c r="N128" s="1">
        <v>7695</v>
      </c>
      <c r="O128" s="92">
        <v>218</v>
      </c>
    </row>
    <row r="129" spans="10:15" x14ac:dyDescent="0.35">
      <c r="J129" s="13" t="s">
        <v>461</v>
      </c>
      <c r="K129" s="1">
        <v>17527</v>
      </c>
      <c r="L129" s="1">
        <v>450</v>
      </c>
      <c r="M129" s="1">
        <v>37</v>
      </c>
      <c r="N129" s="1">
        <v>8535795.0999999996</v>
      </c>
      <c r="O129" s="92">
        <v>217</v>
      </c>
    </row>
    <row r="130" spans="10:15" x14ac:dyDescent="0.35">
      <c r="J130" s="10">
        <v>46188</v>
      </c>
      <c r="K130" s="1">
        <v>12661</v>
      </c>
      <c r="L130" s="1">
        <v>225</v>
      </c>
      <c r="M130" s="1">
        <v>18.5</v>
      </c>
      <c r="N130" s="1">
        <v>6105032</v>
      </c>
      <c r="O130" s="92">
        <v>1557</v>
      </c>
    </row>
    <row r="131" spans="10:15" x14ac:dyDescent="0.35">
      <c r="J131" s="7" t="s">
        <v>35</v>
      </c>
      <c r="K131" s="1">
        <v>12536</v>
      </c>
      <c r="L131" s="1">
        <v>450</v>
      </c>
      <c r="M131" s="1">
        <v>37</v>
      </c>
      <c r="N131" s="1">
        <v>6105032</v>
      </c>
      <c r="O131" s="92">
        <v>223</v>
      </c>
    </row>
    <row r="132" spans="10:15" x14ac:dyDescent="0.35">
      <c r="J132" s="13" t="s">
        <v>461</v>
      </c>
      <c r="K132" s="1">
        <v>12536</v>
      </c>
      <c r="L132" s="1">
        <v>450</v>
      </c>
      <c r="M132" s="1">
        <v>37</v>
      </c>
      <c r="N132" s="1">
        <v>6105032</v>
      </c>
      <c r="O132" s="92">
        <v>223</v>
      </c>
    </row>
    <row r="133" spans="10:15" x14ac:dyDescent="0.35">
      <c r="J133" s="7" t="s">
        <v>457</v>
      </c>
      <c r="K133" s="1"/>
      <c r="L133" s="1"/>
      <c r="M133" s="1"/>
      <c r="N133" s="1"/>
      <c r="O133" s="92">
        <v>1110</v>
      </c>
    </row>
    <row r="134" spans="10:15" x14ac:dyDescent="0.35">
      <c r="J134" s="13" t="s">
        <v>457</v>
      </c>
      <c r="K134" s="1"/>
      <c r="L134" s="1"/>
      <c r="M134" s="1"/>
      <c r="N134" s="1"/>
      <c r="O134" s="92">
        <v>675</v>
      </c>
    </row>
    <row r="135" spans="10:15" x14ac:dyDescent="0.35">
      <c r="J135" s="13" t="s">
        <v>475</v>
      </c>
      <c r="K135" s="1"/>
      <c r="L135" s="1"/>
      <c r="M135" s="1"/>
      <c r="N135" s="1"/>
      <c r="O135" s="92">
        <v>219</v>
      </c>
    </row>
    <row r="136" spans="10:15" x14ac:dyDescent="0.35">
      <c r="J136" s="13" t="s">
        <v>461</v>
      </c>
      <c r="K136" s="1"/>
      <c r="L136" s="1"/>
      <c r="M136" s="1"/>
      <c r="N136" s="1"/>
      <c r="O136" s="92">
        <v>216</v>
      </c>
    </row>
    <row r="137" spans="10:15" x14ac:dyDescent="0.35">
      <c r="J137" s="7" t="s">
        <v>388</v>
      </c>
      <c r="K137" s="1">
        <v>125</v>
      </c>
      <c r="L137" s="1">
        <v>0</v>
      </c>
      <c r="M137" s="1">
        <v>0</v>
      </c>
      <c r="N137" s="1">
        <v>0</v>
      </c>
      <c r="O137" s="92">
        <v>224</v>
      </c>
    </row>
    <row r="138" spans="10:15" x14ac:dyDescent="0.35">
      <c r="J138" s="13" t="s">
        <v>461</v>
      </c>
      <c r="K138" s="1">
        <v>125</v>
      </c>
      <c r="L138" s="1">
        <v>0</v>
      </c>
      <c r="M138" s="1">
        <v>0</v>
      </c>
      <c r="N138" s="1">
        <v>0</v>
      </c>
      <c r="O138" s="92">
        <v>224</v>
      </c>
    </row>
    <row r="139" spans="10:15" x14ac:dyDescent="0.35">
      <c r="J139" s="10">
        <v>46189</v>
      </c>
      <c r="K139" s="1">
        <v>10305</v>
      </c>
      <c r="L139" s="1">
        <v>225</v>
      </c>
      <c r="M139" s="1">
        <v>18.5</v>
      </c>
      <c r="N139" s="1">
        <v>4914073.5</v>
      </c>
      <c r="O139" s="92">
        <v>1143</v>
      </c>
    </row>
    <row r="140" spans="10:15" x14ac:dyDescent="0.35">
      <c r="J140" s="7" t="s">
        <v>35</v>
      </c>
      <c r="K140" s="1">
        <v>10090</v>
      </c>
      <c r="L140" s="1">
        <v>450</v>
      </c>
      <c r="M140" s="1">
        <v>37</v>
      </c>
      <c r="N140" s="1">
        <v>4914073.5</v>
      </c>
      <c r="O140" s="92">
        <v>230</v>
      </c>
    </row>
    <row r="141" spans="10:15" x14ac:dyDescent="0.35">
      <c r="J141" s="13" t="s">
        <v>461</v>
      </c>
      <c r="K141" s="1">
        <v>10090</v>
      </c>
      <c r="L141" s="1">
        <v>450</v>
      </c>
      <c r="M141" s="1">
        <v>37</v>
      </c>
      <c r="N141" s="1">
        <v>4914073.5</v>
      </c>
      <c r="O141" s="92">
        <v>230</v>
      </c>
    </row>
    <row r="142" spans="10:15" x14ac:dyDescent="0.35">
      <c r="J142" s="7" t="s">
        <v>457</v>
      </c>
      <c r="K142" s="1"/>
      <c r="L142" s="1"/>
      <c r="M142" s="1"/>
      <c r="N142" s="1"/>
      <c r="O142" s="92">
        <v>682</v>
      </c>
    </row>
    <row r="143" spans="10:15" x14ac:dyDescent="0.35">
      <c r="J143" s="13" t="s">
        <v>457</v>
      </c>
      <c r="K143" s="1"/>
      <c r="L143" s="1"/>
      <c r="M143" s="1"/>
      <c r="N143" s="1"/>
      <c r="O143" s="92">
        <v>457</v>
      </c>
    </row>
    <row r="144" spans="10:15" x14ac:dyDescent="0.35">
      <c r="J144" s="13" t="s">
        <v>461</v>
      </c>
      <c r="K144" s="1"/>
      <c r="L144" s="1"/>
      <c r="M144" s="1"/>
      <c r="N144" s="1"/>
      <c r="O144" s="92">
        <v>225</v>
      </c>
    </row>
    <row r="145" spans="10:15" x14ac:dyDescent="0.35">
      <c r="J145" s="7" t="s">
        <v>388</v>
      </c>
      <c r="K145" s="1">
        <v>215</v>
      </c>
      <c r="L145" s="1">
        <v>0</v>
      </c>
      <c r="M145" s="1">
        <v>0</v>
      </c>
      <c r="N145" s="1">
        <v>0</v>
      </c>
      <c r="O145" s="92">
        <v>231</v>
      </c>
    </row>
    <row r="146" spans="10:15" x14ac:dyDescent="0.35">
      <c r="J146" s="13" t="s">
        <v>461</v>
      </c>
      <c r="K146" s="1">
        <v>215</v>
      </c>
      <c r="L146" s="1">
        <v>0</v>
      </c>
      <c r="M146" s="1">
        <v>0</v>
      </c>
      <c r="N146" s="1">
        <v>0</v>
      </c>
      <c r="O146" s="92">
        <v>231</v>
      </c>
    </row>
    <row r="147" spans="10:15" x14ac:dyDescent="0.35">
      <c r="J147" s="10">
        <v>46190</v>
      </c>
      <c r="K147" s="1">
        <v>12592</v>
      </c>
      <c r="L147" s="1">
        <v>285</v>
      </c>
      <c r="M147" s="1">
        <v>12.333333333333334</v>
      </c>
      <c r="N147" s="1">
        <v>5908103.7999999998</v>
      </c>
      <c r="O147" s="92">
        <v>2854</v>
      </c>
    </row>
    <row r="148" spans="10:15" x14ac:dyDescent="0.35">
      <c r="J148" s="7" t="s">
        <v>35</v>
      </c>
      <c r="K148" s="1">
        <v>12141</v>
      </c>
      <c r="L148" s="1">
        <v>427.5</v>
      </c>
      <c r="M148" s="1">
        <v>18.5</v>
      </c>
      <c r="N148" s="1">
        <v>5908103.7999999998</v>
      </c>
      <c r="O148" s="92">
        <v>483</v>
      </c>
    </row>
    <row r="149" spans="10:15" x14ac:dyDescent="0.35">
      <c r="J149" s="13" t="s">
        <v>33</v>
      </c>
      <c r="K149" s="1">
        <v>60</v>
      </c>
      <c r="L149" s="1">
        <v>405</v>
      </c>
      <c r="M149" s="1">
        <v>0</v>
      </c>
      <c r="N149" s="1">
        <v>24462</v>
      </c>
      <c r="O149" s="92">
        <v>242</v>
      </c>
    </row>
    <row r="150" spans="10:15" x14ac:dyDescent="0.35">
      <c r="J150" s="13" t="s">
        <v>461</v>
      </c>
      <c r="K150" s="1">
        <v>12081</v>
      </c>
      <c r="L150" s="1">
        <v>450</v>
      </c>
      <c r="M150" s="1">
        <v>37</v>
      </c>
      <c r="N150" s="1">
        <v>5883641.7999999998</v>
      </c>
      <c r="O150" s="92">
        <v>241</v>
      </c>
    </row>
    <row r="151" spans="10:15" x14ac:dyDescent="0.35">
      <c r="J151" s="7" t="s">
        <v>457</v>
      </c>
      <c r="K151" s="1"/>
      <c r="L151" s="1"/>
      <c r="M151" s="1"/>
      <c r="N151" s="1"/>
      <c r="O151" s="92">
        <v>2128</v>
      </c>
    </row>
    <row r="152" spans="10:15" x14ac:dyDescent="0.35">
      <c r="J152" s="13" t="s">
        <v>457</v>
      </c>
      <c r="K152" s="1"/>
      <c r="L152" s="1"/>
      <c r="M152" s="1"/>
      <c r="N152" s="1"/>
      <c r="O152" s="92">
        <v>1663</v>
      </c>
    </row>
    <row r="153" spans="10:15" x14ac:dyDescent="0.35">
      <c r="J153" s="13" t="s">
        <v>475</v>
      </c>
      <c r="K153" s="1"/>
      <c r="L153" s="1"/>
      <c r="M153" s="1"/>
      <c r="N153" s="1"/>
      <c r="O153" s="92">
        <v>233</v>
      </c>
    </row>
    <row r="154" spans="10:15" x14ac:dyDescent="0.35">
      <c r="J154" s="13" t="s">
        <v>461</v>
      </c>
      <c r="K154" s="1"/>
      <c r="L154" s="1"/>
      <c r="M154" s="1"/>
      <c r="N154" s="1"/>
      <c r="O154" s="92">
        <v>232</v>
      </c>
    </row>
    <row r="155" spans="10:15" x14ac:dyDescent="0.35">
      <c r="J155" s="7" t="s">
        <v>388</v>
      </c>
      <c r="K155" s="1">
        <v>451</v>
      </c>
      <c r="L155" s="1">
        <v>0</v>
      </c>
      <c r="M155" s="1">
        <v>0</v>
      </c>
      <c r="N155" s="1">
        <v>0</v>
      </c>
      <c r="O155" s="92">
        <v>243</v>
      </c>
    </row>
    <row r="156" spans="10:15" x14ac:dyDescent="0.35">
      <c r="J156" s="13" t="s">
        <v>461</v>
      </c>
      <c r="K156" s="1">
        <v>451</v>
      </c>
      <c r="L156" s="1">
        <v>0</v>
      </c>
      <c r="M156" s="1">
        <v>0</v>
      </c>
      <c r="N156" s="1">
        <v>0</v>
      </c>
      <c r="O156" s="92">
        <v>243</v>
      </c>
    </row>
    <row r="157" spans="10:15" x14ac:dyDescent="0.35">
      <c r="J157" s="10">
        <v>46191</v>
      </c>
      <c r="K157" s="1">
        <v>13738</v>
      </c>
      <c r="L157" s="1">
        <v>225</v>
      </c>
      <c r="M157" s="1">
        <v>18.5</v>
      </c>
      <c r="N157" s="1">
        <v>6585847.0999999996</v>
      </c>
      <c r="O157" s="92">
        <v>1229</v>
      </c>
    </row>
    <row r="158" spans="10:15" x14ac:dyDescent="0.35">
      <c r="J158" s="7" t="s">
        <v>35</v>
      </c>
      <c r="K158" s="1">
        <v>13523</v>
      </c>
      <c r="L158" s="1">
        <v>450</v>
      </c>
      <c r="M158" s="1">
        <v>37</v>
      </c>
      <c r="N158" s="1">
        <v>6585847.0999999996</v>
      </c>
      <c r="O158" s="92">
        <v>247</v>
      </c>
    </row>
    <row r="159" spans="10:15" x14ac:dyDescent="0.35">
      <c r="J159" s="13" t="s">
        <v>461</v>
      </c>
      <c r="K159" s="1">
        <v>13523</v>
      </c>
      <c r="L159" s="1">
        <v>450</v>
      </c>
      <c r="M159" s="1">
        <v>37</v>
      </c>
      <c r="N159" s="1">
        <v>6585847.0999999996</v>
      </c>
      <c r="O159" s="92">
        <v>247</v>
      </c>
    </row>
    <row r="160" spans="10:15" x14ac:dyDescent="0.35">
      <c r="J160" s="7" t="s">
        <v>457</v>
      </c>
      <c r="K160" s="1"/>
      <c r="L160" s="1"/>
      <c r="M160" s="1"/>
      <c r="N160" s="1"/>
      <c r="O160" s="92">
        <v>734</v>
      </c>
    </row>
    <row r="161" spans="10:15" x14ac:dyDescent="0.35">
      <c r="J161" s="13" t="s">
        <v>457</v>
      </c>
      <c r="K161" s="1"/>
      <c r="L161" s="1"/>
      <c r="M161" s="1"/>
      <c r="N161" s="1"/>
      <c r="O161" s="92">
        <v>245</v>
      </c>
    </row>
    <row r="162" spans="10:15" x14ac:dyDescent="0.35">
      <c r="J162" s="13" t="s">
        <v>475</v>
      </c>
      <c r="K162" s="1"/>
      <c r="L162" s="1"/>
      <c r="M162" s="1"/>
      <c r="N162" s="1"/>
      <c r="O162" s="92">
        <v>249</v>
      </c>
    </row>
    <row r="163" spans="10:15" x14ac:dyDescent="0.35">
      <c r="J163" s="13" t="s">
        <v>461</v>
      </c>
      <c r="K163" s="1"/>
      <c r="L163" s="1"/>
      <c r="M163" s="1"/>
      <c r="N163" s="1"/>
      <c r="O163" s="92">
        <v>240</v>
      </c>
    </row>
    <row r="164" spans="10:15" x14ac:dyDescent="0.35">
      <c r="J164" s="7" t="s">
        <v>388</v>
      </c>
      <c r="K164" s="1">
        <v>215</v>
      </c>
      <c r="L164" s="1">
        <v>0</v>
      </c>
      <c r="M164" s="1">
        <v>0</v>
      </c>
      <c r="N164" s="1">
        <v>0</v>
      </c>
      <c r="O164" s="92">
        <v>248</v>
      </c>
    </row>
    <row r="165" spans="10:15" x14ac:dyDescent="0.35">
      <c r="J165" s="13" t="s">
        <v>461</v>
      </c>
      <c r="K165" s="1">
        <v>215</v>
      </c>
      <c r="L165" s="1">
        <v>0</v>
      </c>
      <c r="M165" s="1">
        <v>0</v>
      </c>
      <c r="N165" s="1">
        <v>0</v>
      </c>
      <c r="O165" s="92">
        <v>248</v>
      </c>
    </row>
    <row r="166" spans="10:15" x14ac:dyDescent="0.35">
      <c r="J166" s="10">
        <v>46192</v>
      </c>
      <c r="K166" s="1">
        <v>12606</v>
      </c>
      <c r="L166" s="1">
        <v>285</v>
      </c>
      <c r="M166" s="1">
        <v>12.333333333333334</v>
      </c>
      <c r="N166" s="1">
        <v>5919713.4000000004</v>
      </c>
      <c r="O166" s="92">
        <v>4366</v>
      </c>
    </row>
    <row r="167" spans="10:15" x14ac:dyDescent="0.35">
      <c r="J167" s="7" t="s">
        <v>35</v>
      </c>
      <c r="K167" s="1">
        <v>12162</v>
      </c>
      <c r="L167" s="1">
        <v>427.5</v>
      </c>
      <c r="M167" s="1">
        <v>18.5</v>
      </c>
      <c r="N167" s="1">
        <v>5919713.4000000004</v>
      </c>
      <c r="O167" s="92">
        <v>528</v>
      </c>
    </row>
    <row r="168" spans="10:15" x14ac:dyDescent="0.35">
      <c r="J168" s="13" t="s">
        <v>33</v>
      </c>
      <c r="K168" s="1">
        <v>38</v>
      </c>
      <c r="L168" s="1">
        <v>405</v>
      </c>
      <c r="M168" s="1">
        <v>0</v>
      </c>
      <c r="N168" s="1">
        <v>15228</v>
      </c>
      <c r="O168" s="92">
        <v>265</v>
      </c>
    </row>
    <row r="169" spans="10:15" x14ac:dyDescent="0.35">
      <c r="J169" s="13" t="s">
        <v>461</v>
      </c>
      <c r="K169" s="1">
        <v>12124</v>
      </c>
      <c r="L169" s="1">
        <v>450</v>
      </c>
      <c r="M169" s="1">
        <v>37</v>
      </c>
      <c r="N169" s="1">
        <v>5904485.4000000004</v>
      </c>
      <c r="O169" s="92">
        <v>263</v>
      </c>
    </row>
    <row r="170" spans="10:15" x14ac:dyDescent="0.35">
      <c r="J170" s="7" t="s">
        <v>457</v>
      </c>
      <c r="K170" s="1"/>
      <c r="L170" s="1"/>
      <c r="M170" s="1"/>
      <c r="N170" s="1"/>
      <c r="O170" s="92">
        <v>3574</v>
      </c>
    </row>
    <row r="171" spans="10:15" x14ac:dyDescent="0.35">
      <c r="J171" s="13" t="s">
        <v>33</v>
      </c>
      <c r="K171" s="1"/>
      <c r="L171" s="1"/>
      <c r="M171" s="1"/>
      <c r="N171" s="1"/>
      <c r="O171" s="92">
        <v>261</v>
      </c>
    </row>
    <row r="172" spans="10:15" x14ac:dyDescent="0.35">
      <c r="J172" s="13" t="s">
        <v>457</v>
      </c>
      <c r="K172" s="1"/>
      <c r="L172" s="1"/>
      <c r="M172" s="1"/>
      <c r="N172" s="1"/>
      <c r="O172" s="92">
        <v>3067</v>
      </c>
    </row>
    <row r="173" spans="10:15" x14ac:dyDescent="0.35">
      <c r="J173" s="13" t="s">
        <v>461</v>
      </c>
      <c r="K173" s="1"/>
      <c r="L173" s="1"/>
      <c r="M173" s="1"/>
      <c r="N173" s="1"/>
      <c r="O173" s="92">
        <v>246</v>
      </c>
    </row>
    <row r="174" spans="10:15" x14ac:dyDescent="0.35">
      <c r="J174" s="7" t="s">
        <v>388</v>
      </c>
      <c r="K174" s="1">
        <v>444</v>
      </c>
      <c r="L174" s="1">
        <v>0</v>
      </c>
      <c r="M174" s="1">
        <v>0</v>
      </c>
      <c r="N174" s="1">
        <v>0</v>
      </c>
      <c r="O174" s="92">
        <v>264</v>
      </c>
    </row>
    <row r="175" spans="10:15" x14ac:dyDescent="0.35">
      <c r="J175" s="13" t="s">
        <v>461</v>
      </c>
      <c r="K175" s="1">
        <v>444</v>
      </c>
      <c r="L175" s="1">
        <v>0</v>
      </c>
      <c r="M175" s="1">
        <v>0</v>
      </c>
      <c r="N175" s="1">
        <v>0</v>
      </c>
      <c r="O175" s="92">
        <v>264</v>
      </c>
    </row>
    <row r="176" spans="10:15" x14ac:dyDescent="0.35">
      <c r="J176" s="10" t="s">
        <v>458</v>
      </c>
      <c r="K176" s="1">
        <v>166693</v>
      </c>
      <c r="L176" s="1">
        <v>78.029940119760482</v>
      </c>
      <c r="M176" s="1">
        <v>6.587301587301587</v>
      </c>
      <c r="N176" s="1">
        <v>77149697.400000006</v>
      </c>
      <c r="O176" s="92">
        <v>35245</v>
      </c>
    </row>
  </sheetData>
  <mergeCells count="7">
    <mergeCell ref="Y6:Z6"/>
    <mergeCell ref="A1:B1"/>
    <mergeCell ref="U2:V2"/>
    <mergeCell ref="Y3:Z3"/>
    <mergeCell ref="Y4:Z4"/>
    <mergeCell ref="Y5:Z5"/>
    <mergeCell ref="E1:F1"/>
  </mergeCells>
  <hyperlinks>
    <hyperlink ref="I1" location="Sadržaj!A1" display="Sadržaj" xr:uid="{00000000-0004-0000-0200-000000000000}"/>
  </hyperlinks>
  <pageMargins left="0.7" right="0.7" top="0.75" bottom="0.75" header="0.3" footer="0.3"/>
  <pageSetup paperSize="9" orientation="portrait" verticalDpi="0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36"/>
  <sheetViews>
    <sheetView workbookViewId="0">
      <selection activeCell="C13" sqref="C13"/>
    </sheetView>
  </sheetViews>
  <sheetFormatPr defaultRowHeight="14.5" x14ac:dyDescent="0.35"/>
  <cols>
    <col min="1" max="1" width="15.81640625" bestFit="1" customWidth="1"/>
    <col min="2" max="2" width="15.54296875" bestFit="1" customWidth="1"/>
    <col min="3" max="3" width="31.1796875" bestFit="1" customWidth="1"/>
    <col min="4" max="4" width="9.453125" bestFit="1" customWidth="1"/>
    <col min="5" max="5" width="14.1796875" bestFit="1" customWidth="1"/>
  </cols>
  <sheetData>
    <row r="1" spans="1:5" x14ac:dyDescent="0.35">
      <c r="A1" t="s">
        <v>306</v>
      </c>
      <c r="B1" t="s">
        <v>304</v>
      </c>
      <c r="C1" t="s">
        <v>305</v>
      </c>
      <c r="D1" t="s">
        <v>307</v>
      </c>
      <c r="E1" t="s">
        <v>308</v>
      </c>
    </row>
    <row r="2" spans="1:5" x14ac:dyDescent="0.35">
      <c r="A2" t="s">
        <v>310</v>
      </c>
      <c r="B2">
        <v>978</v>
      </c>
      <c r="C2" t="s">
        <v>309</v>
      </c>
      <c r="D2">
        <v>1</v>
      </c>
      <c r="E2">
        <v>117.0992</v>
      </c>
    </row>
    <row r="3" spans="1:5" x14ac:dyDescent="0.35">
      <c r="A3" t="s">
        <v>312</v>
      </c>
      <c r="B3">
        <v>36</v>
      </c>
      <c r="C3" t="s">
        <v>311</v>
      </c>
      <c r="D3">
        <v>1</v>
      </c>
      <c r="E3">
        <v>70.512</v>
      </c>
    </row>
    <row r="4" spans="1:5" x14ac:dyDescent="0.35">
      <c r="A4" t="s">
        <v>314</v>
      </c>
      <c r="B4">
        <v>124</v>
      </c>
      <c r="C4" t="s">
        <v>313</v>
      </c>
      <c r="D4">
        <v>1</v>
      </c>
      <c r="E4">
        <v>78.658699999999996</v>
      </c>
    </row>
    <row r="5" spans="1:5" x14ac:dyDescent="0.35">
      <c r="A5" t="s">
        <v>316</v>
      </c>
      <c r="B5">
        <v>156</v>
      </c>
      <c r="C5" t="s">
        <v>315</v>
      </c>
      <c r="D5">
        <v>1</v>
      </c>
      <c r="E5">
        <v>15.491400000000001</v>
      </c>
    </row>
    <row r="6" spans="1:5" x14ac:dyDescent="0.35">
      <c r="A6" t="s">
        <v>318</v>
      </c>
      <c r="B6">
        <v>203</v>
      </c>
      <c r="C6" t="s">
        <v>317</v>
      </c>
      <c r="D6">
        <v>1</v>
      </c>
      <c r="E6">
        <v>4.6513999999999998</v>
      </c>
    </row>
    <row r="7" spans="1:5" x14ac:dyDescent="0.35">
      <c r="A7" t="s">
        <v>320</v>
      </c>
      <c r="B7">
        <v>208</v>
      </c>
      <c r="C7" t="s">
        <v>319</v>
      </c>
      <c r="D7">
        <v>1</v>
      </c>
      <c r="E7">
        <v>15.696099999999999</v>
      </c>
    </row>
    <row r="8" spans="1:5" x14ac:dyDescent="0.35">
      <c r="A8" t="s">
        <v>322</v>
      </c>
      <c r="B8">
        <v>348</v>
      </c>
      <c r="C8" t="s">
        <v>321</v>
      </c>
      <c r="D8">
        <v>100</v>
      </c>
      <c r="E8">
        <v>28.736699999999999</v>
      </c>
    </row>
    <row r="9" spans="1:5" x14ac:dyDescent="0.35">
      <c r="A9" t="s">
        <v>421</v>
      </c>
      <c r="B9">
        <v>356</v>
      </c>
      <c r="C9" t="s">
        <v>422</v>
      </c>
      <c r="D9">
        <v>1</v>
      </c>
      <c r="E9">
        <v>1.2937000000000001</v>
      </c>
    </row>
    <row r="10" spans="1:5" x14ac:dyDescent="0.35">
      <c r="A10" t="s">
        <v>324</v>
      </c>
      <c r="B10">
        <v>392</v>
      </c>
      <c r="C10" t="s">
        <v>323</v>
      </c>
      <c r="D10">
        <v>100</v>
      </c>
      <c r="E10">
        <v>73.5548</v>
      </c>
    </row>
    <row r="11" spans="1:5" x14ac:dyDescent="0.35">
      <c r="A11" t="s">
        <v>326</v>
      </c>
      <c r="B11">
        <v>414</v>
      </c>
      <c r="C11" t="s">
        <v>325</v>
      </c>
      <c r="D11">
        <v>1</v>
      </c>
      <c r="E11">
        <v>365.59230000000002</v>
      </c>
    </row>
    <row r="12" spans="1:5" x14ac:dyDescent="0.35">
      <c r="A12" t="s">
        <v>328</v>
      </c>
      <c r="B12">
        <v>578</v>
      </c>
      <c r="C12" t="s">
        <v>327</v>
      </c>
      <c r="D12">
        <v>1</v>
      </c>
      <c r="E12">
        <v>10.0298</v>
      </c>
    </row>
    <row r="13" spans="1:5" x14ac:dyDescent="0.35">
      <c r="A13" t="s">
        <v>330</v>
      </c>
      <c r="B13">
        <v>643</v>
      </c>
      <c r="C13" t="s">
        <v>329</v>
      </c>
      <c r="D13">
        <v>1</v>
      </c>
      <c r="E13">
        <v>1.1349</v>
      </c>
    </row>
    <row r="14" spans="1:5" x14ac:dyDescent="0.35">
      <c r="A14" t="s">
        <v>332</v>
      </c>
      <c r="B14">
        <v>752</v>
      </c>
      <c r="C14" t="s">
        <v>331</v>
      </c>
      <c r="D14">
        <v>1</v>
      </c>
      <c r="E14">
        <v>10.279299999999999</v>
      </c>
    </row>
    <row r="15" spans="1:5" x14ac:dyDescent="0.35">
      <c r="A15" t="s">
        <v>334</v>
      </c>
      <c r="B15">
        <v>756</v>
      </c>
      <c r="C15" t="s">
        <v>333</v>
      </c>
      <c r="D15">
        <v>1</v>
      </c>
      <c r="E15">
        <v>124.5471</v>
      </c>
    </row>
    <row r="16" spans="1:5" x14ac:dyDescent="0.35">
      <c r="A16" t="s">
        <v>425</v>
      </c>
      <c r="B16">
        <v>784</v>
      </c>
      <c r="C16" t="s">
        <v>426</v>
      </c>
      <c r="D16">
        <v>1</v>
      </c>
      <c r="E16">
        <v>30.716999999999999</v>
      </c>
    </row>
    <row r="17" spans="1:5" x14ac:dyDescent="0.35">
      <c r="A17" t="s">
        <v>427</v>
      </c>
      <c r="B17">
        <v>807</v>
      </c>
      <c r="C17" t="s">
        <v>428</v>
      </c>
      <c r="D17">
        <v>1</v>
      </c>
      <c r="E17">
        <v>1.8942000000000001</v>
      </c>
    </row>
    <row r="18" spans="1:5" x14ac:dyDescent="0.35">
      <c r="A18" t="s">
        <v>336</v>
      </c>
      <c r="B18">
        <v>826</v>
      </c>
      <c r="C18" t="s">
        <v>335</v>
      </c>
      <c r="D18">
        <v>1</v>
      </c>
      <c r="E18">
        <v>140.6935</v>
      </c>
    </row>
    <row r="19" spans="1:5" x14ac:dyDescent="0.35">
      <c r="A19" t="s">
        <v>338</v>
      </c>
      <c r="B19">
        <v>840</v>
      </c>
      <c r="C19" t="s">
        <v>337</v>
      </c>
      <c r="D19">
        <v>1</v>
      </c>
      <c r="E19">
        <v>112.8015</v>
      </c>
    </row>
    <row r="20" spans="1:5" x14ac:dyDescent="0.35">
      <c r="A20" t="s">
        <v>340</v>
      </c>
      <c r="B20">
        <v>933</v>
      </c>
      <c r="C20" t="s">
        <v>339</v>
      </c>
      <c r="D20">
        <v>1</v>
      </c>
      <c r="E20">
        <v>34.410600000000002</v>
      </c>
    </row>
    <row r="21" spans="1:5" x14ac:dyDescent="0.35">
      <c r="A21" t="s">
        <v>342</v>
      </c>
      <c r="B21">
        <v>946</v>
      </c>
      <c r="C21" t="s">
        <v>341</v>
      </c>
      <c r="D21">
        <v>1</v>
      </c>
      <c r="E21">
        <v>23.512499999999999</v>
      </c>
    </row>
    <row r="22" spans="1:5" x14ac:dyDescent="0.35">
      <c r="A22" t="s">
        <v>344</v>
      </c>
      <c r="B22">
        <v>949</v>
      </c>
      <c r="C22" t="s">
        <v>343</v>
      </c>
      <c r="D22">
        <v>1</v>
      </c>
      <c r="E22">
        <v>3.1364999999999998</v>
      </c>
    </row>
    <row r="23" spans="1:5" x14ac:dyDescent="0.35">
      <c r="A23" t="s">
        <v>346</v>
      </c>
      <c r="B23">
        <v>975</v>
      </c>
      <c r="C23" t="s">
        <v>345</v>
      </c>
      <c r="D23">
        <v>1</v>
      </c>
      <c r="E23">
        <v>59.871899999999997</v>
      </c>
    </row>
    <row r="24" spans="1:5" x14ac:dyDescent="0.35">
      <c r="A24" t="s">
        <v>348</v>
      </c>
      <c r="B24">
        <v>977</v>
      </c>
      <c r="C24" t="s">
        <v>347</v>
      </c>
      <c r="D24">
        <v>1</v>
      </c>
      <c r="E24">
        <v>59.871899999999997</v>
      </c>
    </row>
    <row r="25" spans="1:5" x14ac:dyDescent="0.35">
      <c r="A25" t="s">
        <v>350</v>
      </c>
      <c r="B25">
        <v>985</v>
      </c>
      <c r="C25" t="s">
        <v>349</v>
      </c>
      <c r="D25">
        <v>1</v>
      </c>
      <c r="E25">
        <v>27.7941</v>
      </c>
    </row>
    <row r="26" spans="1:5" x14ac:dyDescent="0.35">
      <c r="A26" t="s">
        <v>352</v>
      </c>
      <c r="B26">
        <v>40</v>
      </c>
      <c r="C26" t="s">
        <v>351</v>
      </c>
      <c r="D26">
        <v>1</v>
      </c>
      <c r="E26">
        <v>8.5099</v>
      </c>
    </row>
    <row r="27" spans="1:5" x14ac:dyDescent="0.35">
      <c r="A27" t="s">
        <v>354</v>
      </c>
      <c r="B27">
        <v>56</v>
      </c>
      <c r="C27" t="s">
        <v>353</v>
      </c>
      <c r="D27">
        <v>100</v>
      </c>
      <c r="E27">
        <v>290.28129999999999</v>
      </c>
    </row>
    <row r="28" spans="1:5" x14ac:dyDescent="0.35">
      <c r="A28" t="s">
        <v>356</v>
      </c>
      <c r="B28">
        <v>246</v>
      </c>
      <c r="C28" t="s">
        <v>355</v>
      </c>
      <c r="D28">
        <v>1</v>
      </c>
      <c r="E28">
        <v>19.694700000000001</v>
      </c>
    </row>
    <row r="29" spans="1:5" x14ac:dyDescent="0.35">
      <c r="A29" t="s">
        <v>358</v>
      </c>
      <c r="B29">
        <v>250</v>
      </c>
      <c r="C29" t="s">
        <v>357</v>
      </c>
      <c r="D29">
        <v>1</v>
      </c>
      <c r="E29">
        <v>17.851700000000001</v>
      </c>
    </row>
    <row r="30" spans="1:5" x14ac:dyDescent="0.35">
      <c r="A30" t="s">
        <v>360</v>
      </c>
      <c r="B30">
        <v>280</v>
      </c>
      <c r="C30" t="s">
        <v>359</v>
      </c>
      <c r="D30">
        <v>1</v>
      </c>
      <c r="E30">
        <v>59.871899999999997</v>
      </c>
    </row>
    <row r="31" spans="1:5" x14ac:dyDescent="0.35">
      <c r="A31" t="s">
        <v>362</v>
      </c>
      <c r="B31">
        <v>300</v>
      </c>
      <c r="C31" t="s">
        <v>361</v>
      </c>
      <c r="D31">
        <v>100</v>
      </c>
      <c r="E31">
        <v>34.365099999999998</v>
      </c>
    </row>
    <row r="32" spans="1:5" x14ac:dyDescent="0.35">
      <c r="A32" t="s">
        <v>364</v>
      </c>
      <c r="B32">
        <v>372</v>
      </c>
      <c r="C32" t="s">
        <v>363</v>
      </c>
      <c r="D32">
        <v>1</v>
      </c>
      <c r="E32">
        <v>148.68530000000001</v>
      </c>
    </row>
    <row r="33" spans="1:5" x14ac:dyDescent="0.35">
      <c r="A33" t="s">
        <v>366</v>
      </c>
      <c r="B33">
        <v>380</v>
      </c>
      <c r="C33" t="s">
        <v>365</v>
      </c>
      <c r="D33">
        <v>100</v>
      </c>
      <c r="E33">
        <v>6.0476999999999999</v>
      </c>
    </row>
    <row r="34" spans="1:5" x14ac:dyDescent="0.35">
      <c r="A34" t="s">
        <v>368</v>
      </c>
      <c r="B34">
        <v>442</v>
      </c>
      <c r="C34" t="s">
        <v>367</v>
      </c>
      <c r="D34">
        <v>100</v>
      </c>
      <c r="E34">
        <v>290.28129999999999</v>
      </c>
    </row>
    <row r="35" spans="1:5" x14ac:dyDescent="0.35">
      <c r="A35" t="s">
        <v>370</v>
      </c>
      <c r="B35">
        <v>620</v>
      </c>
      <c r="C35" t="s">
        <v>369</v>
      </c>
      <c r="D35">
        <v>100</v>
      </c>
      <c r="E35">
        <v>58.408799999999999</v>
      </c>
    </row>
    <row r="36" spans="1:5" x14ac:dyDescent="0.35">
      <c r="A36" t="s">
        <v>372</v>
      </c>
      <c r="B36">
        <v>724</v>
      </c>
      <c r="C36" t="s">
        <v>371</v>
      </c>
      <c r="D36">
        <v>100</v>
      </c>
      <c r="E36">
        <v>70.378</v>
      </c>
    </row>
  </sheetData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5"/>
  <dimension ref="A1:U16"/>
  <sheetViews>
    <sheetView zoomScaleNormal="100" workbookViewId="0">
      <selection activeCell="C15" sqref="C15"/>
    </sheetView>
  </sheetViews>
  <sheetFormatPr defaultRowHeight="14.5" x14ac:dyDescent="0.35"/>
  <cols>
    <col min="2" max="2" width="14.7265625" bestFit="1" customWidth="1"/>
    <col min="3" max="3" width="17.81640625" bestFit="1" customWidth="1"/>
    <col min="4" max="4" width="9.453125" bestFit="1" customWidth="1"/>
    <col min="5" max="5" width="10" bestFit="1" customWidth="1"/>
    <col min="6" max="6" width="9.26953125" bestFit="1" customWidth="1"/>
    <col min="7" max="7" width="9.81640625" bestFit="1" customWidth="1"/>
    <col min="8" max="8" width="11.453125" bestFit="1" customWidth="1"/>
    <col min="9" max="9" width="10.7265625" bestFit="1" customWidth="1"/>
    <col min="13" max="13" width="14.7265625" bestFit="1" customWidth="1"/>
    <col min="14" max="14" width="17.81640625" bestFit="1" customWidth="1"/>
    <col min="16" max="17" width="14.7265625" bestFit="1" customWidth="1"/>
    <col min="18" max="18" width="15.54296875" bestFit="1" customWidth="1"/>
    <col min="19" max="19" width="16.1796875" bestFit="1" customWidth="1"/>
    <col min="20" max="20" width="25.1796875" bestFit="1" customWidth="1"/>
    <col min="21" max="21" width="16.54296875" customWidth="1"/>
    <col min="22" max="22" width="6.453125" customWidth="1"/>
    <col min="23" max="23" width="4" customWidth="1"/>
    <col min="24" max="40" width="5" customWidth="1"/>
    <col min="41" max="81" width="6" customWidth="1"/>
    <col min="82" max="82" width="11.54296875" bestFit="1" customWidth="1"/>
  </cols>
  <sheetData>
    <row r="1" spans="1:21" x14ac:dyDescent="0.35">
      <c r="P1" t="s">
        <v>377</v>
      </c>
    </row>
    <row r="2" spans="1:21" x14ac:dyDescent="0.35">
      <c r="A2" s="9" t="s">
        <v>258</v>
      </c>
    </row>
    <row r="3" spans="1:21" x14ac:dyDescent="0.35">
      <c r="B3" s="5" t="s">
        <v>1</v>
      </c>
      <c r="C3" t="s">
        <v>460</v>
      </c>
      <c r="M3" s="5" t="s">
        <v>1</v>
      </c>
      <c r="N3" t="s">
        <v>109</v>
      </c>
    </row>
    <row r="4" spans="1:21" x14ac:dyDescent="0.35">
      <c r="B4" s="5" t="s">
        <v>2</v>
      </c>
      <c r="C4" t="s">
        <v>460</v>
      </c>
      <c r="M4" s="5" t="s">
        <v>2</v>
      </c>
      <c r="N4" t="s">
        <v>459</v>
      </c>
      <c r="P4" s="5" t="s">
        <v>1</v>
      </c>
      <c r="Q4" t="s">
        <v>109</v>
      </c>
    </row>
    <row r="5" spans="1:21" x14ac:dyDescent="0.35">
      <c r="B5" s="5" t="s">
        <v>3</v>
      </c>
      <c r="C5" t="s">
        <v>460</v>
      </c>
      <c r="M5" s="5" t="s">
        <v>7</v>
      </c>
      <c r="N5" t="s">
        <v>459</v>
      </c>
      <c r="P5" s="5" t="s">
        <v>2</v>
      </c>
      <c r="Q5" t="s">
        <v>459</v>
      </c>
    </row>
    <row r="6" spans="1:21" x14ac:dyDescent="0.35">
      <c r="B6" s="5" t="s">
        <v>7</v>
      </c>
      <c r="C6" t="s">
        <v>459</v>
      </c>
      <c r="M6" s="5" t="s">
        <v>13</v>
      </c>
      <c r="N6" t="s">
        <v>459</v>
      </c>
      <c r="P6" s="5" t="s">
        <v>3</v>
      </c>
      <c r="Q6" t="s">
        <v>459</v>
      </c>
    </row>
    <row r="7" spans="1:21" x14ac:dyDescent="0.35">
      <c r="B7" s="5" t="s">
        <v>13</v>
      </c>
      <c r="C7" t="s">
        <v>459</v>
      </c>
      <c r="M7" s="5" t="s">
        <v>4</v>
      </c>
      <c r="N7" t="s">
        <v>459</v>
      </c>
      <c r="P7" s="5" t="s">
        <v>5</v>
      </c>
      <c r="Q7" t="s">
        <v>459</v>
      </c>
    </row>
    <row r="8" spans="1:21" x14ac:dyDescent="0.35">
      <c r="B8" s="5" t="s">
        <v>4</v>
      </c>
      <c r="C8" t="s">
        <v>459</v>
      </c>
      <c r="M8" s="5" t="s">
        <v>5</v>
      </c>
      <c r="N8" t="s">
        <v>460</v>
      </c>
      <c r="P8" s="5" t="s">
        <v>6</v>
      </c>
      <c r="Q8" t="s">
        <v>459</v>
      </c>
    </row>
    <row r="9" spans="1:21" x14ac:dyDescent="0.35">
      <c r="B9" s="5" t="s">
        <v>5</v>
      </c>
      <c r="C9" t="s">
        <v>28</v>
      </c>
      <c r="M9" s="5" t="s">
        <v>6</v>
      </c>
      <c r="N9" t="s">
        <v>459</v>
      </c>
      <c r="P9" s="5" t="s">
        <v>13</v>
      </c>
      <c r="Q9" t="s">
        <v>459</v>
      </c>
    </row>
    <row r="11" spans="1:21" x14ac:dyDescent="0.35">
      <c r="B11" s="5" t="s">
        <v>456</v>
      </c>
      <c r="C11" t="s">
        <v>142</v>
      </c>
      <c r="D11" t="s">
        <v>143</v>
      </c>
      <c r="E11" t="s">
        <v>144</v>
      </c>
      <c r="F11" t="s">
        <v>145</v>
      </c>
      <c r="G11" t="s">
        <v>146</v>
      </c>
      <c r="H11" t="s">
        <v>148</v>
      </c>
      <c r="I11" t="s">
        <v>147</v>
      </c>
      <c r="M11" s="5" t="s">
        <v>456</v>
      </c>
      <c r="N11" t="s">
        <v>121</v>
      </c>
      <c r="P11" s="5" t="s">
        <v>456</v>
      </c>
      <c r="Q11" t="s">
        <v>121</v>
      </c>
      <c r="R11" t="s">
        <v>302</v>
      </c>
      <c r="S11" t="s">
        <v>378</v>
      </c>
      <c r="T11" t="s">
        <v>394</v>
      </c>
    </row>
    <row r="12" spans="1:21" x14ac:dyDescent="0.35">
      <c r="B12" s="10" t="s">
        <v>458</v>
      </c>
      <c r="C12" s="1"/>
      <c r="D12" s="12"/>
      <c r="E12" s="4"/>
      <c r="F12" s="12"/>
      <c r="G12" s="4"/>
      <c r="H12" s="4"/>
      <c r="I12" s="12"/>
      <c r="M12" s="10">
        <v>44270</v>
      </c>
      <c r="N12" s="1">
        <v>1</v>
      </c>
      <c r="P12" s="10">
        <v>43466</v>
      </c>
      <c r="Q12" s="1">
        <v>32</v>
      </c>
      <c r="R12" s="92">
        <v>32</v>
      </c>
      <c r="S12" s="92">
        <v>31.4</v>
      </c>
      <c r="T12" s="92"/>
    </row>
    <row r="13" spans="1:21" x14ac:dyDescent="0.35">
      <c r="M13" s="10" t="s">
        <v>458</v>
      </c>
      <c r="N13" s="1">
        <v>1</v>
      </c>
      <c r="P13" s="10">
        <v>44270</v>
      </c>
      <c r="Q13" s="1">
        <v>1</v>
      </c>
      <c r="R13" s="92">
        <v>1</v>
      </c>
      <c r="S13" s="92">
        <v>1</v>
      </c>
      <c r="T13" s="92"/>
    </row>
    <row r="14" spans="1:21" x14ac:dyDescent="0.35">
      <c r="P14" s="10">
        <v>44690</v>
      </c>
      <c r="Q14" s="1">
        <v>1</v>
      </c>
      <c r="R14" s="92">
        <v>1</v>
      </c>
      <c r="S14" s="92">
        <v>1</v>
      </c>
      <c r="T14" s="92"/>
      <c r="U14" s="81" t="s">
        <v>380</v>
      </c>
    </row>
    <row r="15" spans="1:21" x14ac:dyDescent="0.35">
      <c r="P15" s="10">
        <v>46173</v>
      </c>
      <c r="Q15" s="1">
        <v>1</v>
      </c>
      <c r="R15" s="92">
        <v>50</v>
      </c>
      <c r="S15" s="92">
        <v>0.43</v>
      </c>
      <c r="T15" s="92"/>
      <c r="U15" s="82">
        <f>GETPIVOTDATA("Sum of Ugovorena Količina",$P$11)-GETPIVOTDATA("Zbir od Količina",$P$11)</f>
        <v>-35</v>
      </c>
    </row>
    <row r="16" spans="1:21" x14ac:dyDescent="0.35">
      <c r="P16" s="10" t="s">
        <v>458</v>
      </c>
      <c r="Q16" s="1">
        <v>35</v>
      </c>
      <c r="R16" s="92">
        <v>84</v>
      </c>
      <c r="S16" s="92">
        <v>33.83</v>
      </c>
      <c r="T16" s="92"/>
    </row>
  </sheetData>
  <hyperlinks>
    <hyperlink ref="A2" location="Sadržaj!A1" display="Sadržaj" xr:uid="{00000000-0004-0000-0500-000000000000}"/>
  </hyperlinks>
  <pageMargins left="0.7" right="0.7" top="0.75" bottom="0.75" header="0.3" footer="0.3"/>
  <pageSetup paperSize="9" orientation="portrait" verticalDpi="0" r:id="rId4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7"/>
  <dimension ref="A1:O23"/>
  <sheetViews>
    <sheetView workbookViewId="0">
      <selection activeCell="D22" sqref="D22"/>
    </sheetView>
  </sheetViews>
  <sheetFormatPr defaultRowHeight="14.5" x14ac:dyDescent="0.35"/>
  <cols>
    <col min="2" max="2" width="13.1796875" bestFit="1" customWidth="1"/>
    <col min="3" max="3" width="18.54296875" bestFit="1" customWidth="1"/>
    <col min="6" max="6" width="19.54296875" bestFit="1" customWidth="1"/>
    <col min="7" max="7" width="18.54296875" customWidth="1"/>
    <col min="8" max="8" width="14.54296875" bestFit="1" customWidth="1"/>
    <col min="9" max="9" width="18.81640625" customWidth="1"/>
    <col min="10" max="10" width="17" customWidth="1"/>
    <col min="14" max="14" width="22.7265625" bestFit="1" customWidth="1"/>
    <col min="15" max="15" width="18.54296875" bestFit="1" customWidth="1"/>
  </cols>
  <sheetData>
    <row r="1" spans="1:15" x14ac:dyDescent="0.35">
      <c r="A1" s="9" t="s">
        <v>258</v>
      </c>
      <c r="F1" s="16" t="s">
        <v>150</v>
      </c>
      <c r="G1" t="s">
        <v>8</v>
      </c>
      <c r="H1" t="s">
        <v>151</v>
      </c>
      <c r="I1" t="s">
        <v>152</v>
      </c>
    </row>
    <row r="2" spans="1:15" x14ac:dyDescent="0.35">
      <c r="B2" s="5" t="s">
        <v>1</v>
      </c>
      <c r="C2" t="s">
        <v>267</v>
      </c>
      <c r="F2" s="17" t="s">
        <v>153</v>
      </c>
      <c r="G2" s="1">
        <f>GETPIVOTDATA("Zbir od Malina",'Pivoti za obračun'!$C$3,"Kat.Proizvoda","Sveža")</f>
        <v>165132</v>
      </c>
      <c r="H2" s="1">
        <f>Prerada!B18</f>
        <v>50.85</v>
      </c>
      <c r="I2" s="1">
        <f>Tabela35[[#This Row],[Trošak po kg ]]*Tabela35[[#This Row],[Količina]]</f>
        <v>8396962.2000000011</v>
      </c>
      <c r="J2" s="1" t="s">
        <v>23</v>
      </c>
      <c r="N2" s="5" t="s">
        <v>1</v>
      </c>
      <c r="O2" t="s">
        <v>267</v>
      </c>
    </row>
    <row r="3" spans="1:15" x14ac:dyDescent="0.35">
      <c r="B3" s="5" t="s">
        <v>7</v>
      </c>
      <c r="C3" t="s">
        <v>459</v>
      </c>
      <c r="F3" s="17" t="s">
        <v>154</v>
      </c>
      <c r="G3" s="1">
        <f>GETPIVOTDATA("Zbir od Malina",'Pivoti za obračun'!$C$3,"Kat.Proizvoda","Zamrznuta")+GETPIVOTDATA("Zbir od Malina",'Pivoti za obračun'!$C$3,"Kat.Proizvoda","Prenos Zaliha")</f>
        <v>9</v>
      </c>
      <c r="H3" s="1">
        <f>Prerada!B37</f>
        <v>43.85</v>
      </c>
      <c r="I3" s="1">
        <f>Tabela35[[#This Row],[Trošak po kg ]]*Tabela35[[#This Row],[Količina]]</f>
        <v>394.65000000000003</v>
      </c>
      <c r="J3" s="1">
        <f>(I2+Tabela35[[#This Row],[Iznos]])/(G2+Tabela35[[#This Row],[Količina]])</f>
        <v>50.849618507820601</v>
      </c>
      <c r="N3" s="5" t="s">
        <v>7</v>
      </c>
      <c r="O3" t="s">
        <v>459</v>
      </c>
    </row>
    <row r="4" spans="1:15" x14ac:dyDescent="0.35">
      <c r="B4" s="5" t="s">
        <v>15</v>
      </c>
      <c r="C4" t="s">
        <v>459</v>
      </c>
      <c r="F4" s="17" t="s">
        <v>155</v>
      </c>
      <c r="G4" s="1">
        <f>GETPIVOTDATA("Zbir od Kupina",'Pivoti za obračun'!$C$3,"Kat.Proizvoda","Sveža")</f>
        <v>9</v>
      </c>
      <c r="H4" s="1">
        <f>Prerada!E18</f>
        <v>45.85</v>
      </c>
      <c r="I4" s="1">
        <f>Tabela35[[#This Row],[Trošak po kg ]]*Tabela35[[#This Row],[Količina]]</f>
        <v>412.65000000000003</v>
      </c>
      <c r="J4" s="1" t="s">
        <v>24</v>
      </c>
      <c r="N4" s="5" t="s">
        <v>15</v>
      </c>
      <c r="O4" t="s">
        <v>459</v>
      </c>
    </row>
    <row r="5" spans="1:15" x14ac:dyDescent="0.35">
      <c r="B5" s="5" t="s">
        <v>17</v>
      </c>
      <c r="C5" t="s">
        <v>459</v>
      </c>
      <c r="F5" s="17" t="s">
        <v>156</v>
      </c>
      <c r="G5" s="1">
        <f>GETPIVOTDATA("Zbir od Kupina",'Pivoti za obračun'!$C$3,"Kat.Proizvoda","Zamrznuta")+GETPIVOTDATA("Zbir od Kupina",'Pivoti za obračun'!$C$3,"Kat.Proizvoda","Prenos Zaliha")</f>
        <v>12</v>
      </c>
      <c r="H5" s="1">
        <f>Prerada!E37</f>
        <v>35.550000000000004</v>
      </c>
      <c r="I5" s="1">
        <f>Tabela35[[#This Row],[Trošak po kg ]]*Tabela35[[#This Row],[Količina]]</f>
        <v>426.6</v>
      </c>
      <c r="J5" s="1">
        <f>(I4+Tabela35[[#This Row],[Iznos]])/(G4+Tabela35[[#This Row],[Količina]])</f>
        <v>39.964285714285715</v>
      </c>
      <c r="N5" s="5" t="s">
        <v>17</v>
      </c>
      <c r="O5" t="s">
        <v>459</v>
      </c>
    </row>
    <row r="6" spans="1:15" x14ac:dyDescent="0.35">
      <c r="B6" s="5" t="s">
        <v>16</v>
      </c>
      <c r="C6" t="s">
        <v>459</v>
      </c>
      <c r="F6" s="17" t="s">
        <v>157</v>
      </c>
      <c r="G6" s="1">
        <f>GETPIVOTDATA("Zbir od Šljiva",'Pivoti za obračun'!$C$3,"Kat.Proizvoda","Sveža")</f>
        <v>8</v>
      </c>
      <c r="H6" s="1">
        <f>Prerada!K19</f>
        <v>57.57</v>
      </c>
      <c r="I6" s="1">
        <f>Tabela35[[#This Row],[Trošak po kg ]]*Tabela35[[#This Row],[Količina]]</f>
        <v>460.56</v>
      </c>
      <c r="J6" s="1" t="s">
        <v>25</v>
      </c>
    </row>
    <row r="7" spans="1:15" x14ac:dyDescent="0.35">
      <c r="F7" s="17" t="s">
        <v>158</v>
      </c>
      <c r="G7" s="1">
        <f>GETPIVOTDATA("Zbir od Šljiva",'Pivoti za obračun'!$C$3,"Kat.Proizvoda","Zamrznuta")+GETPIVOTDATA("Zbir od Šljiva",'Pivoti za obračun'!$C$3,"Kat.Proizvoda","Prenos Zaliha")</f>
        <v>3</v>
      </c>
      <c r="H7" s="1">
        <f>Prerada!K38</f>
        <v>54.07</v>
      </c>
      <c r="I7" s="1">
        <f>Tabela35[[#This Row],[Trošak po kg ]]*Tabela35[[#This Row],[Količina]]</f>
        <v>162.21</v>
      </c>
      <c r="J7" s="1">
        <f>(I6+Tabela35[[#This Row],[Iznos]])/(G6+Tabela35[[#This Row],[Količina]])</f>
        <v>56.615454545454547</v>
      </c>
      <c r="N7" s="5" t="s">
        <v>456</v>
      </c>
      <c r="O7" t="s">
        <v>149</v>
      </c>
    </row>
    <row r="8" spans="1:15" x14ac:dyDescent="0.35">
      <c r="B8" s="5" t="s">
        <v>456</v>
      </c>
      <c r="C8" t="s">
        <v>149</v>
      </c>
      <c r="F8" s="17" t="s">
        <v>159</v>
      </c>
      <c r="G8" s="1">
        <f>GETPIVOTDATA("Zbir od Višnja",'Pivoti za obračun'!$C$3,"Kat.Proizvoda","Sveža")</f>
        <v>1452</v>
      </c>
      <c r="H8" s="1">
        <f>Prerada!H10</f>
        <v>26.5</v>
      </c>
      <c r="I8" s="1">
        <f>Tabela35[[#This Row],[Trošak po kg ]]*Tabela35[[#This Row],[Količina]]</f>
        <v>38478</v>
      </c>
      <c r="J8" s="1" t="s">
        <v>26</v>
      </c>
      <c r="N8" s="15">
        <v>43466</v>
      </c>
      <c r="O8" s="1">
        <v>8</v>
      </c>
    </row>
    <row r="9" spans="1:15" x14ac:dyDescent="0.35">
      <c r="B9" s="15">
        <v>46175</v>
      </c>
      <c r="C9" s="1">
        <v>750000</v>
      </c>
      <c r="F9" s="17" t="s">
        <v>160</v>
      </c>
      <c r="G9" s="1">
        <f>GETPIVOTDATA("Zbir od Višnja",'Pivoti za obračun'!$C$3,"Kat.Proizvoda","Zamrznuta")+GETPIVOTDATA("Zbir od Višnja",'Pivoti za obračun'!$C$3,"Kat.Proizvoda","Prenos Zaliha")</f>
        <v>6</v>
      </c>
      <c r="H9" s="1">
        <f>Prerada!H29</f>
        <v>18.3</v>
      </c>
      <c r="I9" s="1">
        <f>Tabela35[[#This Row],[Trošak po kg ]]*Tabela35[[#This Row],[Količina]]</f>
        <v>109.80000000000001</v>
      </c>
      <c r="J9" s="1">
        <f>(I8+Tabela35[[#This Row],[Iznos]])/(G8+Tabela35[[#This Row],[Količina]])</f>
        <v>26.466255144032925</v>
      </c>
      <c r="N9" s="7" t="s">
        <v>89</v>
      </c>
      <c r="O9" s="1">
        <v>1</v>
      </c>
    </row>
    <row r="10" spans="1:15" x14ac:dyDescent="0.35">
      <c r="B10" s="15">
        <v>46177</v>
      </c>
      <c r="C10" s="1">
        <v>246060</v>
      </c>
      <c r="F10" s="17" t="s">
        <v>161</v>
      </c>
      <c r="G10" s="1">
        <f>GETPIVOTDATA("Zbir od Borovnica",'Pivoti za obračun'!$C$3,"Kat.Proizvoda","Sveža")</f>
        <v>2</v>
      </c>
      <c r="H10" s="1">
        <f>Tabela33[[#This Row],[Cene]]</f>
        <v>20.8</v>
      </c>
      <c r="I10" s="1">
        <f>Tabela35[[#This Row],[Trošak po kg ]]*Tabela35[[#This Row],[Količina]]</f>
        <v>41.6</v>
      </c>
      <c r="J10" s="1"/>
      <c r="N10" s="7" t="s">
        <v>95</v>
      </c>
      <c r="O10" s="1">
        <v>1</v>
      </c>
    </row>
    <row r="11" spans="1:15" x14ac:dyDescent="0.35">
      <c r="B11" s="15">
        <v>46178</v>
      </c>
      <c r="C11" s="1">
        <v>771400</v>
      </c>
      <c r="F11" s="17" t="s">
        <v>162</v>
      </c>
      <c r="G11" s="1">
        <f>GETPIVOTDATA("Zbir od Borovnica",'Pivoti za obračun'!$C$3,"Kat.Proizvoda","Zamrznuta")+GETPIVOTDATA("Zbir od Borovnica",'Pivoti za obračun'!$C$3,"Kat.Proizvoda","Prenos Zaliha")</f>
        <v>6</v>
      </c>
      <c r="H11" s="1">
        <f>Prerada!N29</f>
        <v>16.8</v>
      </c>
      <c r="I11" s="1">
        <f>Tabela35[[#This Row],[Trošak po kg ]]*Tabela35[[#This Row],[Količina]]</f>
        <v>100.80000000000001</v>
      </c>
      <c r="J11" s="1"/>
      <c r="N11" s="7" t="s">
        <v>92</v>
      </c>
      <c r="O11" s="1">
        <v>1</v>
      </c>
    </row>
    <row r="12" spans="1:15" x14ac:dyDescent="0.35">
      <c r="B12" s="15">
        <v>46179</v>
      </c>
      <c r="C12" s="1">
        <v>1050350</v>
      </c>
      <c r="F12" s="17" t="s">
        <v>163</v>
      </c>
      <c r="G12" s="1">
        <f>GETPIVOTDATA("Zbir od Kajsija",'Pivoti za obračun'!$C$3,"Kat.Proizvoda","Sveža")</f>
        <v>0</v>
      </c>
      <c r="H12" s="1">
        <f>Prerada!Q19</f>
        <v>35.57</v>
      </c>
      <c r="I12" s="1">
        <f>Tabela35[[#This Row],[Trošak po kg ]]*Tabela35[[#This Row],[Količina]]</f>
        <v>0</v>
      </c>
      <c r="J12" s="1" t="s">
        <v>42</v>
      </c>
      <c r="N12" s="7" t="s">
        <v>91</v>
      </c>
      <c r="O12" s="1">
        <v>1</v>
      </c>
    </row>
    <row r="13" spans="1:15" x14ac:dyDescent="0.35">
      <c r="B13" s="15">
        <v>46181</v>
      </c>
      <c r="C13" s="1">
        <v>784893</v>
      </c>
      <c r="F13" s="17" t="s">
        <v>164</v>
      </c>
      <c r="G13" s="1">
        <f>GETPIVOTDATA("Zbir od Kajsija",'Pivoti za obračun'!$C$3,"Kat.Proizvoda","Zamrznuta")+GETPIVOTDATA("Zbir od Kajsija",'Pivoti za obračun'!$C$3,"Kat.Proizvoda","Prenos Zaliha")</f>
        <v>3</v>
      </c>
      <c r="H13" s="1">
        <f>Prerada!Q38</f>
        <v>30.57</v>
      </c>
      <c r="I13" s="1">
        <f>Tabela35[[#This Row],[Trošak po kg ]]*Tabela35[[#This Row],[Količina]]</f>
        <v>91.710000000000008</v>
      </c>
      <c r="J13" s="1">
        <f>(I12+Tabela35[[#This Row],[Iznos]])/(G12+Tabela35[[#This Row],[Količina]])</f>
        <v>30.570000000000004</v>
      </c>
      <c r="N13" s="7" t="s">
        <v>90</v>
      </c>
      <c r="O13" s="1">
        <v>1</v>
      </c>
    </row>
    <row r="14" spans="1:15" x14ac:dyDescent="0.35">
      <c r="B14" s="15">
        <v>46182</v>
      </c>
      <c r="C14" s="1">
        <v>768560</v>
      </c>
      <c r="F14" s="17" t="s">
        <v>433</v>
      </c>
      <c r="G14" s="1">
        <f>GETPIVOTDATA("Zbir od Količina",'Pivoti za obračun'!$BY$6,"Proizvod","Usluga G")</f>
        <v>1</v>
      </c>
      <c r="H14" s="1">
        <f>Prerada!B59</f>
        <v>29.449999999999996</v>
      </c>
      <c r="I14" s="1">
        <f>Tabela35[[#This Row],[Trošak po kg ]]*Tabela35[[#This Row],[Količina]]</f>
        <v>29.449999999999996</v>
      </c>
      <c r="J14" s="1"/>
      <c r="N14" s="7" t="s">
        <v>94</v>
      </c>
      <c r="O14" s="1">
        <v>1</v>
      </c>
    </row>
    <row r="15" spans="1:15" x14ac:dyDescent="0.35">
      <c r="B15" s="15">
        <v>46183</v>
      </c>
      <c r="C15" s="1">
        <v>591170</v>
      </c>
      <c r="F15" t="s">
        <v>165</v>
      </c>
      <c r="G15" s="1">
        <f>SUBTOTAL(109,Tabela35[Količina])</f>
        <v>166643</v>
      </c>
      <c r="H15" s="1">
        <f>Tabela35[[#Totals],[Iznos]]/Tabela35[[#Totals],[Količina]]</f>
        <v>50.633211296004056</v>
      </c>
      <c r="I15" s="1">
        <f>SUBTOTAL(109,Tabela35[Iznos])</f>
        <v>8437670.2300000042</v>
      </c>
      <c r="N15" s="7" t="s">
        <v>93</v>
      </c>
      <c r="O15" s="1">
        <v>1</v>
      </c>
    </row>
    <row r="16" spans="1:15" x14ac:dyDescent="0.35">
      <c r="B16" s="15">
        <v>46185</v>
      </c>
      <c r="C16" s="1">
        <v>968993.37</v>
      </c>
      <c r="J16" s="20"/>
      <c r="N16" s="7" t="s">
        <v>385</v>
      </c>
      <c r="O16" s="1">
        <v>1</v>
      </c>
    </row>
    <row r="17" spans="2:15" x14ac:dyDescent="0.35">
      <c r="B17" s="15">
        <v>46186</v>
      </c>
      <c r="C17" s="1">
        <v>1162330</v>
      </c>
      <c r="G17" s="18" t="s">
        <v>166</v>
      </c>
      <c r="H17" s="19">
        <f>I17/Tabela35[[#Totals],[Količina]]</f>
        <v>66.51760758027639</v>
      </c>
      <c r="I17" s="19">
        <f>Kalkulacija!N11</f>
        <v>11084693.68</v>
      </c>
      <c r="J17" s="23"/>
      <c r="N17" s="15" t="s">
        <v>458</v>
      </c>
      <c r="O17" s="1">
        <v>8</v>
      </c>
    </row>
    <row r="18" spans="2:15" x14ac:dyDescent="0.35">
      <c r="B18" s="15">
        <v>46188</v>
      </c>
      <c r="C18" s="1">
        <v>680770</v>
      </c>
      <c r="G18" s="21" t="s">
        <v>167</v>
      </c>
      <c r="H18" s="22">
        <f>I18/Tabela35[[#Totals],[Količina]]</f>
        <v>-15.88439628427234</v>
      </c>
      <c r="I18" s="22">
        <f>Tabela35[[#Totals],[Iznos]]-I17</f>
        <v>-2647023.4499999955</v>
      </c>
    </row>
    <row r="19" spans="2:15" x14ac:dyDescent="0.35">
      <c r="B19" s="15">
        <v>46189</v>
      </c>
      <c r="C19" s="1">
        <v>135400</v>
      </c>
    </row>
    <row r="20" spans="2:15" x14ac:dyDescent="0.35">
      <c r="B20" s="15">
        <v>46190</v>
      </c>
      <c r="C20" s="1">
        <v>1646500.3399999999</v>
      </c>
    </row>
    <row r="21" spans="2:15" x14ac:dyDescent="0.35">
      <c r="B21" s="15">
        <v>46191</v>
      </c>
      <c r="C21" s="1">
        <v>179820</v>
      </c>
    </row>
    <row r="22" spans="2:15" x14ac:dyDescent="0.35">
      <c r="B22" s="15">
        <v>46192</v>
      </c>
      <c r="C22" s="1">
        <v>1348437.97</v>
      </c>
    </row>
    <row r="23" spans="2:15" x14ac:dyDescent="0.35">
      <c r="B23" s="15" t="s">
        <v>458</v>
      </c>
      <c r="C23" s="1">
        <v>11084684.680000002</v>
      </c>
    </row>
  </sheetData>
  <hyperlinks>
    <hyperlink ref="A1" location="Sadržaj!A1" display="Sadržaj" xr:uid="{00000000-0004-0000-0600-000000000000}"/>
  </hyperlinks>
  <pageMargins left="0.7" right="0.7" top="0.75" bottom="0.75" header="0.3" footer="0.3"/>
  <pageSetup paperSize="9" orientation="portrait" verticalDpi="0" r:id="rId3"/>
  <drawing r:id="rId4"/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8"/>
  <dimension ref="A2:Q60"/>
  <sheetViews>
    <sheetView workbookViewId="0">
      <selection activeCell="G17" sqref="G17"/>
    </sheetView>
  </sheetViews>
  <sheetFormatPr defaultRowHeight="14.5" x14ac:dyDescent="0.35"/>
  <cols>
    <col min="1" max="1" width="22.453125" customWidth="1"/>
    <col min="2" max="2" width="14.1796875" customWidth="1"/>
    <col min="4" max="4" width="27.54296875" bestFit="1" customWidth="1"/>
    <col min="7" max="7" width="26.81640625" bestFit="1" customWidth="1"/>
    <col min="10" max="10" width="26" bestFit="1" customWidth="1"/>
    <col min="11" max="11" width="11.54296875" bestFit="1" customWidth="1"/>
    <col min="13" max="13" width="29" bestFit="1" customWidth="1"/>
    <col min="14" max="14" width="9.453125" bestFit="1" customWidth="1"/>
    <col min="16" max="16" width="27.81640625" bestFit="1" customWidth="1"/>
    <col min="17" max="17" width="11.54296875" bestFit="1" customWidth="1"/>
  </cols>
  <sheetData>
    <row r="2" spans="1:17" x14ac:dyDescent="0.35">
      <c r="A2" s="24" t="s">
        <v>168</v>
      </c>
      <c r="B2" s="24" t="s">
        <v>169</v>
      </c>
      <c r="C2" s="24"/>
      <c r="D2" s="24" t="s">
        <v>155</v>
      </c>
      <c r="E2" s="24" t="s">
        <v>169</v>
      </c>
      <c r="F2" s="24"/>
      <c r="G2" s="25" t="s">
        <v>159</v>
      </c>
      <c r="H2" s="25" t="s">
        <v>169</v>
      </c>
      <c r="I2" s="24"/>
      <c r="J2" s="24" t="s">
        <v>157</v>
      </c>
      <c r="K2" s="24" t="s">
        <v>169</v>
      </c>
      <c r="L2" s="6"/>
      <c r="M2" s="24" t="s">
        <v>161</v>
      </c>
      <c r="N2" s="24" t="s">
        <v>169</v>
      </c>
      <c r="P2" s="24" t="s">
        <v>163</v>
      </c>
      <c r="Q2" s="24" t="s">
        <v>169</v>
      </c>
    </row>
    <row r="3" spans="1:17" x14ac:dyDescent="0.35">
      <c r="A3" t="s">
        <v>170</v>
      </c>
      <c r="B3" s="26">
        <v>7</v>
      </c>
      <c r="D3" t="s">
        <v>170</v>
      </c>
      <c r="E3" s="26">
        <v>7</v>
      </c>
      <c r="G3" s="27" t="s">
        <v>170</v>
      </c>
      <c r="H3" s="28">
        <v>8</v>
      </c>
      <c r="J3" t="s">
        <v>170</v>
      </c>
      <c r="K3" s="26">
        <v>8</v>
      </c>
      <c r="M3" t="s">
        <v>170</v>
      </c>
      <c r="N3" s="26">
        <v>4</v>
      </c>
      <c r="P3" t="s">
        <v>170</v>
      </c>
      <c r="Q3" s="26">
        <v>5</v>
      </c>
    </row>
    <row r="4" spans="1:17" x14ac:dyDescent="0.35">
      <c r="A4" t="s">
        <v>171</v>
      </c>
      <c r="B4" s="26">
        <v>1</v>
      </c>
      <c r="D4" t="s">
        <v>171</v>
      </c>
      <c r="E4" s="26">
        <v>1</v>
      </c>
      <c r="G4" t="s">
        <v>171</v>
      </c>
      <c r="H4" s="26">
        <v>1</v>
      </c>
      <c r="J4" t="s">
        <v>171</v>
      </c>
      <c r="K4" s="26">
        <v>1</v>
      </c>
      <c r="M4" t="s">
        <v>171</v>
      </c>
      <c r="N4" s="26">
        <v>2</v>
      </c>
      <c r="P4" t="s">
        <v>171</v>
      </c>
      <c r="Q4" s="26">
        <v>2</v>
      </c>
    </row>
    <row r="5" spans="1:17" x14ac:dyDescent="0.35">
      <c r="A5" t="s">
        <v>172</v>
      </c>
      <c r="B5" s="26">
        <v>15</v>
      </c>
      <c r="D5" t="s">
        <v>172</v>
      </c>
      <c r="E5" s="26">
        <v>15</v>
      </c>
      <c r="G5" s="27" t="s">
        <v>172</v>
      </c>
      <c r="H5" s="28">
        <v>6</v>
      </c>
      <c r="J5" t="s">
        <v>172</v>
      </c>
      <c r="K5" s="26">
        <v>15</v>
      </c>
      <c r="M5" t="s">
        <v>172</v>
      </c>
      <c r="N5" s="26">
        <v>4</v>
      </c>
      <c r="P5" t="s">
        <v>172</v>
      </c>
      <c r="Q5" s="26">
        <v>8</v>
      </c>
    </row>
    <row r="6" spans="1:17" x14ac:dyDescent="0.35">
      <c r="A6" t="s">
        <v>173</v>
      </c>
      <c r="B6" s="26">
        <v>15</v>
      </c>
      <c r="D6" t="s">
        <v>173</v>
      </c>
      <c r="E6" s="26">
        <v>10</v>
      </c>
      <c r="G6" s="27" t="s">
        <v>173</v>
      </c>
      <c r="H6" s="28">
        <v>8</v>
      </c>
      <c r="J6" t="s">
        <v>173</v>
      </c>
      <c r="K6" s="26">
        <v>21</v>
      </c>
      <c r="M6" t="s">
        <v>173</v>
      </c>
      <c r="N6" s="26">
        <v>5</v>
      </c>
      <c r="P6" t="s">
        <v>173</v>
      </c>
      <c r="Q6" s="26">
        <v>10</v>
      </c>
    </row>
    <row r="7" spans="1:17" x14ac:dyDescent="0.35">
      <c r="A7" t="s">
        <v>174</v>
      </c>
      <c r="B7" s="26">
        <v>5</v>
      </c>
      <c r="D7" t="s">
        <v>174</v>
      </c>
      <c r="E7" s="26">
        <v>5</v>
      </c>
      <c r="G7" s="27" t="s">
        <v>175</v>
      </c>
      <c r="H7" s="28">
        <v>2</v>
      </c>
      <c r="J7" t="s">
        <v>174</v>
      </c>
      <c r="K7" s="26">
        <v>5</v>
      </c>
      <c r="M7" t="s">
        <v>91</v>
      </c>
      <c r="N7" s="26">
        <v>4.5</v>
      </c>
      <c r="P7" t="s">
        <v>174</v>
      </c>
      <c r="Q7" s="26">
        <v>4.5</v>
      </c>
    </row>
    <row r="8" spans="1:17" x14ac:dyDescent="0.35">
      <c r="A8" t="s">
        <v>176</v>
      </c>
      <c r="B8" s="26">
        <v>1.2</v>
      </c>
      <c r="D8" t="s">
        <v>176</v>
      </c>
      <c r="E8" s="26">
        <v>0.8</v>
      </c>
      <c r="G8" s="27" t="s">
        <v>177</v>
      </c>
      <c r="H8" s="28">
        <v>1</v>
      </c>
      <c r="J8" t="s">
        <v>176</v>
      </c>
      <c r="K8" s="26">
        <v>1</v>
      </c>
      <c r="M8" t="s">
        <v>177</v>
      </c>
      <c r="N8" s="26">
        <v>0.8</v>
      </c>
      <c r="P8" t="s">
        <v>176</v>
      </c>
      <c r="Q8" s="26">
        <v>0.7</v>
      </c>
    </row>
    <row r="9" spans="1:17" x14ac:dyDescent="0.35">
      <c r="A9" t="s">
        <v>177</v>
      </c>
      <c r="B9" s="26">
        <v>1.2</v>
      </c>
      <c r="D9" t="s">
        <v>177</v>
      </c>
      <c r="E9" s="26">
        <v>1.2</v>
      </c>
      <c r="G9" s="27" t="s">
        <v>99</v>
      </c>
      <c r="H9" s="28">
        <v>0.5</v>
      </c>
      <c r="J9" t="s">
        <v>177</v>
      </c>
      <c r="K9" s="26">
        <v>1</v>
      </c>
      <c r="M9" t="s">
        <v>99</v>
      </c>
      <c r="N9" s="26">
        <v>0.5</v>
      </c>
      <c r="P9" t="s">
        <v>177</v>
      </c>
      <c r="Q9" s="26">
        <v>0.8</v>
      </c>
    </row>
    <row r="10" spans="1:17" x14ac:dyDescent="0.35">
      <c r="A10" t="s">
        <v>99</v>
      </c>
      <c r="B10" s="26">
        <v>2</v>
      </c>
      <c r="D10" t="s">
        <v>99</v>
      </c>
      <c r="E10" s="26">
        <v>2</v>
      </c>
      <c r="G10" s="17" t="s">
        <v>178</v>
      </c>
      <c r="H10" s="29">
        <f>SUM(H3:H9)</f>
        <v>26.5</v>
      </c>
      <c r="J10" t="s">
        <v>99</v>
      </c>
      <c r="K10" s="26">
        <v>2</v>
      </c>
      <c r="M10" s="17" t="s">
        <v>178</v>
      </c>
      <c r="N10" s="29">
        <f>SUM(N3:N9)</f>
        <v>20.8</v>
      </c>
      <c r="P10" t="s">
        <v>99</v>
      </c>
      <c r="Q10" s="26">
        <v>2</v>
      </c>
    </row>
    <row r="11" spans="1:17" x14ac:dyDescent="0.35">
      <c r="A11" t="s">
        <v>98</v>
      </c>
      <c r="B11" s="26">
        <v>0</v>
      </c>
      <c r="D11" t="s">
        <v>98</v>
      </c>
      <c r="E11" s="26">
        <v>0.1</v>
      </c>
      <c r="H11" s="30"/>
      <c r="J11" t="s">
        <v>98</v>
      </c>
      <c r="K11" s="26">
        <v>0.1</v>
      </c>
      <c r="P11" t="s">
        <v>98</v>
      </c>
      <c r="Q11" s="26">
        <v>0.1</v>
      </c>
    </row>
    <row r="12" spans="1:17" x14ac:dyDescent="0.35">
      <c r="A12" t="s">
        <v>96</v>
      </c>
      <c r="B12" s="26">
        <v>0.15</v>
      </c>
      <c r="D12" t="s">
        <v>96</v>
      </c>
      <c r="E12" s="26">
        <v>0.2</v>
      </c>
      <c r="J12" t="s">
        <v>96</v>
      </c>
      <c r="K12" s="26">
        <v>0.11</v>
      </c>
      <c r="P12" t="s">
        <v>96</v>
      </c>
      <c r="Q12" s="26">
        <v>0.11</v>
      </c>
    </row>
    <row r="13" spans="1:17" x14ac:dyDescent="0.35">
      <c r="A13" t="s">
        <v>179</v>
      </c>
      <c r="B13" s="26">
        <v>0.2</v>
      </c>
      <c r="D13" t="s">
        <v>179</v>
      </c>
      <c r="E13" s="26">
        <v>0.25</v>
      </c>
      <c r="J13" t="s">
        <v>180</v>
      </c>
      <c r="K13" s="26">
        <v>0</v>
      </c>
      <c r="P13" t="s">
        <v>180</v>
      </c>
      <c r="Q13" s="26">
        <v>0</v>
      </c>
    </row>
    <row r="14" spans="1:17" x14ac:dyDescent="0.35">
      <c r="A14" t="s">
        <v>97</v>
      </c>
      <c r="B14" s="26">
        <v>0.05</v>
      </c>
      <c r="D14" t="s">
        <v>97</v>
      </c>
      <c r="E14" s="26">
        <v>0.15</v>
      </c>
      <c r="J14" t="s">
        <v>179</v>
      </c>
      <c r="K14" s="26">
        <v>0.11</v>
      </c>
      <c r="P14" t="s">
        <v>179</v>
      </c>
      <c r="Q14" s="26">
        <v>0.11</v>
      </c>
    </row>
    <row r="15" spans="1:17" x14ac:dyDescent="0.35">
      <c r="A15" t="s">
        <v>100</v>
      </c>
      <c r="B15" s="26">
        <v>0.05</v>
      </c>
      <c r="D15" t="s">
        <v>100</v>
      </c>
      <c r="E15" s="26">
        <v>0.15</v>
      </c>
      <c r="J15" t="s">
        <v>97</v>
      </c>
      <c r="K15" s="26">
        <v>0.13</v>
      </c>
      <c r="P15" t="s">
        <v>97</v>
      </c>
      <c r="Q15" s="26">
        <v>0.13</v>
      </c>
    </row>
    <row r="16" spans="1:17" x14ac:dyDescent="0.35">
      <c r="A16" t="s">
        <v>181</v>
      </c>
      <c r="B16" s="26">
        <v>2</v>
      </c>
      <c r="D16" t="s">
        <v>181</v>
      </c>
      <c r="E16" s="26">
        <v>2</v>
      </c>
      <c r="G16" t="s">
        <v>404</v>
      </c>
      <c r="J16" t="s">
        <v>100</v>
      </c>
      <c r="K16" s="26">
        <v>0.12</v>
      </c>
      <c r="P16" t="s">
        <v>100</v>
      </c>
      <c r="Q16" s="26">
        <v>0.12</v>
      </c>
    </row>
    <row r="17" spans="1:17" x14ac:dyDescent="0.35">
      <c r="A17" t="s">
        <v>182</v>
      </c>
      <c r="B17" s="26">
        <v>1</v>
      </c>
      <c r="D17" t="s">
        <v>182</v>
      </c>
      <c r="E17" s="26">
        <v>1</v>
      </c>
      <c r="J17" t="s">
        <v>181</v>
      </c>
      <c r="K17" s="26">
        <v>2</v>
      </c>
      <c r="P17" t="s">
        <v>181</v>
      </c>
      <c r="Q17" s="26">
        <v>1</v>
      </c>
    </row>
    <row r="18" spans="1:17" x14ac:dyDescent="0.35">
      <c r="A18" s="17" t="s">
        <v>178</v>
      </c>
      <c r="B18" s="29">
        <f>SUM(B3:B17)</f>
        <v>50.85</v>
      </c>
      <c r="D18" s="17" t="s">
        <v>178</v>
      </c>
      <c r="E18" s="29">
        <f>SUM(E3:E17)</f>
        <v>45.85</v>
      </c>
      <c r="J18" t="s">
        <v>182</v>
      </c>
      <c r="K18" s="26">
        <v>1</v>
      </c>
      <c r="P18" t="s">
        <v>182</v>
      </c>
      <c r="Q18" s="26">
        <v>1</v>
      </c>
    </row>
    <row r="19" spans="1:17" x14ac:dyDescent="0.35">
      <c r="B19" s="31"/>
      <c r="E19" s="32"/>
      <c r="J19" s="17" t="s">
        <v>178</v>
      </c>
      <c r="K19" s="29">
        <f>SUM(K3:K18)</f>
        <v>57.57</v>
      </c>
      <c r="P19" s="17" t="s">
        <v>178</v>
      </c>
      <c r="Q19" s="29">
        <f>SUM(Q3:Q18)</f>
        <v>35.57</v>
      </c>
    </row>
    <row r="20" spans="1:17" x14ac:dyDescent="0.35">
      <c r="B20" s="31"/>
      <c r="E20" s="32"/>
      <c r="J20" s="17"/>
      <c r="K20" s="29"/>
    </row>
    <row r="21" spans="1:17" x14ac:dyDescent="0.35">
      <c r="B21" s="31"/>
      <c r="E21" s="32"/>
      <c r="K21" s="29"/>
    </row>
    <row r="22" spans="1:17" x14ac:dyDescent="0.35">
      <c r="A22" s="33" t="s">
        <v>154</v>
      </c>
      <c r="B22" s="33" t="s">
        <v>169</v>
      </c>
      <c r="D22" s="33" t="s">
        <v>156</v>
      </c>
      <c r="E22" s="33" t="s">
        <v>169</v>
      </c>
      <c r="G22" s="34" t="s">
        <v>160</v>
      </c>
      <c r="H22" s="34" t="s">
        <v>169</v>
      </c>
      <c r="J22" s="33" t="s">
        <v>158</v>
      </c>
      <c r="K22" s="33" t="s">
        <v>169</v>
      </c>
      <c r="M22" s="24" t="s">
        <v>162</v>
      </c>
      <c r="N22" s="24" t="s">
        <v>169</v>
      </c>
      <c r="P22" s="33" t="s">
        <v>183</v>
      </c>
      <c r="Q22" s="33" t="s">
        <v>169</v>
      </c>
    </row>
    <row r="23" spans="1:17" x14ac:dyDescent="0.35">
      <c r="A23" t="s">
        <v>171</v>
      </c>
      <c r="B23" s="26">
        <v>2</v>
      </c>
      <c r="D23" t="s">
        <v>171</v>
      </c>
      <c r="E23" s="26">
        <v>2</v>
      </c>
      <c r="G23" s="27" t="s">
        <v>171</v>
      </c>
      <c r="H23" s="28">
        <v>2</v>
      </c>
      <c r="J23" t="s">
        <v>171</v>
      </c>
      <c r="K23" s="26">
        <v>4</v>
      </c>
      <c r="M23" t="s">
        <v>171</v>
      </c>
      <c r="N23" s="26">
        <v>1.5</v>
      </c>
      <c r="P23" t="s">
        <v>171</v>
      </c>
      <c r="Q23" s="26">
        <v>2</v>
      </c>
    </row>
    <row r="24" spans="1:17" x14ac:dyDescent="0.35">
      <c r="A24" t="s">
        <v>172</v>
      </c>
      <c r="B24" s="26">
        <v>15</v>
      </c>
      <c r="D24" t="s">
        <v>172</v>
      </c>
      <c r="E24" s="26">
        <v>12</v>
      </c>
      <c r="G24" s="27" t="s">
        <v>172</v>
      </c>
      <c r="H24" s="28">
        <v>6</v>
      </c>
      <c r="J24" t="s">
        <v>172</v>
      </c>
      <c r="K24" s="26">
        <v>16</v>
      </c>
      <c r="M24" t="s">
        <v>172</v>
      </c>
      <c r="N24" s="26">
        <v>4</v>
      </c>
      <c r="P24" t="s">
        <v>172</v>
      </c>
      <c r="Q24" s="26">
        <v>8</v>
      </c>
    </row>
    <row r="25" spans="1:17" x14ac:dyDescent="0.35">
      <c r="A25" t="s">
        <v>173</v>
      </c>
      <c r="B25" s="26">
        <v>15</v>
      </c>
      <c r="D25" t="s">
        <v>173</v>
      </c>
      <c r="E25" s="26">
        <v>10</v>
      </c>
      <c r="G25" s="27" t="s">
        <v>173</v>
      </c>
      <c r="H25" s="28">
        <v>8</v>
      </c>
      <c r="J25" t="s">
        <v>173</v>
      </c>
      <c r="K25" s="26">
        <v>23</v>
      </c>
      <c r="M25" t="s">
        <v>173</v>
      </c>
      <c r="N25" s="26">
        <v>10</v>
      </c>
      <c r="P25" t="s">
        <v>173</v>
      </c>
      <c r="Q25" s="26">
        <v>10</v>
      </c>
    </row>
    <row r="26" spans="1:17" x14ac:dyDescent="0.35">
      <c r="A26" t="s">
        <v>174</v>
      </c>
      <c r="B26" s="26">
        <v>5</v>
      </c>
      <c r="D26" t="s">
        <v>174</v>
      </c>
      <c r="E26" s="26">
        <v>5</v>
      </c>
      <c r="G26" s="27" t="s">
        <v>175</v>
      </c>
      <c r="H26" s="28">
        <v>1</v>
      </c>
      <c r="J26" t="s">
        <v>174</v>
      </c>
      <c r="K26" s="26">
        <v>5</v>
      </c>
      <c r="M26" t="s">
        <v>184</v>
      </c>
      <c r="N26" s="26">
        <v>0</v>
      </c>
      <c r="P26" t="s">
        <v>174</v>
      </c>
      <c r="Q26" s="26">
        <v>4.5</v>
      </c>
    </row>
    <row r="27" spans="1:17" x14ac:dyDescent="0.35">
      <c r="A27" t="s">
        <v>176</v>
      </c>
      <c r="B27" s="26">
        <v>1.2</v>
      </c>
      <c r="D27" t="s">
        <v>176</v>
      </c>
      <c r="E27" s="26">
        <v>0.7</v>
      </c>
      <c r="G27" s="27" t="s">
        <v>177</v>
      </c>
      <c r="H27" s="28">
        <v>0.8</v>
      </c>
      <c r="J27" t="s">
        <v>176</v>
      </c>
      <c r="K27" s="26">
        <v>0.7</v>
      </c>
      <c r="M27" t="s">
        <v>177</v>
      </c>
      <c r="N27" s="26">
        <v>0.8</v>
      </c>
      <c r="P27" t="s">
        <v>176</v>
      </c>
      <c r="Q27" s="26">
        <v>0.7</v>
      </c>
    </row>
    <row r="28" spans="1:17" x14ac:dyDescent="0.35">
      <c r="A28" t="s">
        <v>177</v>
      </c>
      <c r="B28" s="26">
        <v>1</v>
      </c>
      <c r="D28" t="s">
        <v>177</v>
      </c>
      <c r="E28" s="26">
        <v>1</v>
      </c>
      <c r="G28" s="27" t="s">
        <v>99</v>
      </c>
      <c r="H28" s="28">
        <v>0.5</v>
      </c>
      <c r="J28" t="s">
        <v>177</v>
      </c>
      <c r="K28" s="26">
        <v>0.8</v>
      </c>
      <c r="M28" t="s">
        <v>99</v>
      </c>
      <c r="N28" s="26">
        <v>0.5</v>
      </c>
      <c r="P28" t="s">
        <v>177</v>
      </c>
      <c r="Q28" s="26">
        <v>0.8</v>
      </c>
    </row>
    <row r="29" spans="1:17" x14ac:dyDescent="0.35">
      <c r="A29" t="s">
        <v>99</v>
      </c>
      <c r="B29" s="26">
        <v>2</v>
      </c>
      <c r="D29" t="s">
        <v>99</v>
      </c>
      <c r="E29" s="26">
        <v>2</v>
      </c>
      <c r="G29" s="27" t="s">
        <v>178</v>
      </c>
      <c r="H29" s="29">
        <f>SUM(H23:H28)</f>
        <v>18.3</v>
      </c>
      <c r="J29" t="s">
        <v>99</v>
      </c>
      <c r="K29" s="26">
        <v>2</v>
      </c>
      <c r="M29" s="17" t="s">
        <v>178</v>
      </c>
      <c r="N29" s="29">
        <f>SUM(N23:N28)</f>
        <v>16.8</v>
      </c>
      <c r="P29" t="s">
        <v>99</v>
      </c>
      <c r="Q29" s="26">
        <v>2</v>
      </c>
    </row>
    <row r="30" spans="1:17" x14ac:dyDescent="0.35">
      <c r="A30" t="s">
        <v>185</v>
      </c>
      <c r="B30" s="26">
        <v>0</v>
      </c>
      <c r="D30" t="s">
        <v>98</v>
      </c>
      <c r="E30" s="26">
        <v>0.1</v>
      </c>
      <c r="J30" t="s">
        <v>98</v>
      </c>
      <c r="K30" s="26">
        <v>0.1</v>
      </c>
      <c r="P30" t="s">
        <v>98</v>
      </c>
      <c r="Q30" s="26">
        <v>0.1</v>
      </c>
    </row>
    <row r="31" spans="1:17" x14ac:dyDescent="0.35">
      <c r="A31" t="s">
        <v>96</v>
      </c>
      <c r="B31" s="26">
        <v>0.15</v>
      </c>
      <c r="D31" t="s">
        <v>96</v>
      </c>
      <c r="E31" s="26">
        <v>0.2</v>
      </c>
      <c r="J31" t="s">
        <v>96</v>
      </c>
      <c r="K31" s="26">
        <v>0.11</v>
      </c>
      <c r="P31" t="s">
        <v>96</v>
      </c>
      <c r="Q31" s="26">
        <v>0.11</v>
      </c>
    </row>
    <row r="32" spans="1:17" x14ac:dyDescent="0.35">
      <c r="A32" t="s">
        <v>179</v>
      </c>
      <c r="B32" s="26">
        <v>0.2</v>
      </c>
      <c r="D32" t="s">
        <v>179</v>
      </c>
      <c r="E32" s="26">
        <v>0.25</v>
      </c>
      <c r="J32" t="s">
        <v>180</v>
      </c>
      <c r="K32" s="26">
        <v>0</v>
      </c>
      <c r="P32" t="s">
        <v>180</v>
      </c>
      <c r="Q32" s="26">
        <v>0</v>
      </c>
    </row>
    <row r="33" spans="1:17" x14ac:dyDescent="0.35">
      <c r="A33" t="s">
        <v>97</v>
      </c>
      <c r="B33" s="26">
        <v>0.15</v>
      </c>
      <c r="D33" t="s">
        <v>97</v>
      </c>
      <c r="E33" s="26">
        <v>0.15</v>
      </c>
      <c r="J33" t="s">
        <v>179</v>
      </c>
      <c r="K33" s="26">
        <v>0.11</v>
      </c>
      <c r="P33" t="s">
        <v>179</v>
      </c>
      <c r="Q33" s="26">
        <v>0.11</v>
      </c>
    </row>
    <row r="34" spans="1:17" x14ac:dyDescent="0.35">
      <c r="A34" t="s">
        <v>100</v>
      </c>
      <c r="B34" s="26">
        <v>0.15</v>
      </c>
      <c r="D34" t="s">
        <v>100</v>
      </c>
      <c r="E34" s="26">
        <v>0.15</v>
      </c>
      <c r="J34" t="s">
        <v>97</v>
      </c>
      <c r="K34" s="26">
        <v>0.13</v>
      </c>
      <c r="P34" t="s">
        <v>97</v>
      </c>
      <c r="Q34" s="26">
        <v>0.13</v>
      </c>
    </row>
    <row r="35" spans="1:17" x14ac:dyDescent="0.35">
      <c r="A35" t="s">
        <v>181</v>
      </c>
      <c r="B35" s="26">
        <v>1</v>
      </c>
      <c r="D35" t="s">
        <v>181</v>
      </c>
      <c r="E35" s="26">
        <v>1</v>
      </c>
      <c r="J35" t="s">
        <v>100</v>
      </c>
      <c r="K35" s="26">
        <v>0.12</v>
      </c>
      <c r="P35" t="s">
        <v>100</v>
      </c>
      <c r="Q35" s="26">
        <v>0.12</v>
      </c>
    </row>
    <row r="36" spans="1:17" x14ac:dyDescent="0.35">
      <c r="A36" t="s">
        <v>182</v>
      </c>
      <c r="B36" s="26">
        <v>1</v>
      </c>
      <c r="D36" t="s">
        <v>182</v>
      </c>
      <c r="E36" s="26">
        <v>1</v>
      </c>
      <c r="J36" t="s">
        <v>181</v>
      </c>
      <c r="K36" s="26">
        <v>1</v>
      </c>
      <c r="P36" t="s">
        <v>181</v>
      </c>
      <c r="Q36" s="26">
        <v>1</v>
      </c>
    </row>
    <row r="37" spans="1:17" x14ac:dyDescent="0.35">
      <c r="A37" s="17" t="s">
        <v>178</v>
      </c>
      <c r="B37" s="29">
        <f>SUM(B23:B36)</f>
        <v>43.85</v>
      </c>
      <c r="D37" s="17" t="s">
        <v>178</v>
      </c>
      <c r="E37" s="29">
        <f>SUM(E23:E36)</f>
        <v>35.550000000000004</v>
      </c>
      <c r="J37" t="s">
        <v>182</v>
      </c>
      <c r="K37" s="26">
        <v>1</v>
      </c>
      <c r="P37" t="s">
        <v>182</v>
      </c>
      <c r="Q37" s="26">
        <v>1</v>
      </c>
    </row>
    <row r="38" spans="1:17" x14ac:dyDescent="0.35">
      <c r="J38" s="17" t="s">
        <v>178</v>
      </c>
      <c r="K38" s="29">
        <f>SUM(K23:K37)</f>
        <v>54.07</v>
      </c>
      <c r="P38" s="17" t="s">
        <v>178</v>
      </c>
      <c r="Q38" s="29">
        <f>SUM(Q23:Q37)</f>
        <v>30.57</v>
      </c>
    </row>
    <row r="42" spans="1:17" x14ac:dyDescent="0.35">
      <c r="A42" t="s">
        <v>434</v>
      </c>
    </row>
    <row r="44" spans="1:17" x14ac:dyDescent="0.35">
      <c r="A44" s="33" t="s">
        <v>435</v>
      </c>
      <c r="B44" s="33" t="s">
        <v>169</v>
      </c>
      <c r="D44" s="33" t="s">
        <v>436</v>
      </c>
      <c r="E44" s="33" t="s">
        <v>169</v>
      </c>
      <c r="G44" s="34" t="s">
        <v>437</v>
      </c>
      <c r="H44" s="34" t="s">
        <v>169</v>
      </c>
      <c r="J44" s="33" t="s">
        <v>438</v>
      </c>
      <c r="K44" s="33" t="s">
        <v>169</v>
      </c>
      <c r="M44" s="33" t="s">
        <v>439</v>
      </c>
      <c r="N44" s="33" t="s">
        <v>169</v>
      </c>
      <c r="P44" s="33" t="s">
        <v>440</v>
      </c>
      <c r="Q44" s="33" t="s">
        <v>169</v>
      </c>
    </row>
    <row r="45" spans="1:17" x14ac:dyDescent="0.35">
      <c r="A45" t="s">
        <v>171</v>
      </c>
      <c r="B45" s="26">
        <v>0</v>
      </c>
      <c r="D45" t="s">
        <v>171</v>
      </c>
      <c r="E45" s="26">
        <v>0</v>
      </c>
      <c r="G45" s="27" t="s">
        <v>171</v>
      </c>
      <c r="H45" s="28">
        <v>0</v>
      </c>
      <c r="J45" t="s">
        <v>171</v>
      </c>
      <c r="K45" s="26">
        <v>0</v>
      </c>
      <c r="M45" t="s">
        <v>171</v>
      </c>
      <c r="N45" s="26">
        <v>0</v>
      </c>
      <c r="P45" t="s">
        <v>171</v>
      </c>
      <c r="Q45" s="26">
        <v>0</v>
      </c>
    </row>
    <row r="46" spans="1:17" x14ac:dyDescent="0.35">
      <c r="A46" t="s">
        <v>172</v>
      </c>
      <c r="B46" s="26">
        <v>14</v>
      </c>
      <c r="D46" t="s">
        <v>172</v>
      </c>
      <c r="E46" s="26">
        <v>14</v>
      </c>
      <c r="G46" s="27" t="s">
        <v>172</v>
      </c>
      <c r="H46" s="28">
        <v>6</v>
      </c>
      <c r="J46" t="s">
        <v>172</v>
      </c>
      <c r="K46" s="26">
        <v>16</v>
      </c>
      <c r="M46" t="s">
        <v>172</v>
      </c>
      <c r="N46" s="26">
        <v>14</v>
      </c>
      <c r="P46" t="s">
        <v>172</v>
      </c>
      <c r="Q46" s="26">
        <v>8</v>
      </c>
    </row>
    <row r="47" spans="1:17" x14ac:dyDescent="0.35">
      <c r="A47" t="s">
        <v>173</v>
      </c>
      <c r="B47" s="26">
        <v>12</v>
      </c>
      <c r="D47" t="s">
        <v>173</v>
      </c>
      <c r="E47" s="26">
        <v>12</v>
      </c>
      <c r="G47" s="27" t="s">
        <v>173</v>
      </c>
      <c r="H47" s="28">
        <v>8</v>
      </c>
      <c r="J47" t="s">
        <v>173</v>
      </c>
      <c r="K47" s="26">
        <v>21</v>
      </c>
      <c r="M47" t="s">
        <v>173</v>
      </c>
      <c r="N47" s="26">
        <v>12</v>
      </c>
      <c r="P47" t="s">
        <v>173</v>
      </c>
      <c r="Q47" s="26">
        <v>10</v>
      </c>
    </row>
    <row r="48" spans="1:17" x14ac:dyDescent="0.35">
      <c r="A48" t="s">
        <v>174</v>
      </c>
      <c r="B48" s="26">
        <v>0</v>
      </c>
      <c r="D48" t="s">
        <v>174</v>
      </c>
      <c r="E48" s="26">
        <v>0</v>
      </c>
      <c r="G48" s="27" t="s">
        <v>175</v>
      </c>
      <c r="H48" s="28">
        <v>0</v>
      </c>
      <c r="J48" t="s">
        <v>174</v>
      </c>
      <c r="K48" s="26">
        <v>0</v>
      </c>
      <c r="M48" t="s">
        <v>174</v>
      </c>
      <c r="N48" s="26">
        <v>0</v>
      </c>
      <c r="P48" t="s">
        <v>174</v>
      </c>
      <c r="Q48" s="26">
        <v>0</v>
      </c>
    </row>
    <row r="49" spans="1:17" x14ac:dyDescent="0.35">
      <c r="A49" t="s">
        <v>176</v>
      </c>
      <c r="B49" s="26">
        <v>0</v>
      </c>
      <c r="D49" t="s">
        <v>176</v>
      </c>
      <c r="E49" s="26">
        <v>0</v>
      </c>
      <c r="G49" s="27" t="s">
        <v>177</v>
      </c>
      <c r="H49" s="28">
        <v>0</v>
      </c>
      <c r="J49" t="s">
        <v>176</v>
      </c>
      <c r="K49" s="26">
        <v>0</v>
      </c>
      <c r="M49" t="s">
        <v>176</v>
      </c>
      <c r="N49" s="26">
        <v>0</v>
      </c>
      <c r="P49" t="s">
        <v>176</v>
      </c>
      <c r="Q49" s="26">
        <v>0</v>
      </c>
    </row>
    <row r="50" spans="1:17" x14ac:dyDescent="0.35">
      <c r="A50" t="s">
        <v>177</v>
      </c>
      <c r="B50" s="26">
        <v>1</v>
      </c>
      <c r="D50" t="s">
        <v>177</v>
      </c>
      <c r="E50" s="26">
        <v>1</v>
      </c>
      <c r="G50" s="27" t="s">
        <v>99</v>
      </c>
      <c r="H50" s="28">
        <v>0</v>
      </c>
      <c r="J50" t="s">
        <v>177</v>
      </c>
      <c r="K50" s="26">
        <v>0.8</v>
      </c>
      <c r="M50" t="s">
        <v>177</v>
      </c>
      <c r="N50" s="26">
        <v>1</v>
      </c>
      <c r="P50" t="s">
        <v>177</v>
      </c>
      <c r="Q50" s="26">
        <v>0.8</v>
      </c>
    </row>
    <row r="51" spans="1:17" x14ac:dyDescent="0.35">
      <c r="A51" t="s">
        <v>99</v>
      </c>
      <c r="B51" s="26">
        <v>2</v>
      </c>
      <c r="D51" t="s">
        <v>99</v>
      </c>
      <c r="E51" s="26">
        <v>2</v>
      </c>
      <c r="G51" s="27" t="s">
        <v>178</v>
      </c>
      <c r="H51" s="29">
        <f>SUM(H45:H50)</f>
        <v>14</v>
      </c>
      <c r="J51" t="s">
        <v>99</v>
      </c>
      <c r="K51" s="26">
        <v>2</v>
      </c>
      <c r="M51" t="s">
        <v>99</v>
      </c>
      <c r="N51" s="26">
        <v>2</v>
      </c>
      <c r="P51" t="s">
        <v>99</v>
      </c>
      <c r="Q51" s="26">
        <v>2</v>
      </c>
    </row>
    <row r="52" spans="1:17" x14ac:dyDescent="0.35">
      <c r="A52" t="s">
        <v>185</v>
      </c>
      <c r="B52" s="26">
        <v>0</v>
      </c>
      <c r="D52" t="s">
        <v>98</v>
      </c>
      <c r="E52" s="26">
        <v>0</v>
      </c>
      <c r="J52" t="s">
        <v>98</v>
      </c>
      <c r="K52" s="26">
        <v>0</v>
      </c>
      <c r="M52" t="s">
        <v>185</v>
      </c>
      <c r="N52" s="26">
        <v>0</v>
      </c>
      <c r="P52" t="s">
        <v>98</v>
      </c>
      <c r="Q52" s="26">
        <v>0</v>
      </c>
    </row>
    <row r="53" spans="1:17" x14ac:dyDescent="0.35">
      <c r="A53" t="s">
        <v>96</v>
      </c>
      <c r="B53" s="26">
        <v>0.15</v>
      </c>
      <c r="D53" t="s">
        <v>96</v>
      </c>
      <c r="E53" s="26">
        <v>0.2</v>
      </c>
      <c r="J53" t="s">
        <v>96</v>
      </c>
      <c r="K53" s="26">
        <v>0.11</v>
      </c>
      <c r="M53" t="s">
        <v>96</v>
      </c>
      <c r="N53" s="26">
        <v>0.15</v>
      </c>
      <c r="P53" t="s">
        <v>96</v>
      </c>
      <c r="Q53" s="26">
        <v>0.11</v>
      </c>
    </row>
    <row r="54" spans="1:17" x14ac:dyDescent="0.35">
      <c r="A54" t="s">
        <v>179</v>
      </c>
      <c r="B54" s="26">
        <v>0</v>
      </c>
      <c r="D54" t="s">
        <v>179</v>
      </c>
      <c r="E54" s="26">
        <v>0</v>
      </c>
      <c r="J54" t="s">
        <v>180</v>
      </c>
      <c r="K54" s="26">
        <v>0</v>
      </c>
      <c r="M54" t="s">
        <v>179</v>
      </c>
      <c r="N54" s="26">
        <v>0</v>
      </c>
      <c r="P54" t="s">
        <v>180</v>
      </c>
      <c r="Q54" s="26">
        <v>0</v>
      </c>
    </row>
    <row r="55" spans="1:17" x14ac:dyDescent="0.35">
      <c r="A55" t="s">
        <v>97</v>
      </c>
      <c r="B55" s="26">
        <v>0.15</v>
      </c>
      <c r="D55" t="s">
        <v>97</v>
      </c>
      <c r="E55" s="26">
        <v>0.15</v>
      </c>
      <c r="J55" t="s">
        <v>179</v>
      </c>
      <c r="K55" s="26">
        <v>0.11</v>
      </c>
      <c r="M55" t="s">
        <v>97</v>
      </c>
      <c r="N55" s="26">
        <v>0.15</v>
      </c>
      <c r="P55" t="s">
        <v>179</v>
      </c>
      <c r="Q55" s="26">
        <v>0.11</v>
      </c>
    </row>
    <row r="56" spans="1:17" x14ac:dyDescent="0.35">
      <c r="A56" t="s">
        <v>100</v>
      </c>
      <c r="B56" s="26">
        <v>0.15</v>
      </c>
      <c r="D56" t="s">
        <v>100</v>
      </c>
      <c r="E56" s="26">
        <v>0.15</v>
      </c>
      <c r="J56" t="s">
        <v>97</v>
      </c>
      <c r="K56" s="26">
        <v>0.13</v>
      </c>
      <c r="M56" t="s">
        <v>100</v>
      </c>
      <c r="N56" s="26">
        <v>0.15</v>
      </c>
      <c r="P56" t="s">
        <v>97</v>
      </c>
      <c r="Q56" s="26">
        <v>0.13</v>
      </c>
    </row>
    <row r="57" spans="1:17" x14ac:dyDescent="0.35">
      <c r="A57" t="s">
        <v>181</v>
      </c>
      <c r="B57" s="26">
        <v>0</v>
      </c>
      <c r="D57" t="s">
        <v>181</v>
      </c>
      <c r="E57" s="26">
        <v>0</v>
      </c>
      <c r="J57" t="s">
        <v>100</v>
      </c>
      <c r="K57" s="26">
        <v>0.12</v>
      </c>
      <c r="M57" t="s">
        <v>181</v>
      </c>
      <c r="N57" s="26">
        <v>0</v>
      </c>
      <c r="P57" t="s">
        <v>100</v>
      </c>
      <c r="Q57" s="26">
        <v>0.12</v>
      </c>
    </row>
    <row r="58" spans="1:17" x14ac:dyDescent="0.35">
      <c r="A58" t="s">
        <v>182</v>
      </c>
      <c r="B58" s="26">
        <v>0</v>
      </c>
      <c r="D58" t="s">
        <v>182</v>
      </c>
      <c r="E58" s="26">
        <v>0</v>
      </c>
      <c r="J58" t="s">
        <v>181</v>
      </c>
      <c r="K58" s="26">
        <v>0</v>
      </c>
      <c r="M58" t="s">
        <v>182</v>
      </c>
      <c r="N58" s="26">
        <v>0</v>
      </c>
      <c r="P58" t="s">
        <v>181</v>
      </c>
      <c r="Q58" s="26">
        <v>1</v>
      </c>
    </row>
    <row r="59" spans="1:17" x14ac:dyDescent="0.35">
      <c r="A59" s="17" t="s">
        <v>178</v>
      </c>
      <c r="B59" s="29">
        <f>SUM(B45:B58)</f>
        <v>29.449999999999996</v>
      </c>
      <c r="D59" s="17" t="s">
        <v>178</v>
      </c>
      <c r="E59" s="29">
        <f>SUM(E45:E58)</f>
        <v>29.499999999999996</v>
      </c>
      <c r="J59" t="s">
        <v>182</v>
      </c>
      <c r="K59" s="26">
        <v>0</v>
      </c>
      <c r="M59" s="17" t="s">
        <v>178</v>
      </c>
      <c r="N59" s="29">
        <f>SUM(N45:N58)</f>
        <v>29.449999999999996</v>
      </c>
      <c r="P59" t="s">
        <v>182</v>
      </c>
      <c r="Q59" s="26">
        <v>0</v>
      </c>
    </row>
    <row r="60" spans="1:17" x14ac:dyDescent="0.35">
      <c r="J60" s="17" t="s">
        <v>178</v>
      </c>
      <c r="K60" s="29">
        <f>SUM(K45:K59)</f>
        <v>40.269999999999996</v>
      </c>
      <c r="P60" s="17" t="s">
        <v>178</v>
      </c>
      <c r="Q60" s="29">
        <f>SUM(Q45:Q59)</f>
        <v>22.27</v>
      </c>
    </row>
  </sheetData>
  <pageMargins left="0.7" right="0.7" top="0.75" bottom="0.75" header="0.3" footer="0.3"/>
  <pageSetup paperSize="9" orientation="portrait" verticalDpi="0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9"/>
  <dimension ref="A1:O48"/>
  <sheetViews>
    <sheetView workbookViewId="0">
      <selection activeCell="H14" sqref="H14"/>
    </sheetView>
  </sheetViews>
  <sheetFormatPr defaultRowHeight="14.5" x14ac:dyDescent="0.35"/>
  <cols>
    <col min="1" max="1" width="21.453125" bestFit="1" customWidth="1"/>
    <col min="2" max="2" width="16.54296875" customWidth="1"/>
    <col min="3" max="3" width="15.54296875" bestFit="1" customWidth="1"/>
    <col min="4" max="4" width="22" customWidth="1"/>
    <col min="5" max="5" width="0" hidden="1" customWidth="1"/>
    <col min="6" max="6" width="20.54296875" customWidth="1"/>
    <col min="7" max="7" width="19.453125" bestFit="1" customWidth="1"/>
    <col min="9" max="9" width="24.453125" customWidth="1"/>
    <col min="10" max="10" width="15.1796875" customWidth="1"/>
    <col min="11" max="11" width="13.54296875" customWidth="1"/>
    <col min="12" max="12" width="14.54296875" bestFit="1" customWidth="1"/>
    <col min="13" max="13" width="0" hidden="1" customWidth="1"/>
    <col min="14" max="14" width="13.54296875" bestFit="1" customWidth="1"/>
    <col min="15" max="15" width="20" customWidth="1"/>
  </cols>
  <sheetData>
    <row r="1" spans="1:15" ht="20.25" customHeight="1" x14ac:dyDescent="0.35">
      <c r="A1" s="9" t="s">
        <v>258</v>
      </c>
      <c r="B1" s="99" t="s">
        <v>219</v>
      </c>
      <c r="C1" s="99"/>
      <c r="D1" s="99"/>
    </row>
    <row r="3" spans="1:15" x14ac:dyDescent="0.35">
      <c r="A3" s="98" t="s">
        <v>23</v>
      </c>
      <c r="B3" s="98"/>
      <c r="G3" s="1"/>
      <c r="I3" s="97" t="s">
        <v>220</v>
      </c>
      <c r="J3" s="97"/>
      <c r="K3" s="97"/>
      <c r="L3" s="97"/>
      <c r="M3" s="97"/>
      <c r="N3" s="97"/>
      <c r="O3" s="97"/>
    </row>
    <row r="4" spans="1:15" x14ac:dyDescent="0.35">
      <c r="A4" s="17" t="s">
        <v>191</v>
      </c>
      <c r="B4" s="17" t="s">
        <v>206</v>
      </c>
      <c r="C4" t="s">
        <v>207</v>
      </c>
      <c r="D4" t="s">
        <v>208</v>
      </c>
      <c r="F4" t="s">
        <v>209</v>
      </c>
      <c r="G4" s="1" t="s">
        <v>210</v>
      </c>
      <c r="I4" s="1" t="s">
        <v>221</v>
      </c>
      <c r="J4" s="1" t="s">
        <v>8</v>
      </c>
      <c r="K4" s="1" t="s">
        <v>222</v>
      </c>
      <c r="L4" s="1" t="s">
        <v>223</v>
      </c>
      <c r="N4" t="s">
        <v>9</v>
      </c>
      <c r="O4" t="s">
        <v>212</v>
      </c>
    </row>
    <row r="5" spans="1:15" ht="15.5" x14ac:dyDescent="0.35">
      <c r="A5" s="40" t="s">
        <v>70</v>
      </c>
      <c r="B5" s="1">
        <f>Tabela224[[#This Row],[Stanje]]</f>
        <v>140802.59319999997</v>
      </c>
      <c r="C5" s="45">
        <v>5</v>
      </c>
      <c r="D5" s="45">
        <f>Tabela214[[#This Row],[Zalihe]]*Tabela14[[#This Row],[Pros Cena eur]]</f>
        <v>704012.9659999999</v>
      </c>
      <c r="E5" s="1"/>
      <c r="F5" s="46">
        <f>Tabela14[[#This Row],[Pros Cena eur]]*Kalkulacija!S2</f>
        <v>585.49599999999998</v>
      </c>
      <c r="G5" s="46">
        <f>Tabela214[[#This Row],[Zalihe]]*F5</f>
        <v>82439355.108227178</v>
      </c>
      <c r="I5" s="1" t="s">
        <v>23</v>
      </c>
      <c r="J5" s="1">
        <f>B9</f>
        <v>161840.35999999999</v>
      </c>
      <c r="K5" s="57">
        <f>L5/J5</f>
        <v>4.9600113692282939</v>
      </c>
      <c r="L5" s="57">
        <f>Tabela14[[#Totals],[Ukupno eur]]</f>
        <v>802730.02559999994</v>
      </c>
      <c r="N5" s="46">
        <f>Tabela21[[#Totals],[Cana Din]]</f>
        <v>580.81336332753767</v>
      </c>
      <c r="O5" s="46">
        <f>Tabela21[[#Totals],[Vrednost din]]</f>
        <v>93999043.813739493</v>
      </c>
    </row>
    <row r="6" spans="1:15" ht="15.5" x14ac:dyDescent="0.35">
      <c r="A6" s="41" t="s">
        <v>56</v>
      </c>
      <c r="B6" s="1">
        <f>Tabela224[[#This Row],[Stanje]]</f>
        <v>17801.8796</v>
      </c>
      <c r="C6" s="45">
        <v>5</v>
      </c>
      <c r="D6" s="45">
        <f>Tabela214[[#This Row],[Zalihe]]*Tabela14[[#This Row],[Pros Cena eur]]</f>
        <v>89009.398000000001</v>
      </c>
      <c r="E6" s="1"/>
      <c r="F6" s="46">
        <f>Tabela14[[#This Row],[Pros Cena eur]]*Kalkulacija!S2</f>
        <v>585.49599999999998</v>
      </c>
      <c r="G6" s="46">
        <f>Tabela214[[#This Row],[Zalihe]]*F6</f>
        <v>10422929.298281601</v>
      </c>
      <c r="I6" s="1" t="s">
        <v>24</v>
      </c>
      <c r="J6" s="1">
        <f>B17</f>
        <v>9</v>
      </c>
      <c r="K6" s="57">
        <f>L6/J6</f>
        <v>2.1533333333333338</v>
      </c>
      <c r="L6" s="57">
        <f>Tabela141751[[#Totals],[Ukupno]]</f>
        <v>19.380000000000003</v>
      </c>
      <c r="N6" s="46">
        <f>Tabela2250[[#Totals],[Cena Din]]</f>
        <v>252.15361066666662</v>
      </c>
      <c r="O6" s="46">
        <f>Tabela2250[[#Totals],[Vrednost din]]</f>
        <v>2269.3824959999997</v>
      </c>
    </row>
    <row r="7" spans="1:15" ht="15.5" x14ac:dyDescent="0.35">
      <c r="A7" s="41" t="s">
        <v>413</v>
      </c>
      <c r="B7" s="1">
        <f>Tabela224[[#This Row],[Stanje]]</f>
        <v>3235.8871999999997</v>
      </c>
      <c r="C7" s="45">
        <v>3</v>
      </c>
      <c r="D7" s="45">
        <f>Tabela214[[#This Row],[Zalihe]]*Tabela14[[#This Row],[Pros Cena eur]]</f>
        <v>9707.6615999999995</v>
      </c>
      <c r="E7" s="1"/>
      <c r="F7" s="46">
        <f>Tabela14[[#This Row],[Pros Cena eur]]*Kalkulacija!S2</f>
        <v>351.29759999999999</v>
      </c>
      <c r="G7" s="46">
        <f>Tabela214[[#This Row],[Zalihe]]*F7</f>
        <v>1136759.4072307199</v>
      </c>
      <c r="I7" s="1" t="s">
        <v>203</v>
      </c>
      <c r="J7" s="1">
        <f>B23</f>
        <v>6.82</v>
      </c>
      <c r="K7" s="57">
        <f>L7/J7</f>
        <v>2.1638240469208214</v>
      </c>
      <c r="L7" s="57">
        <f>Tabela14192125[[#Totals],[Ukupno]]</f>
        <v>14.757280000000003</v>
      </c>
      <c r="N7" s="46">
        <f>Tabela40[[#Totals],[Cena Din]]</f>
        <v>253.38206483519065</v>
      </c>
      <c r="O7" s="46">
        <f>Tabela40[[#Totals],[Vrednost Din]]</f>
        <v>1728.0656821760003</v>
      </c>
    </row>
    <row r="8" spans="1:15" ht="15.5" x14ac:dyDescent="0.35">
      <c r="A8" s="41" t="s">
        <v>37</v>
      </c>
      <c r="B8" s="1"/>
      <c r="C8" s="45"/>
      <c r="D8" s="45"/>
      <c r="E8" s="1"/>
      <c r="F8" s="46"/>
      <c r="G8" s="46"/>
      <c r="I8" s="1" t="s">
        <v>25</v>
      </c>
      <c r="J8" s="1">
        <f>B29</f>
        <v>4.6000000000000005</v>
      </c>
      <c r="K8" s="57">
        <f t="shared" ref="K8:K9" si="0">L8/J8</f>
        <v>1.2785217391304349</v>
      </c>
      <c r="L8" s="57">
        <f>Tabela1419[[#Totals],[Ukupno]]</f>
        <v>5.8812000000000006</v>
      </c>
      <c r="N8" s="46">
        <f>F29</f>
        <v>74.735922131355906</v>
      </c>
      <c r="O8" s="46">
        <f>G29</f>
        <v>688.68381504000001</v>
      </c>
    </row>
    <row r="9" spans="1:15" ht="15.5" x14ac:dyDescent="0.35">
      <c r="A9" s="42" t="s">
        <v>194</v>
      </c>
      <c r="B9" s="39">
        <f>SUM(B5:B8)</f>
        <v>161840.35999999999</v>
      </c>
      <c r="C9" s="60">
        <f>Tabela14[[#Totals],[Ukupno eur]]/Tabela214[[#This Row],[Zalihe]]</f>
        <v>4.9600113692282939</v>
      </c>
      <c r="D9" s="61">
        <f>SUM(Tabela14[Ukupno eur])</f>
        <v>802730.02559999994</v>
      </c>
      <c r="E9" s="1"/>
      <c r="F9" s="46">
        <f>Tabela21[[#Totals],[Vrednost din]]/Tabela214[[#This Row],[Zalihe]]</f>
        <v>580.81336332753767</v>
      </c>
      <c r="G9" s="46">
        <f>SUBTOTAL(109,Tabela21[Vrednost din])</f>
        <v>93999043.813739493</v>
      </c>
      <c r="I9" s="1" t="s">
        <v>26</v>
      </c>
      <c r="J9" s="1">
        <f>B35</f>
        <v>1395.9199999999998</v>
      </c>
      <c r="K9" s="57">
        <f t="shared" si="0"/>
        <v>1.4955945612929109</v>
      </c>
      <c r="L9" s="57">
        <f>Tabela141921[[#Totals],[Ukupno]]</f>
        <v>2087.73036</v>
      </c>
      <c r="N9" s="46">
        <f>Tabela39[[#Totals],[Cena Din]]</f>
        <v>175.13292665175081</v>
      </c>
      <c r="O9" s="46">
        <f>Tabela39[[#Totals],[Vrednost Din]]</f>
        <v>244471.55497171197</v>
      </c>
    </row>
    <row r="10" spans="1:15" ht="15.5" x14ac:dyDescent="0.35">
      <c r="A10" s="90"/>
      <c r="B10" s="1">
        <v>1.5</v>
      </c>
      <c r="F10" s="1"/>
      <c r="G10" s="1"/>
      <c r="I10" s="1" t="s">
        <v>42</v>
      </c>
      <c r="J10" s="1">
        <f>B42</f>
        <v>-1.9999999999999998</v>
      </c>
      <c r="K10" s="57">
        <f>L10/J10</f>
        <v>1.0960000000000001</v>
      </c>
      <c r="L10" s="57">
        <f>Tabela141946[[#Totals],[Ukupno]]</f>
        <v>-2.1919999999999997</v>
      </c>
      <c r="N10" s="46">
        <f>F41</f>
        <v>117.0992</v>
      </c>
      <c r="O10" s="46">
        <f>G42</f>
        <v>-256.68144639999997</v>
      </c>
    </row>
    <row r="11" spans="1:15" x14ac:dyDescent="0.35">
      <c r="A11" s="98" t="s">
        <v>24</v>
      </c>
      <c r="B11" s="98"/>
      <c r="G11" s="1"/>
      <c r="I11" t="s">
        <v>165</v>
      </c>
      <c r="J11" s="1">
        <f>SUBTOTAL(109,Tabela37[Količina])</f>
        <v>163254.70000000001</v>
      </c>
      <c r="K11" s="57">
        <f>Tabela37[[#Totals],[Vrednost ]]/Tabela37[[#Totals],[Količina]]</f>
        <v>4.9300607115139705</v>
      </c>
      <c r="L11" s="57">
        <f>SUBTOTAL(109,Tabela37[[Vrednost ]])</f>
        <v>804855.58243999991</v>
      </c>
      <c r="N11" s="46">
        <f>SUBTOTAL(101,Tabela42[Cena Din])</f>
        <v>242.21951460208356</v>
      </c>
      <c r="O11" s="46">
        <f>SUBTOTAL(109,Tabela42[Vednost Din])</f>
        <v>94247944.819258019</v>
      </c>
    </row>
    <row r="12" spans="1:15" x14ac:dyDescent="0.35">
      <c r="A12" s="17" t="s">
        <v>191</v>
      </c>
      <c r="B12" s="17" t="s">
        <v>206</v>
      </c>
      <c r="C12" t="s">
        <v>211</v>
      </c>
      <c r="D12" t="s">
        <v>194</v>
      </c>
      <c r="F12" t="s">
        <v>9</v>
      </c>
      <c r="G12" s="1" t="s">
        <v>210</v>
      </c>
      <c r="I12" s="1"/>
      <c r="J12" s="1"/>
      <c r="K12" s="1"/>
      <c r="L12" s="1"/>
    </row>
    <row r="13" spans="1:15" ht="15.5" x14ac:dyDescent="0.35">
      <c r="A13" s="40" t="s">
        <v>120</v>
      </c>
      <c r="B13" s="1">
        <f>Izveštaj!D14</f>
        <v>8.76</v>
      </c>
      <c r="C13" s="48">
        <v>2.1</v>
      </c>
      <c r="D13" s="48">
        <f>Tabela2141652[[#This Row],[Zalihe]]*Tabela141751[[#This Row],[Pros Cena]]</f>
        <v>18.396000000000001</v>
      </c>
      <c r="E13" s="1"/>
      <c r="F13" s="46">
        <f>Tabela141751[[#This Row],[Pros Cena]]*Kalkulacija!S2</f>
        <v>245.90832</v>
      </c>
      <c r="G13" s="46">
        <f>Tabela2141652[[#This Row],[Zalihe]]*F13</f>
        <v>2154.1568831999998</v>
      </c>
      <c r="I13" s="1"/>
      <c r="J13" s="1"/>
      <c r="K13" s="1"/>
      <c r="L13" s="1"/>
    </row>
    <row r="14" spans="1:15" ht="15.5" x14ac:dyDescent="0.35">
      <c r="A14" s="41" t="s">
        <v>49</v>
      </c>
      <c r="B14" s="1">
        <f>Izveštaj!D15</f>
        <v>-1</v>
      </c>
      <c r="C14" s="48">
        <v>1</v>
      </c>
      <c r="D14" s="48">
        <f>Tabela2141652[[#This Row],[Zalihe]]*Tabela141751[[#This Row],[Pros Cena]]</f>
        <v>-1</v>
      </c>
      <c r="E14" s="1"/>
      <c r="F14" s="46">
        <f>Tabela141751[[#This Row],[Pros Cena]]*Kalkulacija!S2</f>
        <v>117.0992</v>
      </c>
      <c r="G14" s="46">
        <f>Tabela2141652[[#This Row],[Zalihe]]*F14</f>
        <v>-117.0992</v>
      </c>
      <c r="I14" s="1"/>
      <c r="J14" s="1"/>
      <c r="K14" s="1"/>
      <c r="L14" s="1"/>
    </row>
    <row r="15" spans="1:15" ht="16.5" customHeight="1" x14ac:dyDescent="0.35">
      <c r="A15" s="41" t="s">
        <v>66</v>
      </c>
      <c r="B15" s="1">
        <f>Izveštaj!D16</f>
        <v>1.2400000000000002</v>
      </c>
      <c r="C15" s="48">
        <v>1.6</v>
      </c>
      <c r="D15" s="48">
        <f>Tabela2141652[[#This Row],[Zalihe]]*Tabela141751[[#This Row],[Pros Cena]]</f>
        <v>1.9840000000000004</v>
      </c>
      <c r="E15" s="1"/>
      <c r="F15" s="46">
        <f>Tabela141751[[#This Row],[Pros Cena]]*Kalkulacija!S2</f>
        <v>187.35872000000001</v>
      </c>
      <c r="G15" s="46">
        <f>Tabela2141652[[#This Row],[Zalihe]]*F15</f>
        <v>232.32481280000005</v>
      </c>
    </row>
    <row r="16" spans="1:15" ht="15.5" hidden="1" x14ac:dyDescent="0.35">
      <c r="A16" s="41"/>
      <c r="B16" s="1"/>
      <c r="C16" s="48"/>
      <c r="D16" s="48"/>
      <c r="E16" s="1"/>
      <c r="F16" s="46"/>
      <c r="G16" s="46"/>
    </row>
    <row r="17" spans="1:9" ht="15.5" x14ac:dyDescent="0.35">
      <c r="A17" s="42" t="s">
        <v>194</v>
      </c>
      <c r="B17" s="39">
        <f>SUM(B13:B16)</f>
        <v>9</v>
      </c>
      <c r="C17" s="59">
        <f>Tabela141751[[#Totals],[Ukupno]]/Tabela2141652[[#This Row],[Zalihe]]</f>
        <v>2.1533333333333338</v>
      </c>
      <c r="D17" s="48">
        <f>D13+D14+D15</f>
        <v>19.380000000000003</v>
      </c>
      <c r="E17" s="1"/>
      <c r="F17" s="46">
        <f>Tabela2250[[#Totals],[Vrednost din]]/Tabela2141652[[#This Row],[Zalihe]]</f>
        <v>252.15361066666662</v>
      </c>
      <c r="G17" s="46">
        <f>SUBTOTAL(109,Tabela2250[Vrednost din])</f>
        <v>2269.3824959999997</v>
      </c>
      <c r="I17" t="s">
        <v>404</v>
      </c>
    </row>
    <row r="18" spans="1:9" ht="15.5" x14ac:dyDescent="0.35">
      <c r="A18" s="42"/>
      <c r="B18" s="39"/>
      <c r="C18" s="48"/>
      <c r="D18" s="48"/>
      <c r="E18" s="1"/>
      <c r="F18" s="46"/>
      <c r="G18" s="46"/>
    </row>
    <row r="19" spans="1:9" x14ac:dyDescent="0.35">
      <c r="A19" s="98" t="s">
        <v>216</v>
      </c>
      <c r="B19" s="98"/>
      <c r="F19" s="1"/>
    </row>
    <row r="20" spans="1:9" x14ac:dyDescent="0.35">
      <c r="A20" s="17" t="s">
        <v>191</v>
      </c>
      <c r="B20" s="17" t="s">
        <v>206</v>
      </c>
      <c r="C20" t="s">
        <v>211</v>
      </c>
      <c r="D20" t="s">
        <v>194</v>
      </c>
      <c r="F20" t="s">
        <v>9</v>
      </c>
      <c r="G20" s="1" t="s">
        <v>215</v>
      </c>
      <c r="H20" t="s">
        <v>406</v>
      </c>
    </row>
    <row r="21" spans="1:9" ht="15.5" x14ac:dyDescent="0.35">
      <c r="A21" s="40" t="s">
        <v>217</v>
      </c>
      <c r="B21" s="1">
        <f>Izveštaj!D22</f>
        <v>6.4088000000000003</v>
      </c>
      <c r="C21" s="45">
        <v>2.2000000000000002</v>
      </c>
      <c r="D21" s="45">
        <f>Tabela214182024[[#This Row],[Zalihe]]*Tabela14192125[[#This Row],[Pros Cena]]</f>
        <v>14.099360000000003</v>
      </c>
      <c r="E21" s="1"/>
      <c r="F21" s="46">
        <f>Tabela14192125[[#This Row],[Pros Cena]]*Kalkulacija!S2</f>
        <v>257.61824000000001</v>
      </c>
      <c r="G21" s="46">
        <f>Tabela214182024[[#This Row],[Zalihe]]*F21</f>
        <v>1651.0237765120003</v>
      </c>
      <c r="H21" s="46"/>
    </row>
    <row r="22" spans="1:9" ht="15.5" x14ac:dyDescent="0.35">
      <c r="A22" s="41" t="s">
        <v>218</v>
      </c>
      <c r="B22" s="1">
        <f>Izveštaj!D23</f>
        <v>0.41120000000000001</v>
      </c>
      <c r="C22" s="45">
        <v>1.6</v>
      </c>
      <c r="D22" s="45">
        <f>Tabela214182024[[#This Row],[Zalihe]]*Tabela14192125[[#This Row],[Pros Cena]]</f>
        <v>0.65792000000000006</v>
      </c>
      <c r="E22" s="1"/>
      <c r="F22" s="46">
        <f>Tabela14192125[[#This Row],[Pros Cena]]*Kalkulacija!S2</f>
        <v>187.35872000000001</v>
      </c>
      <c r="G22" s="46">
        <f>Tabela214182024[[#This Row],[Zalihe]]*F22</f>
        <v>77.041905663999998</v>
      </c>
      <c r="H22" s="46"/>
    </row>
    <row r="23" spans="1:9" ht="15.5" x14ac:dyDescent="0.35">
      <c r="A23" s="42" t="s">
        <v>194</v>
      </c>
      <c r="B23" s="39">
        <f>B21+B22</f>
        <v>6.82</v>
      </c>
      <c r="C23" s="45">
        <f>Tabela14192125[[#Totals],[Ukupno]]/Tabela214182024[[#This Row],[Zalihe]]</f>
        <v>2.1638240469208214</v>
      </c>
      <c r="D23" s="45">
        <f>D21+D22</f>
        <v>14.757280000000003</v>
      </c>
      <c r="E23" s="1"/>
      <c r="F23" s="46">
        <f>Tabela40[[#Totals],[Vrednost Din]]/Tabela214182024[[#This Row],[Zalihe]]</f>
        <v>253.38206483519065</v>
      </c>
      <c r="G23" s="46">
        <f>SUBTOTAL(109,Tabela40[Vrednost Din])</f>
        <v>1728.0656821760003</v>
      </c>
      <c r="H23" t="s">
        <v>404</v>
      </c>
    </row>
    <row r="24" spans="1:9" x14ac:dyDescent="0.35">
      <c r="A24" s="47"/>
      <c r="F24" s="1"/>
    </row>
    <row r="25" spans="1:9" x14ac:dyDescent="0.35">
      <c r="A25" s="98" t="s">
        <v>25</v>
      </c>
      <c r="B25" s="98"/>
      <c r="G25" s="1"/>
      <c r="I25" t="s">
        <v>404</v>
      </c>
    </row>
    <row r="26" spans="1:9" x14ac:dyDescent="0.35">
      <c r="A26" s="17" t="s">
        <v>191</v>
      </c>
      <c r="B26" s="17" t="s">
        <v>206</v>
      </c>
      <c r="C26" t="s">
        <v>211</v>
      </c>
      <c r="D26" t="s">
        <v>194</v>
      </c>
      <c r="F26" s="49" t="s">
        <v>9</v>
      </c>
      <c r="G26" s="50" t="s">
        <v>212</v>
      </c>
    </row>
    <row r="27" spans="1:9" ht="15.5" x14ac:dyDescent="0.35">
      <c r="A27" s="40" t="s">
        <v>213</v>
      </c>
      <c r="B27" s="1">
        <f>Izveštaj!D29</f>
        <v>4.0920000000000005</v>
      </c>
      <c r="C27" s="45">
        <v>1.4</v>
      </c>
      <c r="D27" s="45">
        <f>Tabela21418[[#This Row],[Zalihe]]*Tabela1419[[#This Row],[Pros Cena]]</f>
        <v>5.7288000000000006</v>
      </c>
      <c r="E27" s="1"/>
      <c r="F27" s="51">
        <f>Tabela1419[[#This Row],[Pros Cena]]*Kalkulacija!S2</f>
        <v>163.93887999999998</v>
      </c>
      <c r="G27" s="52">
        <f>Tabela21418[[#This Row],[Zalihe]]*F27</f>
        <v>670.83789695999997</v>
      </c>
    </row>
    <row r="28" spans="1:9" ht="16" thickBot="1" x14ac:dyDescent="0.4">
      <c r="A28" s="41" t="s">
        <v>214</v>
      </c>
      <c r="B28" s="1">
        <f>Izveštaj!D31</f>
        <v>0.50800000000000001</v>
      </c>
      <c r="C28" s="45">
        <v>0.3</v>
      </c>
      <c r="D28" s="45">
        <f>Tabela21418[[#This Row],[Zalihe]]*Tabela1419[[#This Row],[Pros Cena]]</f>
        <v>0.15240000000000001</v>
      </c>
      <c r="E28" s="1"/>
      <c r="F28" s="53">
        <f>Tabela1419[[#This Row],[Pros Cena]]*Kalkulacija!S2</f>
        <v>35.129759999999997</v>
      </c>
      <c r="G28" s="54">
        <f>Tabela21418[[#This Row],[Zalihe]]*F28</f>
        <v>17.845918080000001</v>
      </c>
    </row>
    <row r="29" spans="1:9" ht="16" thickTop="1" x14ac:dyDescent="0.35">
      <c r="A29" s="42" t="s">
        <v>194</v>
      </c>
      <c r="B29" s="39">
        <f>B27+B28</f>
        <v>4.6000000000000005</v>
      </c>
      <c r="C29" s="45">
        <f>Tabela1419[[#Totals],[Ukupno]]/Tabela21418[[#This Row],[Zalihe]]</f>
        <v>1.2785217391304349</v>
      </c>
      <c r="D29" s="45">
        <f>D27+D28</f>
        <v>5.8812000000000006</v>
      </c>
      <c r="E29" s="1"/>
      <c r="F29" s="55">
        <v>74.735922131355906</v>
      </c>
      <c r="G29" s="56">
        <f>G27+G28</f>
        <v>688.68381504000001</v>
      </c>
    </row>
    <row r="30" spans="1:9" ht="15.5" x14ac:dyDescent="0.35">
      <c r="A30" s="41"/>
      <c r="B30" s="1"/>
      <c r="F30" s="1"/>
      <c r="G30" s="1"/>
    </row>
    <row r="31" spans="1:9" x14ac:dyDescent="0.35">
      <c r="A31" s="98" t="s">
        <v>26</v>
      </c>
      <c r="B31" s="98"/>
      <c r="F31" s="1"/>
      <c r="G31" s="1"/>
    </row>
    <row r="32" spans="1:9" x14ac:dyDescent="0.35">
      <c r="A32" s="17" t="s">
        <v>191</v>
      </c>
      <c r="B32" s="17" t="s">
        <v>206</v>
      </c>
      <c r="C32" t="s">
        <v>211</v>
      </c>
      <c r="D32" t="s">
        <v>194</v>
      </c>
      <c r="F32" t="s">
        <v>9</v>
      </c>
      <c r="G32" s="1" t="s">
        <v>215</v>
      </c>
      <c r="H32" t="s">
        <v>406</v>
      </c>
      <c r="I32" t="s">
        <v>419</v>
      </c>
    </row>
    <row r="33" spans="1:9" ht="15.5" x14ac:dyDescent="0.35">
      <c r="A33" s="40" t="s">
        <v>30</v>
      </c>
      <c r="B33" s="1">
        <f>Izveštaj!D37</f>
        <v>1354.9223999999999</v>
      </c>
      <c r="C33" s="45">
        <v>1.5</v>
      </c>
      <c r="D33" s="45">
        <f>Tabela2141820[[#This Row],[Zalihe]]*Tabela141921[[#This Row],[Pros Cena]]</f>
        <v>2032.3835999999999</v>
      </c>
      <c r="E33" s="1"/>
      <c r="F33" s="46">
        <f>Tabela141921[[#This Row],[Pros Cena]]*Kalkulacija!S2</f>
        <v>175.64879999999999</v>
      </c>
      <c r="G33" s="46">
        <f>Tabela2141820[[#This Row],[Zalihe]]*F33</f>
        <v>237990.49365311998</v>
      </c>
      <c r="H33" s="46"/>
      <c r="I33" s="46"/>
    </row>
    <row r="34" spans="1:9" ht="15.5" x14ac:dyDescent="0.35">
      <c r="A34" s="41" t="s">
        <v>50</v>
      </c>
      <c r="B34" s="1">
        <f>Izveštaj!D38</f>
        <v>40.997599999999998</v>
      </c>
      <c r="C34" s="45">
        <v>1.35</v>
      </c>
      <c r="D34" s="45">
        <f>Tabela2141820[[#This Row],[Zalihe]]*Tabela141921[[#This Row],[Pros Cena]]</f>
        <v>55.346760000000003</v>
      </c>
      <c r="E34" s="1"/>
      <c r="F34" s="46">
        <f>(Tabela141921[[#This Row],[Pros Cena]]*Kalkulacija!S2)</f>
        <v>158.08392000000001</v>
      </c>
      <c r="G34" s="46">
        <f>Tabela2141820[[#This Row],[Zalihe]]*F34</f>
        <v>6481.0613185920001</v>
      </c>
      <c r="H34" s="46" t="s">
        <v>404</v>
      </c>
      <c r="I34" s="46" t="s">
        <v>404</v>
      </c>
    </row>
    <row r="35" spans="1:9" ht="15.5" x14ac:dyDescent="0.35">
      <c r="A35" s="42" t="s">
        <v>194</v>
      </c>
      <c r="B35" s="39">
        <f>B33+B34</f>
        <v>1395.9199999999998</v>
      </c>
      <c r="C35" s="45"/>
      <c r="D35" s="45">
        <f>D33+D34</f>
        <v>2087.73036</v>
      </c>
      <c r="E35" s="1"/>
      <c r="F35" s="46">
        <f>Tabela39[[#Totals],[Vrednost Din]]/Tabela2141820[[#This Row],[Zalihe]]</f>
        <v>175.13292665175081</v>
      </c>
      <c r="G35" s="3">
        <f>G33+G34</f>
        <v>244471.55497171197</v>
      </c>
    </row>
    <row r="36" spans="1:9" x14ac:dyDescent="0.35">
      <c r="A36" s="47"/>
      <c r="F36" s="1"/>
    </row>
    <row r="37" spans="1:9" x14ac:dyDescent="0.35">
      <c r="A37" s="47"/>
      <c r="F37" s="1"/>
      <c r="G37" s="1"/>
    </row>
    <row r="38" spans="1:9" x14ac:dyDescent="0.35">
      <c r="A38" s="98" t="s">
        <v>42</v>
      </c>
      <c r="B38" s="98"/>
      <c r="G38" s="1"/>
      <c r="I38" t="s">
        <v>404</v>
      </c>
    </row>
    <row r="39" spans="1:9" x14ac:dyDescent="0.35">
      <c r="A39" s="17" t="s">
        <v>191</v>
      </c>
      <c r="B39" s="17" t="s">
        <v>206</v>
      </c>
      <c r="C39" t="s">
        <v>211</v>
      </c>
      <c r="D39" t="s">
        <v>194</v>
      </c>
      <c r="F39" s="49" t="s">
        <v>9</v>
      </c>
      <c r="G39" s="50" t="s">
        <v>212</v>
      </c>
    </row>
    <row r="40" spans="1:9" ht="15.5" x14ac:dyDescent="0.35">
      <c r="A40" s="40" t="s">
        <v>73</v>
      </c>
      <c r="B40" s="1">
        <f>Izveštaj!D46</f>
        <v>-0.23999999999999977</v>
      </c>
      <c r="C40" s="45">
        <v>1.8</v>
      </c>
      <c r="D40" s="45">
        <f>Tabela2141845[[#This Row],[Zalihe]]*Tabela141946[[#This Row],[Pros Cena]]</f>
        <v>-0.43199999999999961</v>
      </c>
      <c r="E40" s="1"/>
      <c r="F40" s="51">
        <f>Tabela141946[[#This Row],[Pros Cena]]*Kalkulacija!S2</f>
        <v>210.77856</v>
      </c>
      <c r="G40" s="52">
        <f>Tabela2141845[[#This Row],[Zalihe]]*F40</f>
        <v>-50.58685439999995</v>
      </c>
    </row>
    <row r="41" spans="1:9" ht="16" thickBot="1" x14ac:dyDescent="0.4">
      <c r="A41" s="41" t="s">
        <v>76</v>
      </c>
      <c r="B41" s="1">
        <f>Izveštaj!D48</f>
        <v>-1.76</v>
      </c>
      <c r="C41" s="45">
        <v>1</v>
      </c>
      <c r="D41" s="45">
        <f>Tabela2141845[[#This Row],[Zalihe]]*Tabela141946[[#This Row],[Pros Cena]]</f>
        <v>-1.76</v>
      </c>
      <c r="E41" s="1"/>
      <c r="F41" s="53">
        <f>Tabela141946[[#This Row],[Pros Cena]]*Kalkulacija!S2</f>
        <v>117.0992</v>
      </c>
      <c r="G41" s="54">
        <f>Tabela2141845[[#This Row],[Zalihe]]*F41</f>
        <v>-206.09459200000001</v>
      </c>
    </row>
    <row r="42" spans="1:9" ht="16" thickTop="1" x14ac:dyDescent="0.35">
      <c r="A42" s="42" t="s">
        <v>194</v>
      </c>
      <c r="B42" s="39">
        <f>B40+B41</f>
        <v>-1.9999999999999998</v>
      </c>
      <c r="C42" s="45">
        <f>SUBTOTAL(101,Tabela141946[Pros Cena])</f>
        <v>1.4</v>
      </c>
      <c r="D42" s="45">
        <f>SUBTOTAL(109,Tabela141946[Ukupno])</f>
        <v>-2.1919999999999997</v>
      </c>
      <c r="E42" s="1"/>
      <c r="F42" s="55">
        <f>G42/Tabela2141845[[#This Row],[Zalihe]]</f>
        <v>128.34072320000001</v>
      </c>
      <c r="G42" s="56">
        <f>SUM(G40:G41)</f>
        <v>-256.68144639999997</v>
      </c>
    </row>
    <row r="43" spans="1:9" x14ac:dyDescent="0.35">
      <c r="G43" s="1"/>
    </row>
    <row r="44" spans="1:9" x14ac:dyDescent="0.35">
      <c r="A44" s="98" t="s">
        <v>433</v>
      </c>
      <c r="B44" s="98"/>
      <c r="G44" s="1"/>
    </row>
    <row r="45" spans="1:9" x14ac:dyDescent="0.35">
      <c r="A45" s="17" t="s">
        <v>191</v>
      </c>
      <c r="B45" s="17" t="s">
        <v>206</v>
      </c>
      <c r="C45" t="s">
        <v>211</v>
      </c>
      <c r="D45" t="s">
        <v>194</v>
      </c>
      <c r="F45" s="49" t="s">
        <v>9</v>
      </c>
      <c r="G45" s="50" t="s">
        <v>212</v>
      </c>
    </row>
    <row r="46" spans="1:9" ht="15.5" x14ac:dyDescent="0.35">
      <c r="A46" s="40" t="s">
        <v>433</v>
      </c>
      <c r="B46" s="1">
        <f>Izveštaj!D55</f>
        <v>1</v>
      </c>
      <c r="C46" s="45">
        <v>0.43</v>
      </c>
      <c r="D46" s="45">
        <f>Tabela214184596[[#This Row],[Zalihe]]*Tabela14194698[[#This Row],[Pros Cena]]</f>
        <v>0.43</v>
      </c>
      <c r="E46" s="1"/>
      <c r="F46" s="51">
        <f>GETPIVOTDATA("Prosek od Cena Din",'Pivoti za obračun'!$BY$6,"Proizvod","Usluga G")</f>
        <v>50</v>
      </c>
      <c r="G46" s="52">
        <f>Tabela214184596[[#This Row],[Zalihe]]*F46</f>
        <v>50</v>
      </c>
    </row>
    <row r="47" spans="1:9" ht="16" thickBot="1" x14ac:dyDescent="0.4">
      <c r="A47" s="41" t="s">
        <v>76</v>
      </c>
      <c r="B47" s="1">
        <v>0</v>
      </c>
      <c r="C47" s="45">
        <v>0.43</v>
      </c>
      <c r="D47" s="45">
        <f>Tabela214184596[[#This Row],[Zalihe]]*Tabela14194698[[#This Row],[Pros Cena]]</f>
        <v>0</v>
      </c>
      <c r="E47" s="1"/>
      <c r="F47" s="53">
        <v>0</v>
      </c>
      <c r="G47" s="54">
        <f>Tabela214184596[[#This Row],[Zalihe]]*F47</f>
        <v>0</v>
      </c>
    </row>
    <row r="48" spans="1:9" ht="16" thickTop="1" x14ac:dyDescent="0.35">
      <c r="A48" s="42" t="s">
        <v>194</v>
      </c>
      <c r="B48" s="39">
        <f>B46+B47</f>
        <v>1</v>
      </c>
      <c r="C48" s="45">
        <f>SUBTOTAL(101,Tabela14194698[Pros Cena])</f>
        <v>0.43</v>
      </c>
      <c r="D48" s="45">
        <f>SUBTOTAL(109,Tabela14194698[Ukupno])</f>
        <v>0.43</v>
      </c>
      <c r="E48" s="1"/>
      <c r="F48" s="55">
        <f>G48/Tabela214184596[[#This Row],[Zalihe]]</f>
        <v>50</v>
      </c>
      <c r="G48" s="56">
        <f>SUM(G46:G47)</f>
        <v>50</v>
      </c>
    </row>
  </sheetData>
  <sheetProtection selectLockedCells="1" selectUnlockedCells="1"/>
  <mergeCells count="9">
    <mergeCell ref="B1:D1"/>
    <mergeCell ref="I3:O3"/>
    <mergeCell ref="A3:B3"/>
    <mergeCell ref="A11:B11"/>
    <mergeCell ref="A25:B25"/>
    <mergeCell ref="A44:B44"/>
    <mergeCell ref="A31:B31"/>
    <mergeCell ref="A19:B19"/>
    <mergeCell ref="A38:B38"/>
  </mergeCells>
  <hyperlinks>
    <hyperlink ref="A1" location="Sadržaj!A1" display="Sadržaj" xr:uid="{00000000-0004-0000-0800-000000000000}"/>
  </hyperlinks>
  <pageMargins left="0.7" right="0.7" top="0.75" bottom="0.75" header="0.3" footer="0.3"/>
  <pageSetup paperSize="9" orientation="portrait" verticalDpi="0" r:id="rId1"/>
  <ignoredErrors>
    <ignoredError sqref="F33:G33 F34 D13:D15" calculatedColumn="1"/>
  </ignoredErrors>
  <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12"/>
  <dimension ref="A1:O56"/>
  <sheetViews>
    <sheetView zoomScale="85" zoomScaleNormal="85" workbookViewId="0">
      <selection activeCell="F17" sqref="F17"/>
    </sheetView>
  </sheetViews>
  <sheetFormatPr defaultRowHeight="14.5" x14ac:dyDescent="0.35"/>
  <cols>
    <col min="1" max="1" width="29.453125" customWidth="1"/>
    <col min="2" max="2" width="21.1796875" customWidth="1"/>
    <col min="3" max="3" width="20.453125" customWidth="1"/>
    <col min="4" max="5" width="18.54296875" customWidth="1"/>
  </cols>
  <sheetData>
    <row r="1" spans="1:5" x14ac:dyDescent="0.35">
      <c r="A1" s="9" t="s">
        <v>258</v>
      </c>
    </row>
    <row r="2" spans="1:5" x14ac:dyDescent="0.35">
      <c r="A2" s="98" t="s">
        <v>23</v>
      </c>
      <c r="B2" s="98"/>
      <c r="C2" s="98"/>
      <c r="D2" s="98"/>
      <c r="E2" s="75"/>
    </row>
    <row r="3" spans="1:5" x14ac:dyDescent="0.35">
      <c r="A3" s="36" t="s">
        <v>189</v>
      </c>
      <c r="B3" s="37">
        <f>GETPIVOTDATA("Količina robe",Nabavka!$R$6)-D3</f>
        <v>161844.35999999999</v>
      </c>
      <c r="C3" s="38" t="s">
        <v>190</v>
      </c>
      <c r="D3" s="1">
        <f>(GETPIVOTDATA("Zbir od Malina",'Pivoti za obračun'!$C$3,"Kat.Proizvoda","Sveža")*2)/100</f>
        <v>3302.64</v>
      </c>
      <c r="E3" s="1"/>
    </row>
    <row r="4" spans="1:5" x14ac:dyDescent="0.35">
      <c r="A4" s="17" t="s">
        <v>191</v>
      </c>
      <c r="B4" s="39" t="s">
        <v>142</v>
      </c>
      <c r="C4" s="17" t="s">
        <v>192</v>
      </c>
      <c r="D4" s="17" t="s">
        <v>193</v>
      </c>
      <c r="E4" s="73" t="s">
        <v>303</v>
      </c>
    </row>
    <row r="5" spans="1:5" ht="15.5" x14ac:dyDescent="0.35">
      <c r="A5" s="40" t="s">
        <v>70</v>
      </c>
      <c r="B5" s="1">
        <f>B3*0.87</f>
        <v>140804.59319999997</v>
      </c>
      <c r="C5" s="1">
        <f>GETPIVOTDATA("Zbir od Količina",'Pivoti za obračun'!$Q$5,"Proizvod","Dz Malina Rollend")</f>
        <v>2</v>
      </c>
      <c r="D5" s="1">
        <f>B5-C5</f>
        <v>140802.59319999997</v>
      </c>
      <c r="E5" s="72">
        <f>Tabela224[[#This Row],[Stanje]]/$D$8</f>
        <v>0.87000914481406233</v>
      </c>
    </row>
    <row r="6" spans="1:5" ht="15.5" x14ac:dyDescent="0.35">
      <c r="A6" s="41" t="s">
        <v>56</v>
      </c>
      <c r="B6" s="1">
        <f>B3*0.11</f>
        <v>17802.8796</v>
      </c>
      <c r="C6" s="1">
        <f>GETPIVOTDATA("Zbir od Količina",'Pivoti za obračun'!$Q$5,"Proizvod","DZ Malina Griz")</f>
        <v>1</v>
      </c>
      <c r="D6" s="1">
        <f>B6-C6</f>
        <v>17801.8796</v>
      </c>
      <c r="E6" s="72">
        <f>Tabela224[[#This Row],[Stanje]]/$D$8</f>
        <v>0.10999653980008449</v>
      </c>
    </row>
    <row r="7" spans="1:5" ht="15.5" x14ac:dyDescent="0.35">
      <c r="A7" s="41" t="s">
        <v>82</v>
      </c>
      <c r="B7" s="1">
        <f>B3*0.02</f>
        <v>3236.8871999999997</v>
      </c>
      <c r="C7" s="1">
        <f>GETPIVOTDATA("Zbir od Količina",'Pivoti za obračun'!$Q$5,"Proizvod","DZ Malina Blok")</f>
        <v>1</v>
      </c>
      <c r="D7" s="1">
        <f>B7-C7</f>
        <v>3235.8871999999997</v>
      </c>
      <c r="E7" s="72">
        <f>Tabela224[[#This Row],[Stanje]]/$D$8</f>
        <v>1.999431538585307E-2</v>
      </c>
    </row>
    <row r="8" spans="1:5" ht="15.5" x14ac:dyDescent="0.35">
      <c r="A8" s="42" t="s">
        <v>194</v>
      </c>
      <c r="B8" s="39">
        <f>SUM(B5:B7)</f>
        <v>161844.35999999999</v>
      </c>
      <c r="C8" s="39">
        <f>SUM(C5:C7)</f>
        <v>4</v>
      </c>
      <c r="D8" s="39">
        <f t="shared" ref="D8" si="0">B8-C8</f>
        <v>161840.35999999999</v>
      </c>
      <c r="E8" s="72">
        <f>Tabela224[[#This Row],[Stanje]]/$D$8</f>
        <v>1</v>
      </c>
    </row>
    <row r="11" spans="1:5" x14ac:dyDescent="0.35">
      <c r="A11" s="98" t="s">
        <v>24</v>
      </c>
      <c r="B11" s="98"/>
      <c r="C11" s="98"/>
      <c r="D11" s="98"/>
      <c r="E11" s="75"/>
    </row>
    <row r="12" spans="1:5" x14ac:dyDescent="0.35">
      <c r="A12" s="36" t="s">
        <v>189</v>
      </c>
      <c r="B12" s="37">
        <f>(GETPIVOTDATA("Zbir od Kupina",'Pivoti za obračun'!$C$3)-GETPIVOTDATA("Zbir od Kupina Sl",'Pivoti za obračun'!$C$3))-D12</f>
        <v>14</v>
      </c>
      <c r="C12" s="38" t="s">
        <v>190</v>
      </c>
      <c r="D12" s="1">
        <f>((GETPIVOTDATA("Zbir od Kupina",'Pivoti za obračun'!$C$3,"Kat.Proizvoda","Sveža")-(B20+D20))*3)/100</f>
        <v>0</v>
      </c>
      <c r="E12" s="1"/>
    </row>
    <row r="13" spans="1:5" x14ac:dyDescent="0.35">
      <c r="A13" s="17" t="s">
        <v>191</v>
      </c>
      <c r="B13" s="39" t="s">
        <v>142</v>
      </c>
      <c r="C13" s="17" t="s">
        <v>192</v>
      </c>
      <c r="D13" s="17" t="s">
        <v>193</v>
      </c>
      <c r="E13" s="73" t="s">
        <v>303</v>
      </c>
    </row>
    <row r="14" spans="1:5" ht="15.5" x14ac:dyDescent="0.35">
      <c r="A14" s="43" t="s">
        <v>77</v>
      </c>
      <c r="B14" s="1">
        <f>B12*0.84</f>
        <v>11.76</v>
      </c>
      <c r="C14" s="1">
        <f>GETPIVOTDATA("Zbir od Količina",'Pivoti za obračun'!$Q$19,"Proizvod","DZ Kupina Rollend")</f>
        <v>3</v>
      </c>
      <c r="D14" s="1">
        <f>B14-C14</f>
        <v>8.76</v>
      </c>
      <c r="E14" s="72">
        <f>Tabela25[[#This Row],[Stanje]]/$D$17</f>
        <v>0.97333333333333327</v>
      </c>
    </row>
    <row r="15" spans="1:5" ht="15.5" x14ac:dyDescent="0.35">
      <c r="A15" s="43" t="s">
        <v>49</v>
      </c>
      <c r="B15" s="1">
        <f>B12*0</f>
        <v>0</v>
      </c>
      <c r="C15" s="1">
        <f>GETPIVOTDATA("Zbir od Količina",'Pivoti za obračun'!$Q$19,"Proizvod","DZ Kupina Pire")</f>
        <v>1</v>
      </c>
      <c r="D15" s="1">
        <f t="shared" ref="D15" si="1">B15-C15</f>
        <v>-1</v>
      </c>
      <c r="E15" s="72">
        <f>Tabela25[[#This Row],[Stanje]]/$D$17</f>
        <v>-0.1111111111111111</v>
      </c>
    </row>
    <row r="16" spans="1:5" ht="15.5" x14ac:dyDescent="0.35">
      <c r="A16" s="43" t="s">
        <v>66</v>
      </c>
      <c r="B16" s="1">
        <f>B12*0.16</f>
        <v>2.2400000000000002</v>
      </c>
      <c r="C16" s="1">
        <f>GETPIVOTDATA("Zbir od Količina",'Pivoti za obračun'!$Q$19,"Proizvod","DZ Kupina Blok")</f>
        <v>1</v>
      </c>
      <c r="D16" s="1">
        <f>B16-C16</f>
        <v>1.2400000000000002</v>
      </c>
      <c r="E16" s="72">
        <f>Tabela25[[#This Row],[Stanje]]/$D$17</f>
        <v>0.1377777777777778</v>
      </c>
    </row>
    <row r="17" spans="1:15" ht="15.5" x14ac:dyDescent="0.35">
      <c r="A17" s="44" t="s">
        <v>194</v>
      </c>
      <c r="B17" s="39">
        <f>SUM(B14:B16)</f>
        <v>14</v>
      </c>
      <c r="C17" s="39">
        <f>SUM(C14:C16)</f>
        <v>5</v>
      </c>
      <c r="D17" s="39">
        <f>B17-C17</f>
        <v>9</v>
      </c>
      <c r="E17" s="72">
        <f>Tabela25[[#This Row],[Stanje]]/$D$17</f>
        <v>1</v>
      </c>
    </row>
    <row r="18" spans="1:15" ht="15.5" x14ac:dyDescent="0.35">
      <c r="A18" s="44"/>
      <c r="B18" s="39"/>
      <c r="C18" s="39"/>
      <c r="D18" s="39"/>
      <c r="E18" s="39"/>
    </row>
    <row r="19" spans="1:15" x14ac:dyDescent="0.35">
      <c r="A19" s="98" t="s">
        <v>198</v>
      </c>
      <c r="B19" s="98"/>
      <c r="C19" s="98"/>
      <c r="D19" s="98"/>
      <c r="E19" s="75"/>
    </row>
    <row r="20" spans="1:15" x14ac:dyDescent="0.35">
      <c r="A20" s="36" t="s">
        <v>189</v>
      </c>
      <c r="B20" s="37">
        <f>GETPIVOTDATA("Zbir od Kupina Sl",'Pivoti za obračun'!$C$3)-D20</f>
        <v>8.82</v>
      </c>
      <c r="C20" s="38" t="s">
        <v>190</v>
      </c>
      <c r="D20" s="1">
        <f>GETPIVOTDATA("Zbir od Kupina Sl",'Pivoti za obračun'!$C$3,"Kat.Proizvoda","Sveža")*3/100</f>
        <v>0.18</v>
      </c>
      <c r="E20" s="1"/>
    </row>
    <row r="21" spans="1:15" x14ac:dyDescent="0.35">
      <c r="A21" s="17" t="s">
        <v>191</v>
      </c>
      <c r="B21" s="39" t="s">
        <v>142</v>
      </c>
      <c r="C21" s="17" t="s">
        <v>192</v>
      </c>
      <c r="D21" s="17" t="s">
        <v>193</v>
      </c>
      <c r="E21" s="76" t="s">
        <v>303</v>
      </c>
    </row>
    <row r="22" spans="1:15" ht="15.5" x14ac:dyDescent="0.35">
      <c r="A22" s="43" t="s">
        <v>199</v>
      </c>
      <c r="B22" s="1">
        <f>B20*0.84</f>
        <v>7.4088000000000003</v>
      </c>
      <c r="C22" s="1">
        <f>GETPIVOTDATA("Zbir od Količina",'Pivoti za obračun'!$Q$75,"Proizvod","DZ Kupina Rollend Sl.")</f>
        <v>1</v>
      </c>
      <c r="D22" s="1">
        <f>B22-C22</f>
        <v>6.4088000000000003</v>
      </c>
      <c r="E22" s="78">
        <f>Tabela261112[[#This Row],[Stanje]]/$D$24</f>
        <v>0.93970674486803518</v>
      </c>
    </row>
    <row r="23" spans="1:15" ht="15.5" x14ac:dyDescent="0.35">
      <c r="A23" s="43" t="s">
        <v>205</v>
      </c>
      <c r="B23" s="1">
        <f>B20*0.16</f>
        <v>1.4112</v>
      </c>
      <c r="C23" s="1">
        <f>GETPIVOTDATA("Zbir od Količina",'Pivoti za obračun'!$Q$75,"Proizvod","DZ Kupina Blok Sl.")</f>
        <v>1</v>
      </c>
      <c r="D23" s="1">
        <f>B23-C23</f>
        <v>0.41120000000000001</v>
      </c>
      <c r="E23" s="78">
        <f>Tabela261112[[#This Row],[Stanje]]/$D$24</f>
        <v>6.0293255131964811E-2</v>
      </c>
    </row>
    <row r="24" spans="1:15" ht="15.5" x14ac:dyDescent="0.35">
      <c r="A24" s="42" t="s">
        <v>194</v>
      </c>
      <c r="B24" s="39">
        <f>SUM(B22:B23)</f>
        <v>8.82</v>
      </c>
      <c r="C24" s="39">
        <f>SUM(C22:C23)</f>
        <v>2</v>
      </c>
      <c r="D24" s="39">
        <f>B24-C24</f>
        <v>6.82</v>
      </c>
      <c r="E24" s="78">
        <f>Tabela261112[[#This Row],[Stanje]]/$D$24</f>
        <v>1</v>
      </c>
      <c r="O24" s="73"/>
    </row>
    <row r="25" spans="1:15" x14ac:dyDescent="0.35">
      <c r="E25" s="77"/>
    </row>
    <row r="26" spans="1:15" x14ac:dyDescent="0.35">
      <c r="A26" s="98" t="s">
        <v>25</v>
      </c>
      <c r="B26" s="98"/>
      <c r="C26" s="98"/>
      <c r="D26" s="98"/>
      <c r="E26" s="75"/>
    </row>
    <row r="27" spans="1:15" x14ac:dyDescent="0.35">
      <c r="A27" s="36" t="s">
        <v>189</v>
      </c>
      <c r="B27" s="37">
        <f>GETPIVOTDATA("Zbir od Šljiva",'Pivoti za obračun'!$C$3)-D27</f>
        <v>11.6</v>
      </c>
      <c r="C27" s="38" t="s">
        <v>195</v>
      </c>
      <c r="D27" s="1">
        <f>(GETPIVOTDATA("Zbir od Šljiva",'Pivoti za obračun'!$C$3,"Kat.Proizvoda","Sveža")*5)/100</f>
        <v>0.4</v>
      </c>
      <c r="E27" s="1"/>
    </row>
    <row r="28" spans="1:15" x14ac:dyDescent="0.35">
      <c r="A28" s="17" t="s">
        <v>191</v>
      </c>
      <c r="B28" s="39" t="s">
        <v>142</v>
      </c>
      <c r="C28" s="17" t="s">
        <v>192</v>
      </c>
      <c r="D28" s="17" t="s">
        <v>193</v>
      </c>
      <c r="E28" s="73" t="s">
        <v>303</v>
      </c>
    </row>
    <row r="29" spans="1:15" ht="15.5" x14ac:dyDescent="0.35">
      <c r="A29" s="43" t="s">
        <v>196</v>
      </c>
      <c r="B29" s="1">
        <f>B27*0.87</f>
        <v>10.092000000000001</v>
      </c>
      <c r="C29" s="1">
        <f>GETPIVOTDATA("Zbir od Količina",'Pivoti za obračun'!$Q$31,"Proizvod","DZ Šljiva R/S Čačanska lepotica")+GETPIVOTDATA("Zbir od Količina",'Pivoti za obračun'!$Q$31,"Proizvod","DZ Šljiva R/S Čačanska Rodna")+GETPIVOTDATA("Zbir od Količina",'Pivoti za obračun'!$Q$31,"Proizvod","DZ Šljiva R/S Stenley")</f>
        <v>6</v>
      </c>
      <c r="D29" s="1">
        <f>B29-C29</f>
        <v>4.0920000000000005</v>
      </c>
      <c r="E29" s="78">
        <f>Tabela26[[#This Row],[Stanje]]/$D$32</f>
        <v>1.1366666666666663</v>
      </c>
    </row>
    <row r="30" spans="1:15" ht="15.5" x14ac:dyDescent="0.35">
      <c r="A30" s="42" t="s">
        <v>39</v>
      </c>
      <c r="B30" s="1">
        <f>B27*0</f>
        <v>0</v>
      </c>
      <c r="C30" s="1">
        <f>GETPIVOTDATA("Zbir od Količina",'Pivoti za obračun'!$Q$31,"Proizvod","DZ Šljiva Original")</f>
        <v>1</v>
      </c>
      <c r="D30" s="1">
        <f>B30-C30</f>
        <v>-1</v>
      </c>
      <c r="E30" s="78">
        <f>Tabela26[[#This Row],[Stanje]]/$D$32</f>
        <v>-0.27777777777777768</v>
      </c>
    </row>
    <row r="31" spans="1:15" ht="15.5" x14ac:dyDescent="0.35">
      <c r="A31" s="43" t="s">
        <v>81</v>
      </c>
      <c r="B31" s="1">
        <f>B27*0.13</f>
        <v>1.508</v>
      </c>
      <c r="C31" s="1">
        <f>GETPIVOTDATA("Zbir od Količina",'Pivoti za obračun'!$Q$31,"Proizvod","DZ Šljiva III Klasa")</f>
        <v>1</v>
      </c>
      <c r="D31" s="1">
        <f>B31-C31</f>
        <v>0.50800000000000001</v>
      </c>
      <c r="E31" s="78">
        <f>Tabela26[[#This Row],[Stanje]]/$D$32</f>
        <v>0.14111111111111105</v>
      </c>
    </row>
    <row r="32" spans="1:15" ht="15.5" x14ac:dyDescent="0.35">
      <c r="A32" s="42" t="s">
        <v>194</v>
      </c>
      <c r="B32" s="39">
        <f>SUM(B29:B31)</f>
        <v>11.600000000000001</v>
      </c>
      <c r="C32" s="39">
        <f>SUM(C29:C31)</f>
        <v>8</v>
      </c>
      <c r="D32" s="39">
        <f>B32-C32</f>
        <v>3.6000000000000014</v>
      </c>
      <c r="E32" s="78">
        <f>Tabela26[[#This Row],[Stanje]]/$D$32</f>
        <v>1</v>
      </c>
    </row>
    <row r="34" spans="1:5" x14ac:dyDescent="0.35">
      <c r="A34" s="98" t="s">
        <v>26</v>
      </c>
      <c r="B34" s="98"/>
      <c r="C34" s="98"/>
      <c r="D34" s="98"/>
      <c r="E34" s="75"/>
    </row>
    <row r="35" spans="1:5" x14ac:dyDescent="0.35">
      <c r="A35" s="36" t="s">
        <v>189</v>
      </c>
      <c r="B35" s="37">
        <f>GETPIVOTDATA("Zbir od Višnja",'Pivoti za obračun'!$C$3)-D35</f>
        <v>1399.92</v>
      </c>
      <c r="C35" s="38" t="s">
        <v>190</v>
      </c>
      <c r="D35" s="1">
        <f>(GETPIVOTDATA("Zbir od Višnja",'Pivoti za obračun'!$C$3,"Kat.Proizvoda","Sveža")*4)/100</f>
        <v>58.08</v>
      </c>
      <c r="E35" s="1"/>
    </row>
    <row r="36" spans="1:5" x14ac:dyDescent="0.35">
      <c r="A36" s="17" t="s">
        <v>191</v>
      </c>
      <c r="B36" s="39" t="s">
        <v>142</v>
      </c>
      <c r="C36" s="17" t="s">
        <v>192</v>
      </c>
      <c r="D36" s="17" t="s">
        <v>193</v>
      </c>
      <c r="E36" s="79" t="s">
        <v>303</v>
      </c>
    </row>
    <row r="37" spans="1:5" ht="15.5" x14ac:dyDescent="0.35">
      <c r="A37" s="43" t="s">
        <v>197</v>
      </c>
      <c r="B37" s="1">
        <f>B35*0.97</f>
        <v>1357.9223999999999</v>
      </c>
      <c r="C37" s="1">
        <f>GETPIVOTDATA("Zbir od Količina",'Pivoti za obračun'!$Q$43,"Proizvod","DZ Višnja")</f>
        <v>3</v>
      </c>
      <c r="D37" s="1">
        <f>B37-C37</f>
        <v>1354.9223999999999</v>
      </c>
      <c r="E37" s="78">
        <f>Tabela2611[[#This Row],[Stanje]]/$D$39</f>
        <v>0.97063040861940519</v>
      </c>
    </row>
    <row r="38" spans="1:5" ht="15.5" x14ac:dyDescent="0.35">
      <c r="A38" s="43" t="s">
        <v>74</v>
      </c>
      <c r="B38" s="1">
        <f>B35*0.03</f>
        <v>41.997599999999998</v>
      </c>
      <c r="C38" s="1">
        <f>GETPIVOTDATA("Zbir od Količina",'Pivoti za obračun'!$Q$43,"Proizvod","DZ Višnja Blok")</f>
        <v>1</v>
      </c>
      <c r="D38" s="1">
        <f t="shared" ref="D38:D39" si="2">B38-C38</f>
        <v>40.997599999999998</v>
      </c>
      <c r="E38" s="78">
        <f>Tabela2611[[#This Row],[Stanje]]/$D$39</f>
        <v>2.9369591380594879E-2</v>
      </c>
    </row>
    <row r="39" spans="1:5" ht="15.5" x14ac:dyDescent="0.35">
      <c r="A39" s="42" t="s">
        <v>194</v>
      </c>
      <c r="B39" s="39">
        <f>SUM(B37:B38)</f>
        <v>1399.9199999999998</v>
      </c>
      <c r="C39" s="39">
        <f>SUM(C37:C38)</f>
        <v>4</v>
      </c>
      <c r="D39" s="39">
        <f t="shared" si="2"/>
        <v>1395.9199999999998</v>
      </c>
      <c r="E39" s="78">
        <f>Tabela2611[[#This Row],[Stanje]]/$D$39</f>
        <v>1</v>
      </c>
    </row>
    <row r="43" spans="1:5" x14ac:dyDescent="0.35">
      <c r="A43" s="98" t="s">
        <v>42</v>
      </c>
      <c r="B43" s="98"/>
      <c r="C43" s="98"/>
      <c r="D43" s="98"/>
      <c r="E43" s="75"/>
    </row>
    <row r="44" spans="1:5" x14ac:dyDescent="0.35">
      <c r="A44" s="36" t="s">
        <v>189</v>
      </c>
      <c r="B44" s="37">
        <f>GETPIVOTDATA("Zbir od Kajsija",'Pivoti za obračun'!$C$3)-D44</f>
        <v>3</v>
      </c>
      <c r="C44" s="38" t="s">
        <v>195</v>
      </c>
      <c r="D44" s="1">
        <f>GETPIVOTDATA("Zbir od Kajsija",'Pivoti za obračun'!$C$3,"Kat.Proizvoda","Sveža")*8/100</f>
        <v>0</v>
      </c>
      <c r="E44" s="1"/>
    </row>
    <row r="45" spans="1:5" x14ac:dyDescent="0.35">
      <c r="A45" s="17" t="s">
        <v>191</v>
      </c>
      <c r="B45" s="39" t="s">
        <v>142</v>
      </c>
      <c r="C45" s="17" t="s">
        <v>192</v>
      </c>
      <c r="D45" s="17" t="s">
        <v>193</v>
      </c>
      <c r="E45" s="73" t="s">
        <v>303</v>
      </c>
    </row>
    <row r="46" spans="1:5" ht="15.5" x14ac:dyDescent="0.35">
      <c r="A46" s="43" t="s">
        <v>200</v>
      </c>
      <c r="B46" s="1">
        <f>B44*0.92</f>
        <v>2.7600000000000002</v>
      </c>
      <c r="C46" s="1">
        <f>GETPIVOTDATA("Zbir od Količina",'Pivoti za obračun'!$Q$55,"Proizvod","DZ Kajsija R/S")</f>
        <v>3</v>
      </c>
      <c r="D46" s="1">
        <f>B46-C46</f>
        <v>-0.23999999999999977</v>
      </c>
      <c r="E46" s="78">
        <f>Tabela2639[[#This Row],[Stanje]]/$D$49</f>
        <v>0.11999999999999988</v>
      </c>
    </row>
    <row r="47" spans="1:5" ht="15.5" x14ac:dyDescent="0.35">
      <c r="A47" s="42" t="s">
        <v>201</v>
      </c>
      <c r="B47" s="1">
        <v>0</v>
      </c>
      <c r="C47" s="1">
        <v>0</v>
      </c>
      <c r="D47" s="1">
        <f>B47-C47</f>
        <v>0</v>
      </c>
      <c r="E47" s="78">
        <f>Tabela2639[[#This Row],[Stanje]]/$D$49</f>
        <v>0</v>
      </c>
    </row>
    <row r="48" spans="1:5" ht="15.5" x14ac:dyDescent="0.35">
      <c r="A48" s="43" t="s">
        <v>202</v>
      </c>
      <c r="B48" s="1">
        <f>B44*0.08</f>
        <v>0.24</v>
      </c>
      <c r="C48" s="1">
        <f>GETPIVOTDATA("Zbir od Količina",'Pivoti za obračun'!$Q$55,"Proizvod","DZ Kajsija III")</f>
        <v>2</v>
      </c>
      <c r="D48" s="1">
        <f t="shared" ref="D48:D49" si="3">B48-C48</f>
        <v>-1.76</v>
      </c>
      <c r="E48" s="78">
        <f>Tabela2639[[#This Row],[Stanje]]/$D$49</f>
        <v>0.88</v>
      </c>
    </row>
    <row r="49" spans="1:5" ht="15.5" x14ac:dyDescent="0.35">
      <c r="A49" s="42" t="s">
        <v>194</v>
      </c>
      <c r="B49" s="39">
        <f>SUM(B46:B48)</f>
        <v>3</v>
      </c>
      <c r="C49" s="39">
        <f>SUM(C46:C48)</f>
        <v>5</v>
      </c>
      <c r="D49" s="39">
        <f t="shared" si="3"/>
        <v>-2</v>
      </c>
      <c r="E49" s="78">
        <f>Tabela2639[[#This Row],[Stanje]]/$D$49</f>
        <v>1</v>
      </c>
    </row>
    <row r="52" spans="1:5" x14ac:dyDescent="0.35">
      <c r="A52" s="98" t="s">
        <v>433</v>
      </c>
      <c r="B52" s="98"/>
      <c r="C52" s="98"/>
      <c r="D52" s="98"/>
      <c r="E52" s="75"/>
    </row>
    <row r="53" spans="1:5" x14ac:dyDescent="0.35">
      <c r="A53" s="36" t="s">
        <v>189</v>
      </c>
      <c r="B53" s="37">
        <f>GETPIVOTDATA("Zbir od Količina",'Pivoti za obračun'!$BT$10)</f>
        <v>2</v>
      </c>
      <c r="C53" s="38" t="s">
        <v>195</v>
      </c>
      <c r="D53" s="1">
        <f>GETPIVOTDATA("Zbir od Kajsija",'Pivoti za obračun'!$C$3,"Kat.Proizvoda","Sveža")*8/100</f>
        <v>0</v>
      </c>
      <c r="E53" s="1"/>
    </row>
    <row r="54" spans="1:5" x14ac:dyDescent="0.35">
      <c r="A54" s="17" t="s">
        <v>191</v>
      </c>
      <c r="B54" s="39" t="s">
        <v>142</v>
      </c>
      <c r="C54" s="17" t="s">
        <v>192</v>
      </c>
      <c r="D54" s="17" t="s">
        <v>193</v>
      </c>
      <c r="E54" s="73" t="s">
        <v>303</v>
      </c>
    </row>
    <row r="55" spans="1:5" ht="15.5" x14ac:dyDescent="0.35">
      <c r="A55" s="43" t="s">
        <v>433</v>
      </c>
      <c r="B55" s="1">
        <f>B53</f>
        <v>2</v>
      </c>
      <c r="C55" s="1">
        <f>GETPIVOTDATA("Zbir od Količina",'Pivoti za obračun'!$BY$6,"Proizvod","Usluga G")</f>
        <v>1</v>
      </c>
      <c r="D55" s="1">
        <f>B55-C55</f>
        <v>1</v>
      </c>
      <c r="E55" s="78" t="str">
        <f>E54</f>
        <v>Procenat</v>
      </c>
    </row>
    <row r="56" spans="1:5" ht="15.5" x14ac:dyDescent="0.35">
      <c r="A56" s="42" t="s">
        <v>194</v>
      </c>
      <c r="B56" s="39">
        <f>SUM(B55:B55)</f>
        <v>2</v>
      </c>
      <c r="C56" s="39">
        <f>SUM(C55:C55)</f>
        <v>1</v>
      </c>
      <c r="D56" s="39">
        <f>B56-C56</f>
        <v>1</v>
      </c>
      <c r="E56" s="78" t="str">
        <f t="shared" ref="E56" si="4">E55</f>
        <v>Procenat</v>
      </c>
    </row>
  </sheetData>
  <sheetProtection selectLockedCells="1" selectUnlockedCells="1"/>
  <mergeCells count="7">
    <mergeCell ref="A52:D52"/>
    <mergeCell ref="A43:D43"/>
    <mergeCell ref="A2:D2"/>
    <mergeCell ref="A11:D11"/>
    <mergeCell ref="A26:D26"/>
    <mergeCell ref="A34:D34"/>
    <mergeCell ref="A19:D19"/>
  </mergeCells>
  <hyperlinks>
    <hyperlink ref="A1" location="Sadržaj!A1" display="Sadržaj" xr:uid="{00000000-0004-0000-0900-000000000000}"/>
  </hyperlinks>
  <pageMargins left="0.7" right="0.7" top="0.75" bottom="0.75" header="0.3" footer="0.3"/>
  <pageSetup paperSize="9" orientation="portrait" verticalDpi="0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ist11"/>
  <dimension ref="A1:S38"/>
  <sheetViews>
    <sheetView zoomScale="91" zoomScaleNormal="91" workbookViewId="0">
      <selection activeCell="I32" sqref="I32"/>
    </sheetView>
  </sheetViews>
  <sheetFormatPr defaultRowHeight="14.5" x14ac:dyDescent="0.35"/>
  <cols>
    <col min="1" max="1" width="14.453125" customWidth="1"/>
    <col min="2" max="2" width="19.54296875" customWidth="1"/>
    <col min="3" max="3" width="21.54296875" bestFit="1" customWidth="1"/>
    <col min="4" max="4" width="16.54296875" customWidth="1"/>
    <col min="5" max="5" width="17.81640625" customWidth="1"/>
    <col min="6" max="6" width="16.1796875" customWidth="1"/>
    <col min="8" max="8" width="18.453125" bestFit="1" customWidth="1"/>
    <col min="9" max="9" width="20.81640625" bestFit="1" customWidth="1"/>
    <col min="10" max="10" width="20.453125" customWidth="1"/>
    <col min="11" max="11" width="4.81640625" bestFit="1" customWidth="1"/>
    <col min="12" max="12" width="5.453125" customWidth="1"/>
    <col min="13" max="13" width="17" bestFit="1" customWidth="1"/>
    <col min="14" max="14" width="13.81640625" bestFit="1" customWidth="1"/>
    <col min="15" max="15" width="15.453125" customWidth="1"/>
    <col min="16" max="16" width="12.54296875" customWidth="1"/>
    <col min="18" max="18" width="9.1796875" customWidth="1"/>
    <col min="19" max="19" width="9.1796875" hidden="1" customWidth="1"/>
  </cols>
  <sheetData>
    <row r="1" spans="1:19" x14ac:dyDescent="0.35">
      <c r="A1" s="9" t="s">
        <v>431</v>
      </c>
      <c r="H1" s="103" t="s">
        <v>281</v>
      </c>
      <c r="I1" s="103"/>
      <c r="J1" s="103"/>
      <c r="K1" t="s">
        <v>404</v>
      </c>
      <c r="M1" s="100" t="s">
        <v>267</v>
      </c>
      <c r="N1" s="100"/>
      <c r="O1" s="100"/>
      <c r="P1" s="100"/>
      <c r="Q1" s="100"/>
      <c r="S1" t="s">
        <v>397</v>
      </c>
    </row>
    <row r="2" spans="1:19" ht="15.5" x14ac:dyDescent="0.35">
      <c r="A2" s="101" t="s">
        <v>224</v>
      </c>
      <c r="B2" s="101"/>
      <c r="C2" s="101"/>
      <c r="D2" s="101"/>
      <c r="E2" s="101"/>
      <c r="H2" t="s">
        <v>225</v>
      </c>
      <c r="I2" t="s">
        <v>226</v>
      </c>
      <c r="J2" t="s">
        <v>227</v>
      </c>
      <c r="M2" t="s">
        <v>267</v>
      </c>
      <c r="N2" t="s">
        <v>152</v>
      </c>
      <c r="O2" t="s">
        <v>287</v>
      </c>
      <c r="P2" t="s">
        <v>288</v>
      </c>
      <c r="Q2" t="s">
        <v>289</v>
      </c>
      <c r="S2" s="1">
        <f>Kurs!E2</f>
        <v>117.0992</v>
      </c>
    </row>
    <row r="3" spans="1:19" x14ac:dyDescent="0.35">
      <c r="A3" t="s">
        <v>228</v>
      </c>
      <c r="B3" t="s">
        <v>229</v>
      </c>
      <c r="C3" t="s">
        <v>192</v>
      </c>
      <c r="D3" t="s">
        <v>230</v>
      </c>
      <c r="E3" t="s">
        <v>190</v>
      </c>
      <c r="F3" t="s">
        <v>424</v>
      </c>
      <c r="H3" t="s">
        <v>231</v>
      </c>
      <c r="I3" s="46">
        <f>GETPIVOTDATA("Zbir od Obračunska Vrednost",'Pivoti za obračun'!$X$5)</f>
        <v>71886752.588751033</v>
      </c>
      <c r="J3" s="45">
        <f>I3/S2</f>
        <v>613896.18877627712</v>
      </c>
      <c r="M3" s="73" t="s">
        <v>285</v>
      </c>
      <c r="N3" s="1">
        <f>GETPIVOTDATA("Iznos Troška",'Pivoti za obračun'!$BJ$9)</f>
        <v>3120052</v>
      </c>
      <c r="O3" s="1">
        <f>N3/Tabela1[[#Totals],[Kupljeno]]</f>
        <v>18.723083016286409</v>
      </c>
      <c r="P3" s="1">
        <f>N3/Tabela1[[#Totals],[Prodato]]</f>
        <v>120002</v>
      </c>
      <c r="Q3" s="71">
        <f>N3/N11</f>
        <v>0.28147390357114499</v>
      </c>
    </row>
    <row r="4" spans="1:19" x14ac:dyDescent="0.35">
      <c r="A4" t="s">
        <v>23</v>
      </c>
      <c r="B4" s="1">
        <f>GETPIVOTDATA("Zbir od Malina",'Pivoti za obračun'!$C$3)</f>
        <v>165147</v>
      </c>
      <c r="C4" s="1">
        <f>GETPIVOTDATA("Zbir od Količina",'Pivoti za obračun'!$Q$5)</f>
        <v>6</v>
      </c>
      <c r="D4" s="1">
        <f>'Vrednost Zaliha'!B9</f>
        <v>161840.35999999999</v>
      </c>
      <c r="E4" s="1">
        <f>Izveštaj!D3</f>
        <v>3302.64</v>
      </c>
      <c r="F4" s="1">
        <f>'Pivoti za obračun'!BB11</f>
        <v>435.32840750884765</v>
      </c>
      <c r="H4" t="s">
        <v>232</v>
      </c>
      <c r="I4" s="46">
        <f>Tabela35[[#Totals],[Iznos]]</f>
        <v>8437670.2300000042</v>
      </c>
      <c r="J4" s="45">
        <f>I4/S2</f>
        <v>72055.746153688538</v>
      </c>
      <c r="M4" s="73" t="s">
        <v>84</v>
      </c>
      <c r="N4" s="1">
        <f>GETPIVOTDATA("Iznos Troška",'Pivoti za obračun'!$BJ$45)</f>
        <v>1780001</v>
      </c>
      <c r="O4" s="1">
        <f>N4/Tabela1[[#Totals],[Kupljeno]]</f>
        <v>10.681586874857478</v>
      </c>
      <c r="P4" s="1">
        <f>N4/Tabela1[[#Totals],[Prodato]]</f>
        <v>68461.576923076922</v>
      </c>
      <c r="Q4" s="71">
        <f>N4/N11</f>
        <v>0.16058188447838101</v>
      </c>
    </row>
    <row r="5" spans="1:19" x14ac:dyDescent="0.35">
      <c r="A5" t="s">
        <v>24</v>
      </c>
      <c r="B5" s="1">
        <f>GETPIVOTDATA("Zbir od Kupina",'Pivoti za obračun'!$C$3)-GETPIVOTDATA("Zbir od Kupina Sl",'Pivoti za obračun'!$C$3)</f>
        <v>14</v>
      </c>
      <c r="C5" s="1">
        <f>GETPIVOTDATA("Zbir od Količina",'Pivoti za obračun'!$Q$19)</f>
        <v>5</v>
      </c>
      <c r="D5" s="1">
        <f>'Vrednost Zaliha'!B17</f>
        <v>9</v>
      </c>
      <c r="E5" s="1">
        <f>Izveštaj!D12</f>
        <v>0</v>
      </c>
      <c r="F5" s="1">
        <f>'Pivoti za obračun'!BB22</f>
        <v>1</v>
      </c>
      <c r="H5" t="s">
        <v>233</v>
      </c>
      <c r="I5" s="46">
        <f>GETPIVOTDATA("Zbir od Iznos Din",'Pivoti za obračun'!$AD$7)</f>
        <v>84</v>
      </c>
      <c r="J5" s="45">
        <f>I5/S2</f>
        <v>0.71734051129298926</v>
      </c>
      <c r="M5" s="73" t="s">
        <v>286</v>
      </c>
      <c r="N5" s="1">
        <f>GETPIVOTDATA("Iznos Troška",'Pivoti za obračun'!$BJ$33)</f>
        <v>736294.37</v>
      </c>
      <c r="O5" s="1">
        <f>N5/Tabela1[[#Totals],[Kupljeno]]</f>
        <v>4.418420146181635</v>
      </c>
      <c r="P5" s="1">
        <f>N5/Tabela1[[#Totals],[Prodato]]</f>
        <v>28319.014230769229</v>
      </c>
      <c r="Q5" s="71">
        <f>N5/N11</f>
        <v>6.642442193314628E-2</v>
      </c>
    </row>
    <row r="6" spans="1:19" x14ac:dyDescent="0.35">
      <c r="A6" t="s">
        <v>203</v>
      </c>
      <c r="B6" s="1">
        <f>GETPIVOTDATA("Zbir od Kupina Sl",'Pivoti za obračun'!$C$3)</f>
        <v>9</v>
      </c>
      <c r="C6" s="1">
        <f>GETPIVOTDATA("Zbir od Količina",'Pivoti za obračun'!$Q$75)</f>
        <v>2</v>
      </c>
      <c r="D6" s="1">
        <f>'Vrednost Zaliha'!B23</f>
        <v>6.82</v>
      </c>
      <c r="E6" s="1">
        <f>Izveštaj!D20</f>
        <v>0.18</v>
      </c>
      <c r="F6" s="1">
        <f>'Pivoti za obračun'!BB33</f>
        <v>0.83333333333333337</v>
      </c>
      <c r="H6" t="s">
        <v>234</v>
      </c>
      <c r="I6" s="46">
        <f>Tabela42[[#Totals],[Vednost Din]]</f>
        <v>94247944.819258019</v>
      </c>
      <c r="J6" s="45">
        <f>I6/S2</f>
        <v>804855.58243999979</v>
      </c>
      <c r="M6" s="73" t="s">
        <v>110</v>
      </c>
      <c r="N6" s="1">
        <f>GETPIVOTDATA("Iznos Troška",'Pivoti za obračun'!$BJ$27)</f>
        <v>1536661.82</v>
      </c>
      <c r="O6" s="1">
        <f>N6/Tabela1[[#Totals],[Kupljeno]]</f>
        <v>9.2213356776802975</v>
      </c>
      <c r="P6" s="1">
        <f>N6/Tabela1[[#Totals],[Prodato]]</f>
        <v>59102.377692307695</v>
      </c>
      <c r="Q6" s="71">
        <f>N6/N11</f>
        <v>0.1386291641755138</v>
      </c>
    </row>
    <row r="7" spans="1:19" x14ac:dyDescent="0.35">
      <c r="A7" t="s">
        <v>25</v>
      </c>
      <c r="B7" s="1">
        <f>GETPIVOTDATA("Zbir od Šljiva",'Pivoti za obračun'!$C$3)</f>
        <v>12</v>
      </c>
      <c r="C7" s="1">
        <f>GETPIVOTDATA("Zbir od Količina",'Pivoti za obračun'!$Q$31)</f>
        <v>8</v>
      </c>
      <c r="D7" s="1">
        <f>'Vrednost Zaliha'!B29</f>
        <v>4.6000000000000005</v>
      </c>
      <c r="E7" s="1">
        <f>Izveštaj!D27</f>
        <v>0.4</v>
      </c>
      <c r="F7" s="1">
        <f>'Pivoti za obračun'!BB44</f>
        <v>0.75</v>
      </c>
      <c r="H7" t="s">
        <v>235</v>
      </c>
      <c r="I7" s="46">
        <f>(I5+I6)-(I3+I4)</f>
        <v>13923606.000506982</v>
      </c>
      <c r="J7" s="45">
        <f>I7/S2</f>
        <v>118904.36485054537</v>
      </c>
      <c r="M7" s="73" t="s">
        <v>87</v>
      </c>
      <c r="N7" s="1">
        <f>GETPIVOTDATA("Iznos Troška",'Pivoti za obračun'!$BJ$15)</f>
        <v>1692343.49</v>
      </c>
      <c r="O7" s="1">
        <f>N7/Tabela1[[#Totals],[Kupljeno]]</f>
        <v>10.155563963466593</v>
      </c>
      <c r="P7" s="1">
        <f>N7/Tabela1[[#Totals],[Prodato]]</f>
        <v>65090.134230769232</v>
      </c>
      <c r="Q7" s="71">
        <f>N7/N11</f>
        <v>0.15267390681742321</v>
      </c>
    </row>
    <row r="8" spans="1:19" x14ac:dyDescent="0.35">
      <c r="A8" t="s">
        <v>26</v>
      </c>
      <c r="B8" s="1">
        <f>GETPIVOTDATA("Količina robe",Nabavka!$R$27)</f>
        <v>1458</v>
      </c>
      <c r="C8" s="1">
        <f>GETPIVOTDATA("Zbir od Količina",'Pivoti za obračun'!$Q$43)</f>
        <v>4</v>
      </c>
      <c r="D8" s="1">
        <f>'Vrednost Zaliha'!B35</f>
        <v>1395.9199999999998</v>
      </c>
      <c r="E8" s="1">
        <f>Izveštaj!D35</f>
        <v>58.08</v>
      </c>
      <c r="F8" s="1">
        <f>'Pivoti za obračun'!BB55</f>
        <v>6.8870523415977963E-4</v>
      </c>
      <c r="H8" t="s">
        <v>236</v>
      </c>
      <c r="I8" s="58">
        <f>I7/(I3+I4)</f>
        <v>0.17334212325341025</v>
      </c>
      <c r="M8" s="73" t="s">
        <v>85</v>
      </c>
      <c r="N8" s="1">
        <f>GETPIVOTDATA("Iznos Troška",'Pivoti za obračun'!$BJ$39)</f>
        <v>989919</v>
      </c>
      <c r="O8" s="1">
        <f>N8/Tabela1[[#Totals],[Kupljeno]]</f>
        <v>5.940393178190372</v>
      </c>
      <c r="P8" s="1">
        <f>N8/Tabela1[[#Totals],[Prodato]]</f>
        <v>38073.807692307695</v>
      </c>
      <c r="Q8" s="71">
        <f>N8/N11</f>
        <v>8.9305038874109871E-2</v>
      </c>
    </row>
    <row r="9" spans="1:19" x14ac:dyDescent="0.35">
      <c r="A9" t="s">
        <v>433</v>
      </c>
      <c r="B9" s="1">
        <f>GETPIVOTDATA("Zbir od Količina",'Pivoti za obračun'!$BT$10)</f>
        <v>2</v>
      </c>
      <c r="C9" s="1">
        <f>GETPIVOTDATA("Zbir od Količina",'Pivoti za obračun'!$BY$6,"Proizvod","Usluga G")</f>
        <v>1</v>
      </c>
      <c r="D9" s="1">
        <v>0</v>
      </c>
      <c r="E9" s="1">
        <f>Izveštaj!D44</f>
        <v>0</v>
      </c>
      <c r="F9" s="1">
        <f>GETPIVOTDATA("Prosek od Cena Din",'Pivoti za obračun'!$BY$6,"Proizvod","Usluga G")</f>
        <v>50</v>
      </c>
      <c r="H9" t="s">
        <v>237</v>
      </c>
      <c r="I9" s="46">
        <f>I7/Tabela1[[#Totals],[Kupljeno]]</f>
        <v>83.554001995337202</v>
      </c>
      <c r="J9" s="45">
        <f>Tabela43[[#This Row],[Ukupno Din]]/S2</f>
        <v>0.71353179180845983</v>
      </c>
      <c r="M9" s="73" t="s">
        <v>384</v>
      </c>
      <c r="N9" s="1">
        <f>GETPIVOTDATA("Iznos Troška",'Pivoti za obračun'!$BJ$51)</f>
        <v>1</v>
      </c>
      <c r="O9" s="1">
        <f>N9/Tabela1[[#Totals],[Kupljeno]]</f>
        <v>6.0008881314434538E-6</v>
      </c>
      <c r="P9" s="1">
        <f>N9/Tabela1[[#Totals],[Prodato]]</f>
        <v>3.8461538461538464E-2</v>
      </c>
      <c r="Q9" s="71">
        <f>N9/N11</f>
        <v>9.0214491159488678E-8</v>
      </c>
    </row>
    <row r="10" spans="1:19" ht="15" thickBot="1" x14ac:dyDescent="0.4">
      <c r="A10" t="s">
        <v>165</v>
      </c>
      <c r="B10" s="1">
        <f>SUBTOTAL(109,Tabela1[Kupljeno])</f>
        <v>166642</v>
      </c>
      <c r="C10" s="1">
        <f>SUBTOTAL(109,Tabela1[Prodato])</f>
        <v>26</v>
      </c>
      <c r="D10" s="1">
        <f>SUBTOTAL(109,Tabela1[Na zalihama])</f>
        <v>163256.70000000001</v>
      </c>
      <c r="E10" s="1">
        <f>SUBTOTAL(109,Tabela1[Kalo])</f>
        <v>3361.2999999999997</v>
      </c>
      <c r="I10" s="46"/>
      <c r="J10" s="45"/>
      <c r="M10" s="73" t="s">
        <v>86</v>
      </c>
      <c r="N10" s="1">
        <f>GETPIVOTDATA("Iznos Troška",'Pivoti za obračun'!$BJ$21)</f>
        <v>1229421</v>
      </c>
      <c r="O10" s="1">
        <f>N10/Tabela1[[#Totals],[Kupljeno]]</f>
        <v>7.3776178874473421</v>
      </c>
      <c r="P10" s="1">
        <f>N10/Tabela1[[#Totals],[Prodato]]</f>
        <v>47285.423076923078</v>
      </c>
      <c r="Q10" s="71">
        <f>N10/N11</f>
        <v>0.11091158993578973</v>
      </c>
    </row>
    <row r="11" spans="1:19" ht="15.5" thickTop="1" thickBot="1" x14ac:dyDescent="0.4">
      <c r="B11" s="1"/>
      <c r="C11" s="1"/>
      <c r="D11" s="1"/>
      <c r="E11" s="1"/>
      <c r="H11" s="104" t="s">
        <v>280</v>
      </c>
      <c r="I11" s="104"/>
      <c r="J11" s="104"/>
      <c r="K11" t="s">
        <v>403</v>
      </c>
      <c r="M11" s="73" t="s">
        <v>194</v>
      </c>
      <c r="N11" s="1">
        <f>SUM(N3:N10)</f>
        <v>11084693.68</v>
      </c>
      <c r="O11" s="1">
        <f>N11/Tabela1[[#Totals],[Kupljeno]]</f>
        <v>66.51800674499826</v>
      </c>
      <c r="P11" s="1">
        <f>N11/Tabela1[[#Totals],[Prodato]]</f>
        <v>426334.37230769231</v>
      </c>
      <c r="Q11" s="72">
        <f>N11/N11</f>
        <v>1</v>
      </c>
    </row>
    <row r="12" spans="1:19" ht="15" thickTop="1" x14ac:dyDescent="0.35">
      <c r="A12" s="102" t="s">
        <v>238</v>
      </c>
      <c r="B12" s="102"/>
      <c r="C12" s="102"/>
      <c r="D12" s="102"/>
      <c r="E12" s="102"/>
      <c r="F12" s="102"/>
      <c r="H12" t="s">
        <v>225</v>
      </c>
      <c r="I12" t="s">
        <v>226</v>
      </c>
      <c r="J12" s="63" t="s">
        <v>227</v>
      </c>
      <c r="P12" s="1"/>
    </row>
    <row r="13" spans="1:19" x14ac:dyDescent="0.35">
      <c r="A13" t="s">
        <v>19</v>
      </c>
      <c r="B13" t="s">
        <v>298</v>
      </c>
      <c r="C13" t="s">
        <v>297</v>
      </c>
      <c r="D13" t="s">
        <v>111</v>
      </c>
      <c r="E13" t="s">
        <v>239</v>
      </c>
      <c r="F13" t="s">
        <v>240</v>
      </c>
      <c r="H13" t="s">
        <v>231</v>
      </c>
      <c r="I13" s="46">
        <f>GETPIVOTDATA("Zbir od Iznos Din",'Pivoti za obračun'!$AQ$8)</f>
        <v>56</v>
      </c>
      <c r="J13" s="62">
        <f>I13/Kalkulacija!S2</f>
        <v>0.47822700752865949</v>
      </c>
    </row>
    <row r="14" spans="1:19" x14ac:dyDescent="0.35">
      <c r="A14" t="s">
        <v>444</v>
      </c>
      <c r="B14" s="1">
        <f>GETPIVOTDATA("Zbir od Iznos Din",'Pivoti za obračun'!$BM$21)</f>
        <v>77059638.899999976</v>
      </c>
      <c r="C14" s="1">
        <f>GETPIVOTDATA("Sum of Vrednost za Isplatu",'Pivoti za obračun'!$BM$21)</f>
        <v>78983820.105121791</v>
      </c>
      <c r="D14" s="1">
        <f>GETPIVOTDATA("Zbir od Isplata",'Pivoti za obračun'!$BM$21)</f>
        <v>64000000</v>
      </c>
      <c r="E14" s="1">
        <f>Table_ObracunOtkupa_1[[#This Row],[Vrednost  Robe]]-Table_ObracunOtkupa_1[[#This Row],[Isplata]]</f>
        <v>13059638.899999976</v>
      </c>
      <c r="F14" s="1">
        <f>Table_ObracunOtkupa_1[[#This Row],[Vrednost sa Maržom]]-Table_ObracunOtkupa_1[[#This Row],[Isplata]]</f>
        <v>14983820.105121791</v>
      </c>
      <c r="H14" t="s">
        <v>232</v>
      </c>
      <c r="I14" s="46">
        <f>'Podaci Za Obračun Originali'!J4</f>
        <v>1341.0707</v>
      </c>
      <c r="J14" s="62">
        <f>I14/Kalkulacija!S2</f>
        <v>11.452432638310082</v>
      </c>
    </row>
    <row r="15" spans="1:19" x14ac:dyDescent="0.35">
      <c r="A15" t="s">
        <v>33</v>
      </c>
      <c r="B15" s="1">
        <f>GETPIVOTDATA("Sum of Vrednost za Isplatu",'Pivoti za obračun'!$BM$32)</f>
        <v>89864.5</v>
      </c>
      <c r="C15" s="1">
        <f>GETPIVOTDATA("Sum of Vrednost za Isplatu",'Pivoti za obračun'!$BM$32)</f>
        <v>89864.5</v>
      </c>
      <c r="D15" s="1">
        <f>GETPIVOTDATA("Zbir od Isplata",'Pivoti za obračun'!$BM$32)</f>
        <v>170049</v>
      </c>
      <c r="E15" s="1">
        <f>Table_ObracunOtkupa_1[[#This Row],[Vrednost  Robe]]-Table_ObracunOtkupa_1[[#This Row],[Isplata]]</f>
        <v>-80184.5</v>
      </c>
      <c r="F15" s="1">
        <f>Table_ObracunOtkupa_1[[#This Row],[Vrednost sa Maržom]]-Table_ObracunOtkupa_1[[#This Row],[Isplata]]</f>
        <v>-80184.5</v>
      </c>
      <c r="H15" t="s">
        <v>233</v>
      </c>
      <c r="I15" s="46">
        <f>'Podaci Za Obračun Originali'!D1</f>
        <v>10185.788061033576</v>
      </c>
      <c r="J15" s="62">
        <f>I15/Kalkulacija!S2</f>
        <v>86.984266852664888</v>
      </c>
    </row>
    <row r="16" spans="1:19" x14ac:dyDescent="0.35">
      <c r="A16" t="s">
        <v>241</v>
      </c>
      <c r="B16" s="1">
        <f>GETPIVOTDATA("Sum of Vrednost za Isplatu",'Pivoti za obračun'!$BM$43)</f>
        <v>0</v>
      </c>
      <c r="C16" s="1">
        <f>GETPIVOTDATA("Sum of Vrednost za Isplatu",'Pivoti za obračun'!$BM$43)</f>
        <v>0</v>
      </c>
      <c r="D16" s="1">
        <f>GETPIVOTDATA("Zbir od Isplata",'Pivoti za obračun'!$BM$43)</f>
        <v>5900000</v>
      </c>
      <c r="E16" s="1">
        <f>Table_ObracunOtkupa_1[[#This Row],[Vrednost  Robe]]-Table_ObracunOtkupa_1[[#This Row],[Isplata]]</f>
        <v>-5900000</v>
      </c>
      <c r="F16" s="1">
        <f>Table_ObracunOtkupa_1[[#This Row],[Vrednost sa Maržom]]-Table_ObracunOtkupa_1[[#This Row],[Isplata]]</f>
        <v>-5900000</v>
      </c>
      <c r="H16" t="s">
        <v>234</v>
      </c>
      <c r="I16" s="46">
        <v>0</v>
      </c>
      <c r="J16" s="62">
        <f>I16/Kalkulacija!S2</f>
        <v>0</v>
      </c>
    </row>
    <row r="17" spans="1:10" x14ac:dyDescent="0.35">
      <c r="A17" t="s">
        <v>445</v>
      </c>
      <c r="B17" s="1">
        <f>GETPIVOTDATA("Sum of Vrednost za Isplatu",'Pivoti za obračun'!$BM$66)</f>
        <v>0</v>
      </c>
      <c r="C17" s="1">
        <f>GETPIVOTDATA("Sum of Vrednost za Isplatu",'Pivoti za obračun'!$BM$66)</f>
        <v>0</v>
      </c>
      <c r="D17" s="1">
        <f>GETPIVOTDATA("Zbir od Isplata",'Pivoti za obračun'!$BM$66)</f>
        <v>0</v>
      </c>
      <c r="E17" s="1">
        <f>Table_ObracunOtkupa_1[[#This Row],[Vrednost  Robe]]-Table_ObracunOtkupa_1[[#This Row],[Isplata]]</f>
        <v>0</v>
      </c>
      <c r="F17" s="1">
        <f>Table_ObracunOtkupa_1[[#This Row],[Vrednost sa Maržom]]-Table_ObracunOtkupa_1[[#This Row],[Isplata]]</f>
        <v>0</v>
      </c>
      <c r="H17" t="s">
        <v>235</v>
      </c>
      <c r="I17" s="46">
        <f>(I15+I16)-(I13+I14)</f>
        <v>8788.7173610335758</v>
      </c>
      <c r="J17" s="62">
        <f>I17/Kalkulacija!S2</f>
        <v>75.053607206826143</v>
      </c>
    </row>
    <row r="18" spans="1:10" x14ac:dyDescent="0.35">
      <c r="A18" s="73" t="s">
        <v>242</v>
      </c>
      <c r="B18" s="74">
        <f>SUBTOTAL(109,Table_ObracunOtkupa_1[Vrednost  Robe])</f>
        <v>77149503.399999976</v>
      </c>
      <c r="C18" s="74">
        <f>SUBTOTAL(109,Table_ObracunOtkupa_1[Vrednost sa Maržom])</f>
        <v>79073684.605121791</v>
      </c>
      <c r="D18" s="74">
        <f>SUBTOTAL(109,Table_ObracunOtkupa_1[Isplata])</f>
        <v>70070049</v>
      </c>
      <c r="E18" s="74">
        <f>SUBTOTAL(109,Table_ObracunOtkupa_1[Stanje roba])</f>
        <v>7079454.3999999762</v>
      </c>
      <c r="F18" s="74">
        <f>SUBTOTAL(109,Table_ObracunOtkupa_1[Stanje ukupno])</f>
        <v>9003635.6051217914</v>
      </c>
      <c r="H18" t="s">
        <v>236</v>
      </c>
      <c r="I18" s="71">
        <f>I17/(I13+I14)</f>
        <v>6.2908178956394805</v>
      </c>
      <c r="J18" s="62"/>
    </row>
    <row r="19" spans="1:10" x14ac:dyDescent="0.35">
      <c r="H19" t="s">
        <v>237</v>
      </c>
      <c r="I19" s="46">
        <f>I17/GETPIVOTDATA("Zbir od Količina",'Pivoti za obračun'!$AQ$8)</f>
        <v>204.38877583799012</v>
      </c>
      <c r="J19" s="62">
        <f>I19/Kalkulacija!S2</f>
        <v>1.7454327257401427</v>
      </c>
    </row>
    <row r="20" spans="1:10" x14ac:dyDescent="0.35">
      <c r="A20" t="s">
        <v>404</v>
      </c>
      <c r="I20" s="46"/>
      <c r="J20" s="45"/>
    </row>
    <row r="21" spans="1:10" x14ac:dyDescent="0.35">
      <c r="H21" s="100" t="s">
        <v>405</v>
      </c>
      <c r="I21" s="100"/>
      <c r="J21" s="100"/>
    </row>
    <row r="22" spans="1:10" x14ac:dyDescent="0.35">
      <c r="D22" s="17"/>
      <c r="H22" t="s">
        <v>225</v>
      </c>
      <c r="I22" t="s">
        <v>226</v>
      </c>
      <c r="J22" s="63" t="s">
        <v>227</v>
      </c>
    </row>
    <row r="23" spans="1:10" x14ac:dyDescent="0.35">
      <c r="H23" t="s">
        <v>231</v>
      </c>
      <c r="I23" s="46">
        <f>GETPIVOTDATA("Zbir od Iznos Din",'Pivoti za obračun'!$BE$7)</f>
        <v>77149498.399999976</v>
      </c>
      <c r="J23" s="62">
        <f>I23/Kalkulacija!S2</f>
        <v>658838.8170030195</v>
      </c>
    </row>
    <row r="24" spans="1:10" x14ac:dyDescent="0.35">
      <c r="D24" s="1"/>
      <c r="H24" t="s">
        <v>232</v>
      </c>
      <c r="I24" s="46">
        <f>'Podaci Obračun Sveža'!J4</f>
        <v>8435477.3905999996</v>
      </c>
      <c r="J24" s="62">
        <f>I24/Kalkulacija!S2</f>
        <v>72037.019813969688</v>
      </c>
    </row>
    <row r="25" spans="1:10" x14ac:dyDescent="0.35">
      <c r="D25" s="1"/>
      <c r="H25" t="s">
        <v>233</v>
      </c>
      <c r="I25" s="46">
        <f>'Podaci Obračun Sveža'!D1</f>
        <v>96162732.655220836</v>
      </c>
      <c r="J25" s="62">
        <f>I25/Kalkulacija!S2</f>
        <v>821207.42631222797</v>
      </c>
    </row>
    <row r="26" spans="1:10" x14ac:dyDescent="0.35">
      <c r="D26" s="1"/>
      <c r="H26" t="s">
        <v>234</v>
      </c>
      <c r="I26" s="46">
        <v>0</v>
      </c>
      <c r="J26" s="62">
        <f>I26/Kalkulacija!S2</f>
        <v>0</v>
      </c>
    </row>
    <row r="27" spans="1:10" x14ac:dyDescent="0.35">
      <c r="D27" s="1"/>
      <c r="H27" t="s">
        <v>235</v>
      </c>
      <c r="I27" s="86">
        <f>(I25+I26)-(I23+I24)</f>
        <v>10577756.864620864</v>
      </c>
      <c r="J27" s="87">
        <f>I27/Kalkulacija!S2</f>
        <v>90331.589495238775</v>
      </c>
    </row>
    <row r="28" spans="1:10" x14ac:dyDescent="0.35">
      <c r="D28" s="1"/>
      <c r="H28" t="s">
        <v>236</v>
      </c>
      <c r="I28" s="71">
        <f>I27/(I23+I24)</f>
        <v>0.12359361870360717</v>
      </c>
      <c r="J28" s="62"/>
    </row>
    <row r="29" spans="1:10" x14ac:dyDescent="0.35">
      <c r="D29" s="1"/>
      <c r="H29" t="s">
        <v>237</v>
      </c>
      <c r="I29" s="46">
        <f>I27/GETPIVOTDATA("Zbir od Količina",'Pivoti za obračun'!$AQ$8)</f>
        <v>245994.34568885731</v>
      </c>
      <c r="J29" s="62">
        <f>I29/Kalkulacija!S2</f>
        <v>2100.7346394241576</v>
      </c>
    </row>
    <row r="31" spans="1:10" x14ac:dyDescent="0.35">
      <c r="I31" t="s">
        <v>404</v>
      </c>
    </row>
    <row r="32" spans="1:10" x14ac:dyDescent="0.35">
      <c r="J32" t="s">
        <v>403</v>
      </c>
    </row>
    <row r="33" spans="8:13" x14ac:dyDescent="0.35">
      <c r="H33" t="s">
        <v>404</v>
      </c>
      <c r="I33" t="s">
        <v>404</v>
      </c>
      <c r="J33" t="s">
        <v>404</v>
      </c>
    </row>
    <row r="36" spans="8:13" x14ac:dyDescent="0.35">
      <c r="H36" t="s">
        <v>404</v>
      </c>
    </row>
    <row r="38" spans="8:13" x14ac:dyDescent="0.35">
      <c r="M38" t="s">
        <v>404</v>
      </c>
    </row>
  </sheetData>
  <sheetProtection selectLockedCells="1" selectUnlockedCells="1"/>
  <mergeCells count="6">
    <mergeCell ref="H21:J21"/>
    <mergeCell ref="M1:Q1"/>
    <mergeCell ref="A2:E2"/>
    <mergeCell ref="A12:F12"/>
    <mergeCell ref="H1:J1"/>
    <mergeCell ref="H11:J11"/>
  </mergeCells>
  <hyperlinks>
    <hyperlink ref="A1" location="Sadržaj!A1" display="Sadržaj" xr:uid="{00000000-0004-0000-0A00-000000000000}"/>
  </hyperlinks>
  <pageMargins left="0.7" right="0.7" top="0.75" bottom="0.75" header="0.3" footer="0.3"/>
  <pageSetup paperSize="9" orientation="portrait" verticalDpi="0" r:id="rId1"/>
  <ignoredErrors>
    <ignoredError sqref="D5:D10" calculatedColumn="1"/>
  </ignoredErrors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Q61"/>
  <sheetViews>
    <sheetView workbookViewId="0">
      <selection activeCell="I34" sqref="I34"/>
    </sheetView>
  </sheetViews>
  <sheetFormatPr defaultRowHeight="14.5" x14ac:dyDescent="0.35"/>
  <cols>
    <col min="2" max="2" width="30.26953125" bestFit="1" customWidth="1"/>
    <col min="3" max="3" width="17.81640625" bestFit="1" customWidth="1"/>
    <col min="4" max="4" width="25.1796875" bestFit="1" customWidth="1"/>
    <col min="5" max="5" width="27.81640625" bestFit="1" customWidth="1"/>
    <col min="6" max="6" width="17.1796875" bestFit="1" customWidth="1"/>
    <col min="7" max="7" width="17.81640625" bestFit="1" customWidth="1"/>
    <col min="8" max="8" width="17" bestFit="1" customWidth="1"/>
    <col min="9" max="9" width="17.81640625" bestFit="1" customWidth="1"/>
    <col min="10" max="10" width="32.26953125" bestFit="1" customWidth="1"/>
    <col min="11" max="11" width="17.81640625" bestFit="1" customWidth="1"/>
    <col min="12" max="12" width="13.54296875" bestFit="1" customWidth="1"/>
    <col min="13" max="13" width="19.7265625" bestFit="1" customWidth="1"/>
    <col min="14" max="14" width="9.1796875" bestFit="1" customWidth="1"/>
    <col min="15" max="15" width="17.81640625" bestFit="1" customWidth="1"/>
    <col min="16" max="16" width="17" bestFit="1" customWidth="1"/>
    <col min="17" max="17" width="16.26953125" bestFit="1" customWidth="1"/>
  </cols>
  <sheetData>
    <row r="1" spans="1:17" x14ac:dyDescent="0.35">
      <c r="A1" s="9" t="s">
        <v>258</v>
      </c>
      <c r="G1" t="s">
        <v>414</v>
      </c>
    </row>
    <row r="2" spans="1:17" x14ac:dyDescent="0.35">
      <c r="B2" s="5" t="s">
        <v>1</v>
      </c>
      <c r="C2" t="s">
        <v>460</v>
      </c>
    </row>
    <row r="3" spans="1:17" x14ac:dyDescent="0.35">
      <c r="B3" s="5" t="s">
        <v>13</v>
      </c>
      <c r="C3" t="s">
        <v>459</v>
      </c>
      <c r="E3" s="84" t="s">
        <v>402</v>
      </c>
    </row>
    <row r="4" spans="1:17" x14ac:dyDescent="0.35">
      <c r="B4" s="5" t="s">
        <v>2</v>
      </c>
      <c r="C4" t="s">
        <v>459</v>
      </c>
      <c r="E4" s="85">
        <f>GETPIVOTDATA("Sum of Ugovorena Količina",$B$8)-GETPIVOTDATA("Količina robe",$B$8)</f>
        <v>-28</v>
      </c>
      <c r="J4" t="s">
        <v>417</v>
      </c>
    </row>
    <row r="5" spans="1:17" x14ac:dyDescent="0.35">
      <c r="B5" s="5" t="s">
        <v>7</v>
      </c>
      <c r="C5" t="s">
        <v>459</v>
      </c>
    </row>
    <row r="6" spans="1:17" x14ac:dyDescent="0.35">
      <c r="B6" s="5" t="s">
        <v>5</v>
      </c>
      <c r="C6" t="s">
        <v>459</v>
      </c>
      <c r="F6" s="5" t="s">
        <v>1</v>
      </c>
      <c r="G6" t="s">
        <v>392</v>
      </c>
      <c r="J6" s="5" t="s">
        <v>1</v>
      </c>
      <c r="K6" t="s">
        <v>460</v>
      </c>
    </row>
    <row r="7" spans="1:17" x14ac:dyDescent="0.35">
      <c r="J7" s="5" t="s">
        <v>7</v>
      </c>
      <c r="K7" t="s">
        <v>459</v>
      </c>
    </row>
    <row r="8" spans="1:17" x14ac:dyDescent="0.35">
      <c r="B8" s="5" t="s">
        <v>456</v>
      </c>
      <c r="C8" t="s">
        <v>137</v>
      </c>
      <c r="D8" t="s">
        <v>394</v>
      </c>
      <c r="F8" s="11" t="s">
        <v>456</v>
      </c>
      <c r="G8" t="s">
        <v>415</v>
      </c>
      <c r="H8" t="s">
        <v>416</v>
      </c>
      <c r="J8" s="5" t="s">
        <v>5</v>
      </c>
      <c r="K8" t="s">
        <v>459</v>
      </c>
    </row>
    <row r="9" spans="1:17" x14ac:dyDescent="0.35">
      <c r="B9" s="6" t="s">
        <v>75</v>
      </c>
      <c r="C9" s="1">
        <v>1</v>
      </c>
      <c r="D9" s="1">
        <v>0</v>
      </c>
      <c r="F9" s="10">
        <v>43466</v>
      </c>
      <c r="G9" s="1">
        <v>1</v>
      </c>
      <c r="H9" s="1">
        <v>1</v>
      </c>
      <c r="J9" s="5" t="s">
        <v>4</v>
      </c>
      <c r="K9" t="s">
        <v>459</v>
      </c>
    </row>
    <row r="10" spans="1:17" x14ac:dyDescent="0.35">
      <c r="B10" s="7" t="s">
        <v>407</v>
      </c>
      <c r="C10" s="1">
        <v>1</v>
      </c>
      <c r="D10" s="1">
        <v>0</v>
      </c>
      <c r="F10" s="7">
        <v>113</v>
      </c>
      <c r="G10" s="1"/>
      <c r="H10" s="1"/>
    </row>
    <row r="11" spans="1:17" x14ac:dyDescent="0.35">
      <c r="B11" s="6" t="s">
        <v>76</v>
      </c>
      <c r="C11" s="1">
        <v>3</v>
      </c>
      <c r="D11" s="1">
        <v>0</v>
      </c>
      <c r="F11" s="13" t="s">
        <v>395</v>
      </c>
      <c r="G11" s="1">
        <v>1</v>
      </c>
      <c r="H11" s="1">
        <v>1</v>
      </c>
      <c r="J11" s="11" t="s">
        <v>456</v>
      </c>
      <c r="K11" t="s">
        <v>137</v>
      </c>
      <c r="L11" t="s">
        <v>139</v>
      </c>
      <c r="M11" t="s">
        <v>418</v>
      </c>
      <c r="N11" t="s">
        <v>138</v>
      </c>
      <c r="O11" t="s">
        <v>415</v>
      </c>
      <c r="P11" t="s">
        <v>416</v>
      </c>
      <c r="Q11" t="s">
        <v>420</v>
      </c>
    </row>
    <row r="12" spans="1:17" x14ac:dyDescent="0.35">
      <c r="B12" s="7" t="s">
        <v>69</v>
      </c>
      <c r="C12" s="1">
        <v>2</v>
      </c>
      <c r="D12" s="1">
        <v>0</v>
      </c>
      <c r="F12" s="10">
        <v>44691</v>
      </c>
      <c r="G12" s="1">
        <v>1</v>
      </c>
      <c r="H12" s="1">
        <v>117</v>
      </c>
      <c r="J12" s="10">
        <v>43466</v>
      </c>
      <c r="K12" s="1">
        <v>11</v>
      </c>
      <c r="L12" s="1">
        <v>1</v>
      </c>
      <c r="M12" s="1">
        <v>0.94545454545454544</v>
      </c>
      <c r="N12" s="1">
        <v>11</v>
      </c>
      <c r="O12" s="1"/>
      <c r="P12" s="89"/>
      <c r="Q12" s="1">
        <v>10.8</v>
      </c>
    </row>
    <row r="13" spans="1:17" x14ac:dyDescent="0.35">
      <c r="B13" s="7" t="s">
        <v>407</v>
      </c>
      <c r="C13" s="1">
        <v>1</v>
      </c>
      <c r="D13" s="1">
        <v>0</v>
      </c>
      <c r="F13" s="7">
        <v>135</v>
      </c>
      <c r="G13" s="1"/>
      <c r="H13" s="1"/>
      <c r="J13" s="7" t="s">
        <v>76</v>
      </c>
      <c r="K13" s="1">
        <v>2</v>
      </c>
      <c r="L13" s="1">
        <v>1</v>
      </c>
      <c r="M13" s="1">
        <v>0.7</v>
      </c>
      <c r="N13" s="1">
        <v>2</v>
      </c>
      <c r="O13" s="1"/>
      <c r="P13" s="89"/>
      <c r="Q13" s="1">
        <v>1.4</v>
      </c>
    </row>
    <row r="14" spans="1:17" x14ac:dyDescent="0.35">
      <c r="B14" s="6" t="s">
        <v>73</v>
      </c>
      <c r="C14" s="1">
        <v>3</v>
      </c>
      <c r="D14" s="1">
        <v>1</v>
      </c>
      <c r="F14" s="13" t="s">
        <v>399</v>
      </c>
      <c r="G14" s="1">
        <v>1</v>
      </c>
      <c r="H14" s="1">
        <v>117</v>
      </c>
      <c r="J14" s="13" t="s">
        <v>69</v>
      </c>
      <c r="K14" s="1">
        <v>2</v>
      </c>
      <c r="L14" s="1">
        <v>1</v>
      </c>
      <c r="M14" s="1">
        <v>0.7</v>
      </c>
      <c r="N14" s="1">
        <v>2</v>
      </c>
      <c r="O14" s="1"/>
      <c r="P14" s="89"/>
      <c r="Q14" s="1">
        <v>1.4</v>
      </c>
    </row>
    <row r="15" spans="1:17" x14ac:dyDescent="0.35">
      <c r="B15" s="7" t="s">
        <v>69</v>
      </c>
      <c r="C15" s="1">
        <v>2</v>
      </c>
      <c r="D15" s="1">
        <v>0</v>
      </c>
      <c r="F15" s="10" t="s">
        <v>458</v>
      </c>
      <c r="G15" s="1">
        <v>2</v>
      </c>
      <c r="H15" s="1">
        <v>118</v>
      </c>
      <c r="J15" s="7" t="s">
        <v>73</v>
      </c>
      <c r="K15" s="1">
        <v>2</v>
      </c>
      <c r="L15" s="1">
        <v>1</v>
      </c>
      <c r="M15" s="1">
        <v>1</v>
      </c>
      <c r="N15" s="1">
        <v>2</v>
      </c>
      <c r="O15" s="1"/>
      <c r="P15" s="89"/>
      <c r="Q15" s="1">
        <v>2.4</v>
      </c>
    </row>
    <row r="16" spans="1:17" x14ac:dyDescent="0.35">
      <c r="B16" s="7" t="s">
        <v>407</v>
      </c>
      <c r="C16" s="1">
        <v>1</v>
      </c>
      <c r="D16" s="1">
        <v>1</v>
      </c>
      <c r="J16" s="13" t="s">
        <v>69</v>
      </c>
      <c r="K16" s="1">
        <v>2</v>
      </c>
      <c r="L16" s="1">
        <v>1</v>
      </c>
      <c r="M16" s="1">
        <v>1</v>
      </c>
      <c r="N16" s="1">
        <v>2</v>
      </c>
      <c r="O16" s="1"/>
      <c r="P16" s="89"/>
      <c r="Q16" s="1">
        <v>2.4</v>
      </c>
    </row>
    <row r="17" spans="2:17" x14ac:dyDescent="0.35">
      <c r="B17" s="6" t="s">
        <v>66</v>
      </c>
      <c r="C17" s="1">
        <v>1</v>
      </c>
      <c r="D17" s="1">
        <v>0</v>
      </c>
      <c r="J17" s="7" t="s">
        <v>77</v>
      </c>
      <c r="K17" s="1">
        <v>2</v>
      </c>
      <c r="L17" s="1">
        <v>1</v>
      </c>
      <c r="M17" s="1">
        <v>1</v>
      </c>
      <c r="N17" s="1">
        <v>2</v>
      </c>
      <c r="O17" s="1"/>
      <c r="P17" s="89"/>
      <c r="Q17" s="1">
        <v>2</v>
      </c>
    </row>
    <row r="18" spans="2:17" x14ac:dyDescent="0.35">
      <c r="B18" s="7" t="s">
        <v>407</v>
      </c>
      <c r="C18" s="1">
        <v>1</v>
      </c>
      <c r="D18" s="1">
        <v>0</v>
      </c>
      <c r="J18" s="13" t="s">
        <v>69</v>
      </c>
      <c r="K18" s="1">
        <v>2</v>
      </c>
      <c r="L18" s="1">
        <v>1</v>
      </c>
      <c r="M18" s="1">
        <v>1</v>
      </c>
      <c r="N18" s="1">
        <v>2</v>
      </c>
      <c r="O18" s="1"/>
      <c r="P18" s="89"/>
      <c r="Q18" s="1">
        <v>2</v>
      </c>
    </row>
    <row r="19" spans="2:17" x14ac:dyDescent="0.35">
      <c r="B19" s="6" t="s">
        <v>80</v>
      </c>
      <c r="C19" s="1">
        <v>1</v>
      </c>
      <c r="D19" s="1">
        <v>0</v>
      </c>
      <c r="J19" s="7" t="s">
        <v>79</v>
      </c>
      <c r="K19" s="1">
        <v>1</v>
      </c>
      <c r="L19" s="1">
        <v>1</v>
      </c>
      <c r="M19" s="1">
        <v>1</v>
      </c>
      <c r="N19" s="1">
        <v>1</v>
      </c>
      <c r="O19" s="1"/>
      <c r="P19" s="89"/>
      <c r="Q19" s="1">
        <v>1</v>
      </c>
    </row>
    <row r="20" spans="2:17" x14ac:dyDescent="0.35">
      <c r="B20" s="7" t="s">
        <v>407</v>
      </c>
      <c r="C20" s="1">
        <v>1</v>
      </c>
      <c r="D20" s="1">
        <v>0</v>
      </c>
      <c r="J20" s="13" t="s">
        <v>69</v>
      </c>
      <c r="K20" s="1">
        <v>1</v>
      </c>
      <c r="L20" s="1">
        <v>1</v>
      </c>
      <c r="M20" s="1">
        <v>1</v>
      </c>
      <c r="N20" s="1">
        <v>1</v>
      </c>
      <c r="O20" s="1"/>
      <c r="P20" s="89"/>
      <c r="Q20" s="1">
        <v>1</v>
      </c>
    </row>
    <row r="21" spans="2:17" x14ac:dyDescent="0.35">
      <c r="B21" s="6" t="s">
        <v>49</v>
      </c>
      <c r="C21" s="1">
        <v>1</v>
      </c>
      <c r="D21" s="1">
        <v>0</v>
      </c>
      <c r="J21" s="7" t="s">
        <v>78</v>
      </c>
      <c r="K21" s="1">
        <v>1</v>
      </c>
      <c r="L21" s="1">
        <v>1</v>
      </c>
      <c r="M21" s="1">
        <v>1</v>
      </c>
      <c r="N21" s="1">
        <v>1</v>
      </c>
      <c r="O21" s="1"/>
      <c r="P21" s="89"/>
      <c r="Q21" s="1">
        <v>1</v>
      </c>
    </row>
    <row r="22" spans="2:17" x14ac:dyDescent="0.35">
      <c r="B22" s="7" t="s">
        <v>407</v>
      </c>
      <c r="C22" s="1">
        <v>1</v>
      </c>
      <c r="D22" s="1">
        <v>0</v>
      </c>
      <c r="J22" s="13" t="s">
        <v>69</v>
      </c>
      <c r="K22" s="1">
        <v>1</v>
      </c>
      <c r="L22" s="1">
        <v>1</v>
      </c>
      <c r="M22" s="1">
        <v>1</v>
      </c>
      <c r="N22" s="1">
        <v>1</v>
      </c>
      <c r="O22" s="1"/>
      <c r="P22" s="89"/>
      <c r="Q22" s="1">
        <v>1</v>
      </c>
    </row>
    <row r="23" spans="2:17" x14ac:dyDescent="0.35">
      <c r="B23" s="6" t="s">
        <v>71</v>
      </c>
      <c r="C23" s="1">
        <v>1</v>
      </c>
      <c r="D23" s="1">
        <v>0</v>
      </c>
      <c r="J23" s="7" t="s">
        <v>43</v>
      </c>
      <c r="K23" s="1">
        <v>1</v>
      </c>
      <c r="L23" s="1">
        <v>1</v>
      </c>
      <c r="M23" s="1">
        <v>1</v>
      </c>
      <c r="N23" s="1">
        <v>1</v>
      </c>
      <c r="O23" s="1"/>
      <c r="P23" s="89"/>
      <c r="Q23" s="1">
        <v>1</v>
      </c>
    </row>
    <row r="24" spans="2:17" x14ac:dyDescent="0.35">
      <c r="B24" s="7" t="s">
        <v>407</v>
      </c>
      <c r="C24" s="1">
        <v>1</v>
      </c>
      <c r="D24" s="1">
        <v>0</v>
      </c>
      <c r="J24" s="13" t="s">
        <v>69</v>
      </c>
      <c r="K24" s="1">
        <v>1</v>
      </c>
      <c r="L24" s="1">
        <v>1</v>
      </c>
      <c r="M24" s="1">
        <v>1</v>
      </c>
      <c r="N24" s="1">
        <v>1</v>
      </c>
      <c r="O24" s="1"/>
      <c r="P24" s="89"/>
      <c r="Q24" s="1">
        <v>1</v>
      </c>
    </row>
    <row r="25" spans="2:17" x14ac:dyDescent="0.35">
      <c r="B25" s="6" t="s">
        <v>77</v>
      </c>
      <c r="C25" s="1">
        <v>3</v>
      </c>
      <c r="D25" s="1">
        <v>1</v>
      </c>
      <c r="J25" s="7" t="s">
        <v>30</v>
      </c>
      <c r="K25" s="1">
        <v>2</v>
      </c>
      <c r="L25" s="1">
        <v>1</v>
      </c>
      <c r="M25" s="1">
        <v>1</v>
      </c>
      <c r="N25" s="1">
        <v>2</v>
      </c>
      <c r="O25" s="1"/>
      <c r="P25" s="89"/>
      <c r="Q25" s="1">
        <v>2</v>
      </c>
    </row>
    <row r="26" spans="2:17" x14ac:dyDescent="0.35">
      <c r="B26" s="7" t="s">
        <v>69</v>
      </c>
      <c r="C26" s="1">
        <v>2</v>
      </c>
      <c r="D26" s="1">
        <v>0</v>
      </c>
      <c r="J26" s="13" t="s">
        <v>69</v>
      </c>
      <c r="K26" s="1">
        <v>2</v>
      </c>
      <c r="L26" s="1">
        <v>1</v>
      </c>
      <c r="M26" s="1">
        <v>1</v>
      </c>
      <c r="N26" s="1">
        <v>2</v>
      </c>
      <c r="O26" s="1"/>
      <c r="P26" s="89"/>
      <c r="Q26" s="1">
        <v>2</v>
      </c>
    </row>
    <row r="27" spans="2:17" x14ac:dyDescent="0.35">
      <c r="B27" s="7" t="s">
        <v>407</v>
      </c>
      <c r="C27" s="1">
        <v>1</v>
      </c>
      <c r="D27" s="1">
        <v>1</v>
      </c>
      <c r="J27" s="10" t="s">
        <v>458</v>
      </c>
      <c r="K27" s="1">
        <v>11</v>
      </c>
      <c r="L27" s="1">
        <v>1</v>
      </c>
      <c r="M27" s="1">
        <v>0.94545454545454544</v>
      </c>
      <c r="N27" s="1">
        <v>11</v>
      </c>
      <c r="O27" s="1"/>
      <c r="P27" s="89"/>
      <c r="Q27" s="1">
        <v>10.8</v>
      </c>
    </row>
    <row r="28" spans="2:17" x14ac:dyDescent="0.35">
      <c r="B28" s="6" t="s">
        <v>56</v>
      </c>
      <c r="C28" s="1">
        <v>1</v>
      </c>
      <c r="D28" s="1">
        <v>0</v>
      </c>
    </row>
    <row r="29" spans="2:17" x14ac:dyDescent="0.35">
      <c r="B29" s="7" t="s">
        <v>407</v>
      </c>
      <c r="C29" s="1">
        <v>1</v>
      </c>
      <c r="D29" s="1">
        <v>0</v>
      </c>
    </row>
    <row r="30" spans="2:17" x14ac:dyDescent="0.35">
      <c r="B30" s="6" t="s">
        <v>37</v>
      </c>
      <c r="C30" s="1">
        <v>1</v>
      </c>
      <c r="D30" s="1">
        <v>0</v>
      </c>
    </row>
    <row r="31" spans="2:17" x14ac:dyDescent="0.35">
      <c r="B31" s="7" t="s">
        <v>407</v>
      </c>
      <c r="C31" s="1">
        <v>1</v>
      </c>
      <c r="D31" s="1">
        <v>0</v>
      </c>
    </row>
    <row r="32" spans="2:17" x14ac:dyDescent="0.35">
      <c r="B32" s="6" t="s">
        <v>48</v>
      </c>
      <c r="C32" s="1">
        <v>1</v>
      </c>
      <c r="D32" s="1">
        <v>0</v>
      </c>
    </row>
    <row r="33" spans="2:4" x14ac:dyDescent="0.35">
      <c r="B33" s="7" t="s">
        <v>407</v>
      </c>
      <c r="C33" s="1">
        <v>1</v>
      </c>
      <c r="D33" s="1">
        <v>0</v>
      </c>
    </row>
    <row r="34" spans="2:4" x14ac:dyDescent="0.35">
      <c r="B34" s="6" t="s">
        <v>104</v>
      </c>
      <c r="C34" s="1">
        <v>2</v>
      </c>
      <c r="D34" s="1">
        <v>1</v>
      </c>
    </row>
    <row r="35" spans="2:4" x14ac:dyDescent="0.35">
      <c r="B35" s="7" t="s">
        <v>399</v>
      </c>
      <c r="C35" s="1">
        <v>1</v>
      </c>
      <c r="D35" s="1">
        <v>0</v>
      </c>
    </row>
    <row r="36" spans="2:4" x14ac:dyDescent="0.35">
      <c r="B36" s="7" t="s">
        <v>407</v>
      </c>
      <c r="C36" s="1">
        <v>1</v>
      </c>
      <c r="D36" s="1">
        <v>1</v>
      </c>
    </row>
    <row r="37" spans="2:4" x14ac:dyDescent="0.35">
      <c r="B37" s="6" t="s">
        <v>81</v>
      </c>
      <c r="C37" s="1">
        <v>1</v>
      </c>
      <c r="D37" s="1">
        <v>0</v>
      </c>
    </row>
    <row r="38" spans="2:4" x14ac:dyDescent="0.35">
      <c r="B38" s="7" t="s">
        <v>407</v>
      </c>
      <c r="C38" s="1">
        <v>1</v>
      </c>
      <c r="D38" s="1">
        <v>0</v>
      </c>
    </row>
    <row r="39" spans="2:4" x14ac:dyDescent="0.35">
      <c r="B39" s="6" t="s">
        <v>39</v>
      </c>
      <c r="C39" s="1">
        <v>1</v>
      </c>
      <c r="D39" s="1">
        <v>0</v>
      </c>
    </row>
    <row r="40" spans="2:4" x14ac:dyDescent="0.35">
      <c r="B40" s="7" t="s">
        <v>407</v>
      </c>
      <c r="C40" s="1">
        <v>1</v>
      </c>
      <c r="D40" s="1">
        <v>0</v>
      </c>
    </row>
    <row r="41" spans="2:4" x14ac:dyDescent="0.35">
      <c r="B41" s="6" t="s">
        <v>79</v>
      </c>
      <c r="C41" s="1">
        <v>2</v>
      </c>
      <c r="D41" s="1">
        <v>0</v>
      </c>
    </row>
    <row r="42" spans="2:4" x14ac:dyDescent="0.35">
      <c r="B42" s="7" t="s">
        <v>69</v>
      </c>
      <c r="C42" s="1">
        <v>1</v>
      </c>
      <c r="D42" s="1">
        <v>0</v>
      </c>
    </row>
    <row r="43" spans="2:4" x14ac:dyDescent="0.35">
      <c r="B43" s="7" t="s">
        <v>407</v>
      </c>
      <c r="C43" s="1">
        <v>1</v>
      </c>
      <c r="D43" s="1">
        <v>0</v>
      </c>
    </row>
    <row r="44" spans="2:4" x14ac:dyDescent="0.35">
      <c r="B44" s="6" t="s">
        <v>78</v>
      </c>
      <c r="C44" s="1">
        <v>2</v>
      </c>
      <c r="D44" s="1">
        <v>0</v>
      </c>
    </row>
    <row r="45" spans="2:4" x14ac:dyDescent="0.35">
      <c r="B45" s="7" t="s">
        <v>69</v>
      </c>
      <c r="C45" s="1">
        <v>1</v>
      </c>
      <c r="D45" s="1">
        <v>0</v>
      </c>
    </row>
    <row r="46" spans="2:4" x14ac:dyDescent="0.35">
      <c r="B46" s="7" t="s">
        <v>407</v>
      </c>
      <c r="C46" s="1">
        <v>1</v>
      </c>
      <c r="D46" s="1">
        <v>0</v>
      </c>
    </row>
    <row r="47" spans="2:4" x14ac:dyDescent="0.35">
      <c r="B47" s="6" t="s">
        <v>43</v>
      </c>
      <c r="C47" s="1">
        <v>2</v>
      </c>
      <c r="D47" s="1">
        <v>1</v>
      </c>
    </row>
    <row r="48" spans="2:4" x14ac:dyDescent="0.35">
      <c r="B48" s="7" t="s">
        <v>69</v>
      </c>
      <c r="C48" s="1">
        <v>1</v>
      </c>
      <c r="D48" s="1">
        <v>0</v>
      </c>
    </row>
    <row r="49" spans="2:4" x14ac:dyDescent="0.35">
      <c r="B49" s="7" t="s">
        <v>407</v>
      </c>
      <c r="C49" s="1">
        <v>1</v>
      </c>
      <c r="D49" s="1">
        <v>1</v>
      </c>
    </row>
    <row r="50" spans="2:4" x14ac:dyDescent="0.35">
      <c r="B50" s="6" t="s">
        <v>30</v>
      </c>
      <c r="C50" s="1">
        <v>3</v>
      </c>
      <c r="D50" s="1">
        <v>1</v>
      </c>
    </row>
    <row r="51" spans="2:4" x14ac:dyDescent="0.35">
      <c r="B51" s="7" t="s">
        <v>69</v>
      </c>
      <c r="C51" s="1">
        <v>2</v>
      </c>
      <c r="D51" s="1">
        <v>0</v>
      </c>
    </row>
    <row r="52" spans="2:4" x14ac:dyDescent="0.35">
      <c r="B52" s="7" t="s">
        <v>407</v>
      </c>
      <c r="C52" s="1">
        <v>1</v>
      </c>
      <c r="D52" s="1">
        <v>1</v>
      </c>
    </row>
    <row r="53" spans="2:4" x14ac:dyDescent="0.35">
      <c r="B53" s="6" t="s">
        <v>50</v>
      </c>
      <c r="C53" s="1">
        <v>1</v>
      </c>
      <c r="D53" s="1">
        <v>0</v>
      </c>
    </row>
    <row r="54" spans="2:4" x14ac:dyDescent="0.35">
      <c r="B54" s="7" t="s">
        <v>407</v>
      </c>
      <c r="C54" s="1">
        <v>1</v>
      </c>
      <c r="D54" s="1">
        <v>0</v>
      </c>
    </row>
    <row r="55" spans="2:4" x14ac:dyDescent="0.35">
      <c r="B55" s="6" t="s">
        <v>72</v>
      </c>
      <c r="C55" s="1">
        <v>1</v>
      </c>
      <c r="D55" s="1">
        <v>1</v>
      </c>
    </row>
    <row r="56" spans="2:4" x14ac:dyDescent="0.35">
      <c r="B56" s="7" t="s">
        <v>407</v>
      </c>
      <c r="C56" s="1">
        <v>1</v>
      </c>
      <c r="D56" s="1">
        <v>1</v>
      </c>
    </row>
    <row r="57" spans="2:4" x14ac:dyDescent="0.35">
      <c r="B57" s="6" t="s">
        <v>105</v>
      </c>
      <c r="C57" s="1">
        <v>1</v>
      </c>
      <c r="D57" s="1">
        <v>0</v>
      </c>
    </row>
    <row r="58" spans="2:4" x14ac:dyDescent="0.35">
      <c r="B58" s="7" t="s">
        <v>407</v>
      </c>
      <c r="C58" s="1">
        <v>1</v>
      </c>
      <c r="D58" s="1">
        <v>0</v>
      </c>
    </row>
    <row r="59" spans="2:4" x14ac:dyDescent="0.35">
      <c r="B59" s="6" t="s">
        <v>408</v>
      </c>
      <c r="C59" s="1">
        <v>1</v>
      </c>
      <c r="D59" s="1">
        <v>0</v>
      </c>
    </row>
    <row r="60" spans="2:4" x14ac:dyDescent="0.35">
      <c r="B60" s="7" t="s">
        <v>399</v>
      </c>
      <c r="C60" s="1">
        <v>1</v>
      </c>
      <c r="D60" s="1">
        <v>0</v>
      </c>
    </row>
    <row r="61" spans="2:4" x14ac:dyDescent="0.35">
      <c r="B61" s="6" t="s">
        <v>458</v>
      </c>
      <c r="C61" s="1">
        <v>34</v>
      </c>
      <c r="D61" s="1">
        <v>6</v>
      </c>
    </row>
  </sheetData>
  <hyperlinks>
    <hyperlink ref="B1" location="Sadržaj!A1" display="Sadržaj" xr:uid="{00000000-0004-0000-0B00-000000000000}"/>
    <hyperlink ref="A1" location="Sadržaj!A1" display="Sadržaj" xr:uid="{00000000-0004-0000-0B00-000001000000}"/>
  </hyperlinks>
  <pageMargins left="0.7" right="0.7" top="0.75" bottom="0.75" header="0.3" footer="0.3"/>
  <pageSetup paperSize="9" orientation="portrait" verticalDpi="0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List3"/>
  <dimension ref="A1:CD78"/>
  <sheetViews>
    <sheetView topLeftCell="BR7" workbookViewId="0">
      <selection activeCell="BT11" sqref="BT11"/>
    </sheetView>
  </sheetViews>
  <sheetFormatPr defaultRowHeight="14.5" x14ac:dyDescent="0.35"/>
  <cols>
    <col min="1" max="1" width="37.453125" customWidth="1"/>
    <col min="3" max="3" width="71.453125" bestFit="1" customWidth="1"/>
    <col min="4" max="5" width="13.81640625" bestFit="1" customWidth="1"/>
    <col min="6" max="6" width="12.26953125" bestFit="1" customWidth="1"/>
    <col min="7" max="7" width="13.1796875" bestFit="1" customWidth="1"/>
    <col min="8" max="8" width="16.453125" bestFit="1" customWidth="1"/>
    <col min="9" max="9" width="15.81640625" bestFit="1" customWidth="1"/>
    <col min="10" max="10" width="13.453125" bestFit="1" customWidth="1"/>
    <col min="12" max="12" width="34.54296875" bestFit="1" customWidth="1"/>
    <col min="13" max="13" width="15.7265625" bestFit="1" customWidth="1"/>
    <col min="14" max="14" width="11.54296875" customWidth="1"/>
    <col min="15" max="15" width="14" customWidth="1"/>
    <col min="17" max="17" width="63.1796875" bestFit="1" customWidth="1"/>
    <col min="18" max="18" width="17.81640625" bestFit="1" customWidth="1"/>
    <col min="19" max="19" width="18.81640625" bestFit="1" customWidth="1"/>
    <col min="20" max="20" width="16.26953125" bestFit="1" customWidth="1"/>
    <col min="21" max="21" width="18.26953125" bestFit="1" customWidth="1"/>
    <col min="22" max="22" width="15.7265625" bestFit="1" customWidth="1"/>
    <col min="23" max="23" width="16.453125" bestFit="1" customWidth="1"/>
    <col min="24" max="24" width="63.1796875" bestFit="1" customWidth="1"/>
    <col min="25" max="25" width="14.7265625" bestFit="1" customWidth="1"/>
    <col min="26" max="26" width="18.26953125" bestFit="1" customWidth="1"/>
    <col min="27" max="27" width="15.7265625" bestFit="1" customWidth="1"/>
    <col min="28" max="28" width="27" bestFit="1" customWidth="1"/>
    <col min="29" max="29" width="27" customWidth="1"/>
    <col min="30" max="30" width="28.453125" bestFit="1" customWidth="1"/>
    <col min="31" max="31" width="14.7265625" bestFit="1" customWidth="1"/>
    <col min="32" max="32" width="18.81640625" bestFit="1" customWidth="1"/>
    <col min="33" max="33" width="16.26953125" bestFit="1" customWidth="1"/>
    <col min="34" max="34" width="18.26953125" bestFit="1" customWidth="1"/>
    <col min="35" max="35" width="15.7265625" bestFit="1" customWidth="1"/>
    <col min="37" max="37" width="63.1796875" bestFit="1" customWidth="1"/>
    <col min="38" max="38" width="14.7265625" bestFit="1" customWidth="1"/>
    <col min="39" max="39" width="15.7265625" bestFit="1" customWidth="1"/>
    <col min="40" max="40" width="18.26953125" bestFit="1" customWidth="1"/>
    <col min="41" max="41" width="15.7265625" bestFit="1" customWidth="1"/>
    <col min="42" max="42" width="15.54296875" customWidth="1"/>
    <col min="43" max="43" width="39" bestFit="1" customWidth="1"/>
    <col min="44" max="44" width="17.81640625" bestFit="1" customWidth="1"/>
    <col min="45" max="45" width="18.26953125" bestFit="1" customWidth="1"/>
    <col min="46" max="46" width="15.7265625" bestFit="1" customWidth="1"/>
    <col min="47" max="47" width="15.54296875" bestFit="1" customWidth="1"/>
    <col min="48" max="48" width="39" bestFit="1" customWidth="1"/>
    <col min="49" max="49" width="18.26953125" bestFit="1" customWidth="1"/>
    <col min="50" max="50" width="15.7265625" bestFit="1" customWidth="1"/>
    <col min="51" max="51" width="15.54296875" bestFit="1" customWidth="1"/>
    <col min="52" max="52" width="14.7265625" bestFit="1" customWidth="1"/>
    <col min="53" max="53" width="18.26953125" bestFit="1" customWidth="1"/>
    <col min="54" max="54" width="15.7265625" bestFit="1" customWidth="1"/>
    <col min="55" max="55" width="27" bestFit="1" customWidth="1"/>
    <col min="57" max="57" width="35.453125" bestFit="1" customWidth="1"/>
    <col min="58" max="58" width="14.7265625" bestFit="1" customWidth="1"/>
    <col min="59" max="59" width="18.26953125" bestFit="1" customWidth="1"/>
    <col min="60" max="60" width="15.7265625" bestFit="1" customWidth="1"/>
    <col min="62" max="62" width="18.54296875" bestFit="1" customWidth="1"/>
    <col min="63" max="63" width="12.453125" bestFit="1" customWidth="1"/>
    <col min="64" max="64" width="15.54296875" bestFit="1" customWidth="1"/>
    <col min="65" max="65" width="24.7265625" bestFit="1" customWidth="1"/>
    <col min="66" max="66" width="8.26953125" bestFit="1" customWidth="1"/>
    <col min="67" max="67" width="13.54296875" bestFit="1" customWidth="1"/>
    <col min="68" max="68" width="24.81640625" bestFit="1" customWidth="1"/>
    <col min="69" max="69" width="20.54296875" bestFit="1" customWidth="1"/>
    <col min="70" max="70" width="24.81640625" bestFit="1" customWidth="1"/>
    <col min="71" max="71" width="20.54296875" customWidth="1"/>
    <col min="72" max="72" width="39" bestFit="1" customWidth="1"/>
    <col min="73" max="73" width="18.26953125" bestFit="1" customWidth="1"/>
    <col min="74" max="74" width="15.7265625" bestFit="1" customWidth="1"/>
    <col min="77" max="77" width="63.1796875" bestFit="1" customWidth="1"/>
    <col min="78" max="78" width="14.7265625" bestFit="1" customWidth="1"/>
    <col min="79" max="79" width="18.81640625" bestFit="1" customWidth="1"/>
    <col min="80" max="80" width="16.26953125" bestFit="1" customWidth="1"/>
    <col min="81" max="81" width="18.26953125" bestFit="1" customWidth="1"/>
    <col min="82" max="82" width="15.7265625" bestFit="1" customWidth="1"/>
  </cols>
  <sheetData>
    <row r="1" spans="1:82" x14ac:dyDescent="0.35">
      <c r="C1" s="5" t="s">
        <v>1</v>
      </c>
      <c r="D1" t="s">
        <v>106</v>
      </c>
      <c r="L1" s="9" t="s">
        <v>136</v>
      </c>
      <c r="Q1" s="14" t="s">
        <v>134</v>
      </c>
      <c r="W1" s="9" t="s">
        <v>136</v>
      </c>
      <c r="X1" t="s">
        <v>245</v>
      </c>
      <c r="AU1" s="9" t="s">
        <v>136</v>
      </c>
      <c r="AV1" t="s">
        <v>269</v>
      </c>
      <c r="AZ1" t="s">
        <v>282</v>
      </c>
      <c r="BE1" s="9" t="s">
        <v>136</v>
      </c>
      <c r="BJ1" t="s">
        <v>282</v>
      </c>
      <c r="BM1" t="s">
        <v>296</v>
      </c>
      <c r="BN1" s="9" t="s">
        <v>136</v>
      </c>
    </row>
    <row r="2" spans="1:82" x14ac:dyDescent="0.35">
      <c r="A2" t="s">
        <v>279</v>
      </c>
      <c r="C2" t="s">
        <v>130</v>
      </c>
      <c r="L2" s="6" t="s">
        <v>131</v>
      </c>
      <c r="Q2" s="5" t="s">
        <v>1</v>
      </c>
      <c r="R2" t="s">
        <v>109</v>
      </c>
      <c r="X2" s="5" t="s">
        <v>1</v>
      </c>
      <c r="Y2" t="s">
        <v>106</v>
      </c>
      <c r="AD2" s="9" t="s">
        <v>136</v>
      </c>
      <c r="AK2" s="5" t="s">
        <v>1</v>
      </c>
      <c r="AL2" t="s">
        <v>106</v>
      </c>
      <c r="AV2" s="5" t="s">
        <v>4</v>
      </c>
      <c r="AW2" t="s">
        <v>460</v>
      </c>
      <c r="AZ2" s="5" t="s">
        <v>4</v>
      </c>
      <c r="BA2" t="s">
        <v>21</v>
      </c>
      <c r="BE2" s="5" t="s">
        <v>4</v>
      </c>
      <c r="BF2" t="s">
        <v>21</v>
      </c>
      <c r="BT2" t="s">
        <v>269</v>
      </c>
      <c r="BY2" s="14" t="s">
        <v>441</v>
      </c>
    </row>
    <row r="3" spans="1:82" x14ac:dyDescent="0.35">
      <c r="A3" s="8" t="s">
        <v>132</v>
      </c>
      <c r="C3" s="5" t="s">
        <v>456</v>
      </c>
      <c r="D3" t="s">
        <v>123</v>
      </c>
      <c r="E3" t="s">
        <v>124</v>
      </c>
      <c r="F3" t="s">
        <v>125</v>
      </c>
      <c r="G3" t="s">
        <v>126</v>
      </c>
      <c r="H3" t="s">
        <v>128</v>
      </c>
      <c r="I3" t="s">
        <v>204</v>
      </c>
      <c r="J3" t="s">
        <v>127</v>
      </c>
      <c r="L3" s="5" t="s">
        <v>456</v>
      </c>
      <c r="M3" t="s">
        <v>122</v>
      </c>
      <c r="Q3" s="5" t="s">
        <v>5</v>
      </c>
      <c r="R3" t="s">
        <v>460</v>
      </c>
      <c r="X3" s="5" t="s">
        <v>5</v>
      </c>
      <c r="Y3" t="s">
        <v>459</v>
      </c>
      <c r="AD3" s="14" t="s">
        <v>246</v>
      </c>
      <c r="AK3" s="5" t="s">
        <v>5</v>
      </c>
      <c r="AL3" t="s">
        <v>459</v>
      </c>
      <c r="AQ3" s="5" t="s">
        <v>4</v>
      </c>
      <c r="AR3" t="s">
        <v>460</v>
      </c>
      <c r="AV3" s="5" t="s">
        <v>1</v>
      </c>
      <c r="AW3" t="s">
        <v>106</v>
      </c>
      <c r="AZ3" s="5" t="s">
        <v>1</v>
      </c>
      <c r="BA3" t="s">
        <v>106</v>
      </c>
      <c r="BE3" s="5" t="s">
        <v>1</v>
      </c>
      <c r="BF3" t="s">
        <v>106</v>
      </c>
      <c r="BM3" s="5" t="s">
        <v>4</v>
      </c>
      <c r="BN3" t="s">
        <v>459</v>
      </c>
      <c r="BT3" s="5" t="s">
        <v>4</v>
      </c>
      <c r="BU3" t="s">
        <v>433</v>
      </c>
      <c r="BY3" s="5" t="s">
        <v>1</v>
      </c>
      <c r="BZ3" t="s">
        <v>109</v>
      </c>
    </row>
    <row r="4" spans="1:82" x14ac:dyDescent="0.35">
      <c r="A4" s="9" t="s">
        <v>133</v>
      </c>
      <c r="C4" s="6" t="s">
        <v>22</v>
      </c>
      <c r="D4" s="1">
        <v>6</v>
      </c>
      <c r="E4" s="1">
        <v>2</v>
      </c>
      <c r="F4" s="1">
        <v>1</v>
      </c>
      <c r="G4" s="1">
        <v>0</v>
      </c>
      <c r="H4" s="1">
        <v>0</v>
      </c>
      <c r="I4" s="1">
        <v>0</v>
      </c>
      <c r="J4" s="92">
        <v>0</v>
      </c>
      <c r="L4" s="6" t="s">
        <v>27</v>
      </c>
      <c r="M4" s="1">
        <v>2</v>
      </c>
      <c r="Q4" t="s">
        <v>129</v>
      </c>
      <c r="X4" t="s">
        <v>129</v>
      </c>
      <c r="AD4" s="5" t="s">
        <v>1</v>
      </c>
      <c r="AE4" t="s">
        <v>109</v>
      </c>
      <c r="AK4" s="5" t="s">
        <v>2</v>
      </c>
      <c r="AL4" t="s">
        <v>459</v>
      </c>
      <c r="AQ4" s="5" t="s">
        <v>1</v>
      </c>
      <c r="AR4" t="s">
        <v>106</v>
      </c>
      <c r="AV4" s="5" t="s">
        <v>5</v>
      </c>
      <c r="AW4" t="s">
        <v>28</v>
      </c>
      <c r="AZ4" s="5" t="s">
        <v>5</v>
      </c>
      <c r="BA4" t="s">
        <v>23</v>
      </c>
      <c r="BE4" s="5" t="s">
        <v>5</v>
      </c>
      <c r="BF4" t="s">
        <v>459</v>
      </c>
      <c r="BM4" s="5" t="s">
        <v>1</v>
      </c>
      <c r="BN4" t="s">
        <v>459</v>
      </c>
      <c r="BT4" s="5" t="s">
        <v>1</v>
      </c>
      <c r="BU4" t="s">
        <v>459</v>
      </c>
      <c r="BY4" s="5" t="s">
        <v>5</v>
      </c>
      <c r="BZ4" t="s">
        <v>433</v>
      </c>
    </row>
    <row r="5" spans="1:82" x14ac:dyDescent="0.35">
      <c r="A5" s="8" t="s">
        <v>135</v>
      </c>
      <c r="C5" s="6" t="s">
        <v>21</v>
      </c>
      <c r="D5" s="1">
        <v>165132</v>
      </c>
      <c r="E5" s="1">
        <v>9</v>
      </c>
      <c r="F5" s="1">
        <v>8</v>
      </c>
      <c r="G5" s="1">
        <v>1452</v>
      </c>
      <c r="H5" s="1">
        <v>2</v>
      </c>
      <c r="I5" s="1">
        <v>6</v>
      </c>
      <c r="J5" s="92">
        <v>0</v>
      </c>
      <c r="L5" s="7" t="s">
        <v>27</v>
      </c>
      <c r="M5" s="1">
        <v>2</v>
      </c>
      <c r="Q5" s="5" t="s">
        <v>456</v>
      </c>
      <c r="R5" t="s">
        <v>121</v>
      </c>
      <c r="S5" t="s">
        <v>186</v>
      </c>
      <c r="T5" t="s">
        <v>187</v>
      </c>
      <c r="U5" t="s">
        <v>188</v>
      </c>
      <c r="V5" t="s">
        <v>122</v>
      </c>
      <c r="X5" s="5" t="s">
        <v>456</v>
      </c>
      <c r="Y5" t="s">
        <v>121</v>
      </c>
      <c r="Z5" t="s">
        <v>188</v>
      </c>
      <c r="AA5" t="s">
        <v>122</v>
      </c>
      <c r="AB5" t="s">
        <v>383</v>
      </c>
      <c r="AD5" s="5" t="s">
        <v>5</v>
      </c>
      <c r="AE5" t="s">
        <v>459</v>
      </c>
      <c r="AK5" s="5" t="s">
        <v>3</v>
      </c>
      <c r="AL5" t="s">
        <v>34</v>
      </c>
      <c r="AQ5" s="5" t="s">
        <v>5</v>
      </c>
      <c r="AR5" t="s">
        <v>460</v>
      </c>
      <c r="AV5" s="5" t="s">
        <v>2</v>
      </c>
      <c r="AW5" t="s">
        <v>459</v>
      </c>
      <c r="AZ5" s="5" t="s">
        <v>2</v>
      </c>
      <c r="BA5" t="s">
        <v>459</v>
      </c>
      <c r="BE5" s="5" t="s">
        <v>2</v>
      </c>
      <c r="BF5" t="s">
        <v>459</v>
      </c>
      <c r="BM5" s="5" t="s">
        <v>5</v>
      </c>
      <c r="BN5" t="s">
        <v>459</v>
      </c>
      <c r="BT5" s="5" t="s">
        <v>5</v>
      </c>
      <c r="BU5" t="s">
        <v>433</v>
      </c>
      <c r="BY5" t="s">
        <v>129</v>
      </c>
    </row>
    <row r="6" spans="1:82" x14ac:dyDescent="0.35">
      <c r="A6" s="9" t="s">
        <v>231</v>
      </c>
      <c r="C6" s="6" t="s">
        <v>45</v>
      </c>
      <c r="D6" s="1">
        <v>8</v>
      </c>
      <c r="E6" s="1">
        <v>11</v>
      </c>
      <c r="F6" s="1">
        <v>2</v>
      </c>
      <c r="G6" s="1">
        <v>5</v>
      </c>
      <c r="H6" s="1">
        <v>5</v>
      </c>
      <c r="I6" s="1">
        <v>3</v>
      </c>
      <c r="J6" s="92">
        <v>2</v>
      </c>
      <c r="L6" s="6" t="s">
        <v>72</v>
      </c>
      <c r="M6" s="1">
        <v>10</v>
      </c>
      <c r="Q6" s="6" t="s">
        <v>105</v>
      </c>
      <c r="R6" s="1">
        <v>1</v>
      </c>
      <c r="S6" s="35">
        <v>1</v>
      </c>
      <c r="T6" s="35">
        <v>1</v>
      </c>
      <c r="U6" s="1">
        <v>1</v>
      </c>
      <c r="V6" s="1">
        <v>1</v>
      </c>
      <c r="X6" s="6" t="s">
        <v>27</v>
      </c>
      <c r="Y6" s="1">
        <v>2</v>
      </c>
      <c r="Z6" s="1">
        <v>1</v>
      </c>
      <c r="AA6" s="1">
        <v>2</v>
      </c>
      <c r="AB6" s="1">
        <v>1</v>
      </c>
      <c r="AK6" t="s">
        <v>129</v>
      </c>
      <c r="AQ6" s="5" t="s">
        <v>2</v>
      </c>
      <c r="AR6" t="s">
        <v>459</v>
      </c>
      <c r="AV6" s="5" t="s">
        <v>6</v>
      </c>
      <c r="AW6" t="s">
        <v>459</v>
      </c>
      <c r="AZ6" s="5" t="s">
        <v>6</v>
      </c>
      <c r="BA6" t="s">
        <v>459</v>
      </c>
      <c r="BE6" t="s">
        <v>398</v>
      </c>
      <c r="BJ6" s="5" t="s">
        <v>15</v>
      </c>
      <c r="BK6" t="s">
        <v>83</v>
      </c>
      <c r="BM6" s="5" t="s">
        <v>2</v>
      </c>
      <c r="BN6" t="s">
        <v>459</v>
      </c>
      <c r="BT6" s="5" t="s">
        <v>2</v>
      </c>
      <c r="BU6" t="s">
        <v>459</v>
      </c>
      <c r="BY6" s="5" t="s">
        <v>456</v>
      </c>
      <c r="BZ6" t="s">
        <v>121</v>
      </c>
      <c r="CA6" t="s">
        <v>186</v>
      </c>
      <c r="CB6" t="s">
        <v>187</v>
      </c>
      <c r="CC6" t="s">
        <v>188</v>
      </c>
      <c r="CD6" t="s">
        <v>122</v>
      </c>
    </row>
    <row r="7" spans="1:82" x14ac:dyDescent="0.35">
      <c r="A7" s="9" t="s">
        <v>247</v>
      </c>
      <c r="C7" s="6" t="s">
        <v>396</v>
      </c>
      <c r="D7" s="1">
        <v>1</v>
      </c>
      <c r="E7" s="1">
        <v>1</v>
      </c>
      <c r="F7" s="1">
        <v>1</v>
      </c>
      <c r="G7" s="1">
        <v>1</v>
      </c>
      <c r="H7" s="1">
        <v>1</v>
      </c>
      <c r="I7" s="1">
        <v>0</v>
      </c>
      <c r="J7" s="92">
        <v>1</v>
      </c>
      <c r="L7" s="7" t="s">
        <v>51</v>
      </c>
      <c r="M7" s="1">
        <v>2</v>
      </c>
      <c r="Q7" s="6" t="s">
        <v>56</v>
      </c>
      <c r="R7" s="1">
        <v>1</v>
      </c>
      <c r="S7" s="35">
        <v>1</v>
      </c>
      <c r="T7" s="35">
        <v>1</v>
      </c>
      <c r="U7" s="1">
        <v>1</v>
      </c>
      <c r="V7" s="1">
        <v>1</v>
      </c>
      <c r="X7" s="6" t="s">
        <v>51</v>
      </c>
      <c r="Y7" s="1">
        <v>2</v>
      </c>
      <c r="Z7" s="1">
        <v>1</v>
      </c>
      <c r="AA7" s="1">
        <v>2</v>
      </c>
      <c r="AB7" s="1">
        <v>1</v>
      </c>
      <c r="AD7" s="5" t="s">
        <v>456</v>
      </c>
      <c r="AE7" t="s">
        <v>121</v>
      </c>
      <c r="AF7" t="s">
        <v>186</v>
      </c>
      <c r="AG7" t="s">
        <v>187</v>
      </c>
      <c r="AH7" t="s">
        <v>188</v>
      </c>
      <c r="AI7" t="s">
        <v>122</v>
      </c>
      <c r="AK7" s="5" t="s">
        <v>456</v>
      </c>
      <c r="AL7" t="s">
        <v>121</v>
      </c>
      <c r="AM7" t="s">
        <v>249</v>
      </c>
      <c r="AN7" t="s">
        <v>188</v>
      </c>
      <c r="AO7" t="s">
        <v>122</v>
      </c>
      <c r="AQ7" t="s">
        <v>269</v>
      </c>
      <c r="AV7" s="5" t="s">
        <v>3</v>
      </c>
      <c r="AW7" t="s">
        <v>459</v>
      </c>
      <c r="AZ7" s="5" t="s">
        <v>3</v>
      </c>
      <c r="BA7" t="s">
        <v>459</v>
      </c>
      <c r="BE7" s="5" t="s">
        <v>456</v>
      </c>
      <c r="BF7" t="s">
        <v>121</v>
      </c>
      <c r="BG7" t="s">
        <v>188</v>
      </c>
      <c r="BH7" t="s">
        <v>122</v>
      </c>
      <c r="BJ7" s="5" t="s">
        <v>16</v>
      </c>
      <c r="BK7" t="s">
        <v>459</v>
      </c>
      <c r="BM7" s="5" t="s">
        <v>6</v>
      </c>
      <c r="BN7" t="s">
        <v>459</v>
      </c>
      <c r="BT7" s="5" t="s">
        <v>6</v>
      </c>
      <c r="BU7" t="s">
        <v>459</v>
      </c>
      <c r="BY7" s="6" t="s">
        <v>463</v>
      </c>
      <c r="BZ7" s="1">
        <v>1</v>
      </c>
      <c r="CA7" s="35">
        <v>0.43</v>
      </c>
      <c r="CB7" s="35">
        <v>0.43</v>
      </c>
      <c r="CC7" s="1">
        <v>50</v>
      </c>
      <c r="CD7" s="1">
        <v>50</v>
      </c>
    </row>
    <row r="8" spans="1:82" x14ac:dyDescent="0.35">
      <c r="A8" s="9" t="s">
        <v>248</v>
      </c>
      <c r="C8" s="6" t="s">
        <v>458</v>
      </c>
      <c r="D8" s="1">
        <v>165147</v>
      </c>
      <c r="E8" s="1">
        <v>23</v>
      </c>
      <c r="F8" s="1">
        <v>12</v>
      </c>
      <c r="G8" s="1">
        <v>1458</v>
      </c>
      <c r="H8" s="1">
        <v>8</v>
      </c>
      <c r="I8" s="1">
        <v>9</v>
      </c>
      <c r="J8" s="92">
        <v>3</v>
      </c>
      <c r="L8" s="7" t="s">
        <v>41</v>
      </c>
      <c r="M8" s="1">
        <v>6</v>
      </c>
      <c r="Q8" s="6" t="s">
        <v>37</v>
      </c>
      <c r="R8" s="1">
        <v>1</v>
      </c>
      <c r="S8" s="35">
        <v>1</v>
      </c>
      <c r="T8" s="35">
        <v>1</v>
      </c>
      <c r="U8" s="1">
        <v>1</v>
      </c>
      <c r="V8" s="1">
        <v>1</v>
      </c>
      <c r="X8" s="6" t="s">
        <v>41</v>
      </c>
      <c r="Y8" s="1">
        <v>4</v>
      </c>
      <c r="Z8" s="1">
        <v>1</v>
      </c>
      <c r="AA8" s="1">
        <v>6</v>
      </c>
      <c r="AB8" s="1">
        <v>3</v>
      </c>
      <c r="AD8" s="6" t="s">
        <v>72</v>
      </c>
      <c r="AE8" s="1">
        <v>1</v>
      </c>
      <c r="AF8" s="35">
        <v>1</v>
      </c>
      <c r="AG8" s="35">
        <v>1</v>
      </c>
      <c r="AH8" s="1">
        <v>1</v>
      </c>
      <c r="AI8" s="1">
        <v>1</v>
      </c>
      <c r="AK8" s="6" t="s">
        <v>41</v>
      </c>
      <c r="AL8" s="1">
        <v>1</v>
      </c>
      <c r="AM8" s="1">
        <v>1</v>
      </c>
      <c r="AN8" s="1">
        <v>1</v>
      </c>
      <c r="AO8" s="1">
        <v>2</v>
      </c>
      <c r="AP8" s="1"/>
      <c r="AQ8" s="5" t="s">
        <v>456</v>
      </c>
      <c r="AR8" t="s">
        <v>121</v>
      </c>
      <c r="AS8" t="s">
        <v>188</v>
      </c>
      <c r="AT8" t="s">
        <v>122</v>
      </c>
      <c r="AV8" t="s">
        <v>269</v>
      </c>
      <c r="AZ8" t="s">
        <v>23</v>
      </c>
      <c r="BE8" s="6" t="s">
        <v>27</v>
      </c>
      <c r="BF8" s="1">
        <v>2</v>
      </c>
      <c r="BG8" s="1">
        <v>1</v>
      </c>
      <c r="BH8" s="1">
        <v>2</v>
      </c>
      <c r="BJ8" t="s">
        <v>285</v>
      </c>
      <c r="BM8" s="5" t="s">
        <v>3</v>
      </c>
      <c r="BN8" t="s">
        <v>401</v>
      </c>
      <c r="BT8" s="5" t="s">
        <v>3</v>
      </c>
      <c r="BU8" t="s">
        <v>459</v>
      </c>
      <c r="BY8" s="6" t="s">
        <v>458</v>
      </c>
      <c r="BZ8" s="1">
        <v>1</v>
      </c>
      <c r="CA8" s="35">
        <v>0.43</v>
      </c>
      <c r="CB8" s="35">
        <v>0.43</v>
      </c>
      <c r="CC8" s="1">
        <v>50</v>
      </c>
      <c r="CD8" s="1">
        <v>50</v>
      </c>
    </row>
    <row r="9" spans="1:82" x14ac:dyDescent="0.35">
      <c r="A9" s="9" t="s">
        <v>268</v>
      </c>
      <c r="L9" s="7" t="s">
        <v>75</v>
      </c>
      <c r="M9" s="1">
        <v>1</v>
      </c>
      <c r="Q9" s="6" t="s">
        <v>48</v>
      </c>
      <c r="R9" s="1">
        <v>1</v>
      </c>
      <c r="S9" s="35">
        <v>1</v>
      </c>
      <c r="T9" s="35">
        <v>1</v>
      </c>
      <c r="U9" s="1">
        <v>1</v>
      </c>
      <c r="V9" s="1">
        <v>1</v>
      </c>
      <c r="X9" s="6" t="s">
        <v>31</v>
      </c>
      <c r="Y9" s="1">
        <v>3</v>
      </c>
      <c r="Z9" s="1">
        <v>1</v>
      </c>
      <c r="AA9" s="1">
        <v>5</v>
      </c>
      <c r="AB9" s="1">
        <v>3</v>
      </c>
      <c r="AD9" s="6" t="s">
        <v>75</v>
      </c>
      <c r="AE9" s="1">
        <v>1</v>
      </c>
      <c r="AF9" s="35">
        <v>1</v>
      </c>
      <c r="AG9" s="35">
        <v>1</v>
      </c>
      <c r="AH9" s="1">
        <v>1</v>
      </c>
      <c r="AI9" s="1">
        <v>1</v>
      </c>
      <c r="AK9" s="6" t="s">
        <v>31</v>
      </c>
      <c r="AL9" s="1">
        <v>1</v>
      </c>
      <c r="AM9" s="1">
        <v>1</v>
      </c>
      <c r="AN9" s="1">
        <v>1</v>
      </c>
      <c r="AO9" s="1">
        <v>2</v>
      </c>
      <c r="AQ9" s="6" t="s">
        <v>51</v>
      </c>
      <c r="AR9" s="1">
        <v>2</v>
      </c>
      <c r="AS9" s="1">
        <v>1</v>
      </c>
      <c r="AT9" s="1">
        <v>2</v>
      </c>
      <c r="AV9" t="s">
        <v>121</v>
      </c>
      <c r="AW9" t="s">
        <v>188</v>
      </c>
      <c r="AX9" t="s">
        <v>122</v>
      </c>
      <c r="AZ9" t="s">
        <v>121</v>
      </c>
      <c r="BA9" t="s">
        <v>188</v>
      </c>
      <c r="BB9" t="s">
        <v>122</v>
      </c>
      <c r="BC9" t="s">
        <v>411</v>
      </c>
      <c r="BE9" s="7" t="s">
        <v>33</v>
      </c>
      <c r="BF9" s="1">
        <v>1</v>
      </c>
      <c r="BG9" s="1">
        <v>1</v>
      </c>
      <c r="BH9" s="1">
        <v>1</v>
      </c>
      <c r="BJ9" t="s">
        <v>149</v>
      </c>
      <c r="BM9" t="s">
        <v>292</v>
      </c>
      <c r="BT9" t="s">
        <v>269</v>
      </c>
    </row>
    <row r="10" spans="1:82" x14ac:dyDescent="0.35">
      <c r="A10" s="9" t="s">
        <v>291</v>
      </c>
      <c r="L10" s="7" t="s">
        <v>72</v>
      </c>
      <c r="M10" s="1">
        <v>1</v>
      </c>
      <c r="Q10" s="6" t="s">
        <v>104</v>
      </c>
      <c r="R10" s="1">
        <v>2</v>
      </c>
      <c r="S10" s="35">
        <v>1</v>
      </c>
      <c r="T10" s="35">
        <v>2</v>
      </c>
      <c r="U10" s="1">
        <v>1</v>
      </c>
      <c r="V10" s="1">
        <v>2</v>
      </c>
      <c r="X10" s="6" t="s">
        <v>66</v>
      </c>
      <c r="Y10" s="1">
        <v>2</v>
      </c>
      <c r="Z10" s="1">
        <v>1</v>
      </c>
      <c r="AA10" s="1">
        <v>2</v>
      </c>
      <c r="AB10" s="1">
        <v>1</v>
      </c>
      <c r="AD10" s="6" t="s">
        <v>76</v>
      </c>
      <c r="AE10" s="1">
        <v>3</v>
      </c>
      <c r="AF10" s="35">
        <v>0.79999999999999993</v>
      </c>
      <c r="AG10" s="35">
        <v>2.4</v>
      </c>
      <c r="AH10" s="1">
        <v>1</v>
      </c>
      <c r="AI10" s="1">
        <v>3</v>
      </c>
      <c r="AK10" s="6" t="s">
        <v>38</v>
      </c>
      <c r="AL10" s="1">
        <v>1</v>
      </c>
      <c r="AM10" s="1">
        <v>1</v>
      </c>
      <c r="AN10" s="1">
        <v>1</v>
      </c>
      <c r="AO10" s="1">
        <v>2</v>
      </c>
      <c r="AQ10" s="7" t="s">
        <v>33</v>
      </c>
      <c r="AR10" s="1">
        <v>1</v>
      </c>
      <c r="AS10" s="1">
        <v>1</v>
      </c>
      <c r="AT10" s="1">
        <v>1</v>
      </c>
      <c r="AV10" s="1">
        <v>9</v>
      </c>
      <c r="AW10" s="1">
        <v>0.9</v>
      </c>
      <c r="AX10" s="1">
        <v>11</v>
      </c>
      <c r="AZ10" s="1">
        <v>165132</v>
      </c>
      <c r="BA10" s="1">
        <v>298.09302325581393</v>
      </c>
      <c r="BB10" s="1">
        <v>77149475.399999976</v>
      </c>
      <c r="BC10" s="1">
        <v>71886650.588751033</v>
      </c>
      <c r="BE10" s="7" t="s">
        <v>395</v>
      </c>
      <c r="BF10" s="1">
        <v>1</v>
      </c>
      <c r="BG10" s="1">
        <v>1</v>
      </c>
      <c r="BH10" s="1">
        <v>1</v>
      </c>
      <c r="BJ10" s="1">
        <v>3120052</v>
      </c>
      <c r="BM10" t="s">
        <v>121</v>
      </c>
      <c r="BN10" t="s">
        <v>188</v>
      </c>
      <c r="BO10" t="s">
        <v>294</v>
      </c>
      <c r="BP10" t="s">
        <v>122</v>
      </c>
      <c r="BQ10" t="s">
        <v>301</v>
      </c>
      <c r="BR10" t="s">
        <v>391</v>
      </c>
      <c r="BT10" t="s">
        <v>121</v>
      </c>
      <c r="BU10" t="s">
        <v>188</v>
      </c>
      <c r="BV10" t="s">
        <v>122</v>
      </c>
    </row>
    <row r="11" spans="1:82" x14ac:dyDescent="0.35">
      <c r="A11" s="9" t="s">
        <v>299</v>
      </c>
      <c r="L11" s="6" t="s">
        <v>29</v>
      </c>
      <c r="M11" s="1">
        <v>23</v>
      </c>
      <c r="Q11" s="6" t="s">
        <v>458</v>
      </c>
      <c r="R11" s="1">
        <v>6</v>
      </c>
      <c r="S11" s="35">
        <v>1</v>
      </c>
      <c r="T11" s="35">
        <v>6</v>
      </c>
      <c r="U11" s="1">
        <v>1</v>
      </c>
      <c r="V11" s="1">
        <v>6</v>
      </c>
      <c r="X11" s="6" t="s">
        <v>120</v>
      </c>
      <c r="Y11" s="1">
        <v>1</v>
      </c>
      <c r="Z11" s="1">
        <v>1</v>
      </c>
      <c r="AA11" s="1">
        <v>1</v>
      </c>
      <c r="AB11" s="1">
        <v>0</v>
      </c>
      <c r="AD11" s="6" t="s">
        <v>73</v>
      </c>
      <c r="AE11" s="1">
        <v>3</v>
      </c>
      <c r="AF11" s="35">
        <v>1</v>
      </c>
      <c r="AG11" s="35">
        <v>3.4000000000000004</v>
      </c>
      <c r="AH11" s="1">
        <v>1</v>
      </c>
      <c r="AI11" s="1">
        <v>3</v>
      </c>
      <c r="AK11" s="6" t="s">
        <v>37</v>
      </c>
      <c r="AL11" s="1">
        <v>1</v>
      </c>
      <c r="AM11" s="1">
        <v>1</v>
      </c>
      <c r="AN11" s="1">
        <v>1</v>
      </c>
      <c r="AO11" s="1">
        <v>2</v>
      </c>
      <c r="AQ11" s="7" t="s">
        <v>395</v>
      </c>
      <c r="AR11" s="1">
        <v>1</v>
      </c>
      <c r="AS11" s="1">
        <v>1</v>
      </c>
      <c r="AT11" s="1">
        <v>1</v>
      </c>
      <c r="AW11" s="1">
        <f>GETPIVOTDATA("Zbir od Iznos Din",$AV$9)/GETPIVOTDATA("Zbir od Količina",$AV$9)</f>
        <v>1.2222222222222223</v>
      </c>
      <c r="BA11" s="1">
        <f>GETPIVOTDATA("Zbir od Iznos Din",$AZ$9)/GETPIVOTDATA("Zbir od Količina",$AZ$9)</f>
        <v>467.19881912651681</v>
      </c>
      <c r="BB11">
        <f>GETPIVOTDATA("Sum of Obračunska Vrednost",$AZ$9)/GETPIVOTDATA("Zbir od Količina",$AZ$9)</f>
        <v>435.32840750884765</v>
      </c>
      <c r="BE11" s="6" t="s">
        <v>42</v>
      </c>
      <c r="BF11" s="1">
        <v>1</v>
      </c>
      <c r="BG11" s="1">
        <v>1</v>
      </c>
      <c r="BH11" s="1">
        <v>1</v>
      </c>
      <c r="BM11" s="1">
        <v>1</v>
      </c>
      <c r="BN11" s="1">
        <v>1</v>
      </c>
      <c r="BO11" s="1"/>
      <c r="BP11" s="1">
        <v>2</v>
      </c>
      <c r="BQ11" s="1">
        <v>1</v>
      </c>
      <c r="BR11" s="1">
        <v>1.1000000000000001</v>
      </c>
      <c r="BT11" s="1">
        <v>2</v>
      </c>
      <c r="BU11" s="1">
        <v>25</v>
      </c>
      <c r="BV11" s="1">
        <v>50</v>
      </c>
    </row>
    <row r="12" spans="1:82" x14ac:dyDescent="0.35">
      <c r="L12" s="7" t="s">
        <v>66</v>
      </c>
      <c r="M12" s="1">
        <v>3</v>
      </c>
      <c r="X12" s="6" t="s">
        <v>38</v>
      </c>
      <c r="Y12" s="1">
        <v>3</v>
      </c>
      <c r="Z12" s="1">
        <v>0.75</v>
      </c>
      <c r="AA12" s="1">
        <v>5</v>
      </c>
      <c r="AB12" s="1">
        <v>3</v>
      </c>
      <c r="AD12" s="6" t="s">
        <v>66</v>
      </c>
      <c r="AE12" s="1">
        <v>1</v>
      </c>
      <c r="AF12" s="35">
        <v>1</v>
      </c>
      <c r="AG12" s="35">
        <v>1</v>
      </c>
      <c r="AH12" s="1">
        <v>1</v>
      </c>
      <c r="AI12" s="1">
        <v>1</v>
      </c>
      <c r="AK12" s="6" t="s">
        <v>290</v>
      </c>
      <c r="AL12" s="1">
        <v>1</v>
      </c>
      <c r="AM12" s="1">
        <v>1</v>
      </c>
      <c r="AN12" s="1">
        <v>1</v>
      </c>
      <c r="AO12" s="1">
        <v>2</v>
      </c>
      <c r="AQ12" s="6" t="s">
        <v>41</v>
      </c>
      <c r="AR12" s="1">
        <v>4</v>
      </c>
      <c r="AS12" s="1">
        <v>1</v>
      </c>
      <c r="AT12" s="1">
        <v>6</v>
      </c>
      <c r="BE12" s="7" t="s">
        <v>395</v>
      </c>
      <c r="BF12" s="1">
        <v>1</v>
      </c>
      <c r="BG12" s="1">
        <v>1</v>
      </c>
      <c r="BH12" s="1">
        <v>1</v>
      </c>
      <c r="BJ12" s="5" t="s">
        <v>15</v>
      </c>
      <c r="BK12" t="s">
        <v>87</v>
      </c>
      <c r="BU12" s="1">
        <f>GETPIVOTDATA("Zbir od Iznos Din",$AV$9)/GETPIVOTDATA("Zbir od Količina",$AV$9)</f>
        <v>1.2222222222222223</v>
      </c>
    </row>
    <row r="13" spans="1:82" x14ac:dyDescent="0.35">
      <c r="L13" s="7" t="s">
        <v>80</v>
      </c>
      <c r="M13" s="1">
        <v>1</v>
      </c>
      <c r="X13" s="6" t="s">
        <v>57</v>
      </c>
      <c r="Y13" s="1">
        <v>1</v>
      </c>
      <c r="Z13" s="1">
        <v>1</v>
      </c>
      <c r="AA13" s="1">
        <v>1</v>
      </c>
      <c r="AB13" s="1">
        <v>1</v>
      </c>
      <c r="AD13" s="6" t="s">
        <v>80</v>
      </c>
      <c r="AE13" s="1">
        <v>1</v>
      </c>
      <c r="AF13" s="35">
        <v>1</v>
      </c>
      <c r="AG13" s="35">
        <v>1</v>
      </c>
      <c r="AH13" s="1">
        <v>1</v>
      </c>
      <c r="AI13" s="1">
        <v>1</v>
      </c>
      <c r="AK13" s="6" t="s">
        <v>40</v>
      </c>
      <c r="AL13" s="1">
        <v>1</v>
      </c>
      <c r="AM13" s="1">
        <v>1</v>
      </c>
      <c r="AN13" s="1">
        <v>1</v>
      </c>
      <c r="AO13" s="1">
        <v>2</v>
      </c>
      <c r="AQ13" s="7" t="s">
        <v>34</v>
      </c>
      <c r="AR13" s="1">
        <v>1</v>
      </c>
      <c r="AS13" s="1">
        <v>1</v>
      </c>
      <c r="AT13" s="1">
        <v>2</v>
      </c>
      <c r="AV13" s="5" t="s">
        <v>4</v>
      </c>
      <c r="AW13" t="s">
        <v>460</v>
      </c>
      <c r="AZ13" s="5" t="s">
        <v>4</v>
      </c>
      <c r="BA13" t="s">
        <v>21</v>
      </c>
      <c r="BE13" s="6" t="s">
        <v>67</v>
      </c>
      <c r="BF13" s="1">
        <v>1</v>
      </c>
      <c r="BG13" s="1">
        <v>1</v>
      </c>
      <c r="BH13" s="1">
        <v>1</v>
      </c>
      <c r="BJ13" s="5" t="s">
        <v>16</v>
      </c>
      <c r="BK13" t="s">
        <v>459</v>
      </c>
      <c r="BQ13" t="e">
        <f>(GETPIVOTDATA("Zbir od Iznos Din",GETPIVOTDATA("Zbir od Iznos Din",$BM$10))+GETPIVOTDATA("Zbir od Ukupna Marža",GETPIVOTDATA("Zbir od Ukupna Marža",$BM$10)))-GETPIVOTDATA("Zbir od  Vrednost za Isplatu",GETPIVOTDATA("Sum of Vrednost za Isplatu",$BM$10))</f>
        <v>#REF!</v>
      </c>
    </row>
    <row r="14" spans="1:82" x14ac:dyDescent="0.35">
      <c r="L14" s="7" t="s">
        <v>120</v>
      </c>
      <c r="M14" s="1">
        <v>1</v>
      </c>
      <c r="Q14" s="6"/>
      <c r="R14" s="1"/>
      <c r="S14" s="35"/>
      <c r="T14" s="35"/>
      <c r="U14" s="1"/>
      <c r="V14" s="1"/>
      <c r="X14" s="6" t="s">
        <v>64</v>
      </c>
      <c r="Y14" s="1">
        <v>1</v>
      </c>
      <c r="Z14" s="1">
        <v>1</v>
      </c>
      <c r="AA14" s="1">
        <v>1</v>
      </c>
      <c r="AB14" s="1">
        <v>1</v>
      </c>
      <c r="AD14" s="6" t="s">
        <v>49</v>
      </c>
      <c r="AE14" s="1">
        <v>1</v>
      </c>
      <c r="AF14" s="35">
        <v>1</v>
      </c>
      <c r="AG14" s="35">
        <v>1</v>
      </c>
      <c r="AH14" s="1">
        <v>1</v>
      </c>
      <c r="AI14" s="1">
        <v>1</v>
      </c>
      <c r="AK14" s="6" t="s">
        <v>117</v>
      </c>
      <c r="AL14" s="1">
        <v>1</v>
      </c>
      <c r="AM14" s="1">
        <v>0</v>
      </c>
      <c r="AN14" s="1">
        <v>1</v>
      </c>
      <c r="AO14" s="1">
        <v>1</v>
      </c>
      <c r="AQ14" s="7" t="s">
        <v>33</v>
      </c>
      <c r="AR14" s="1">
        <v>2</v>
      </c>
      <c r="AS14" s="1">
        <v>1</v>
      </c>
      <c r="AT14" s="1">
        <v>3</v>
      </c>
      <c r="AV14" s="5" t="s">
        <v>1</v>
      </c>
      <c r="AW14" t="s">
        <v>106</v>
      </c>
      <c r="AZ14" s="5" t="s">
        <v>1</v>
      </c>
      <c r="BA14" t="s">
        <v>106</v>
      </c>
      <c r="BE14" s="7" t="s">
        <v>395</v>
      </c>
      <c r="BF14" s="1">
        <v>1</v>
      </c>
      <c r="BG14" s="1">
        <v>1</v>
      </c>
      <c r="BH14" s="1">
        <v>1</v>
      </c>
      <c r="BJ14" t="s">
        <v>87</v>
      </c>
      <c r="BM14" s="5" t="s">
        <v>4</v>
      </c>
      <c r="BN14" t="s">
        <v>459</v>
      </c>
      <c r="BT14" s="5" t="s">
        <v>4</v>
      </c>
      <c r="BU14" t="s">
        <v>460</v>
      </c>
    </row>
    <row r="15" spans="1:82" x14ac:dyDescent="0.35">
      <c r="L15" s="7" t="s">
        <v>38</v>
      </c>
      <c r="M15" s="1">
        <v>5</v>
      </c>
      <c r="X15" s="6" t="s">
        <v>62</v>
      </c>
      <c r="Y15" s="1">
        <v>2</v>
      </c>
      <c r="Z15" s="1">
        <v>1</v>
      </c>
      <c r="AA15" s="1">
        <v>3</v>
      </c>
      <c r="AB15" s="1">
        <v>2</v>
      </c>
      <c r="AD15" s="6" t="s">
        <v>71</v>
      </c>
      <c r="AE15" s="1">
        <v>1</v>
      </c>
      <c r="AF15" s="35">
        <v>1</v>
      </c>
      <c r="AG15" s="35">
        <v>1</v>
      </c>
      <c r="AH15" s="1">
        <v>1</v>
      </c>
      <c r="AI15" s="1">
        <v>1</v>
      </c>
      <c r="AK15" s="6" t="s">
        <v>458</v>
      </c>
      <c r="AL15" s="1">
        <v>7</v>
      </c>
      <c r="AM15" s="1">
        <v>0.8571428571428571</v>
      </c>
      <c r="AN15" s="1">
        <v>1</v>
      </c>
      <c r="AO15" s="1">
        <v>13</v>
      </c>
      <c r="AQ15" s="7" t="s">
        <v>395</v>
      </c>
      <c r="AR15" s="1">
        <v>1</v>
      </c>
      <c r="AS15" s="1">
        <v>1</v>
      </c>
      <c r="AT15" s="1">
        <v>1</v>
      </c>
      <c r="AV15" s="5" t="s">
        <v>5</v>
      </c>
      <c r="AW15" t="s">
        <v>29</v>
      </c>
      <c r="AZ15" s="5" t="s">
        <v>5</v>
      </c>
      <c r="BA15" t="s">
        <v>24</v>
      </c>
      <c r="BE15" s="6" t="s">
        <v>387</v>
      </c>
      <c r="BF15" s="1">
        <v>1</v>
      </c>
      <c r="BG15" s="1">
        <v>1</v>
      </c>
      <c r="BH15" s="1">
        <v>1</v>
      </c>
      <c r="BJ15" t="s">
        <v>149</v>
      </c>
      <c r="BM15" s="5" t="s">
        <v>1</v>
      </c>
      <c r="BN15" t="s">
        <v>459</v>
      </c>
      <c r="BT15" s="5" t="s">
        <v>1</v>
      </c>
      <c r="BU15" t="s">
        <v>106</v>
      </c>
    </row>
    <row r="16" spans="1:82" x14ac:dyDescent="0.35">
      <c r="L16" s="7" t="s">
        <v>57</v>
      </c>
      <c r="M16" s="1">
        <v>1</v>
      </c>
      <c r="Q16" s="5" t="s">
        <v>1</v>
      </c>
      <c r="R16" t="s">
        <v>109</v>
      </c>
      <c r="T16" t="s">
        <v>382</v>
      </c>
      <c r="U16">
        <f>GETPIVOTDATA("Zbir od Iznos Din",$Q$5)/GETPIVOTDATA("Zbir od Količina",$Q$5)</f>
        <v>1</v>
      </c>
      <c r="X16" s="6" t="s">
        <v>49</v>
      </c>
      <c r="Y16" s="1">
        <v>2</v>
      </c>
      <c r="Z16" s="1">
        <v>1</v>
      </c>
      <c r="AA16" s="1">
        <v>2</v>
      </c>
      <c r="AB16" s="1">
        <v>1</v>
      </c>
      <c r="AD16" s="6" t="s">
        <v>77</v>
      </c>
      <c r="AE16" s="1">
        <v>3</v>
      </c>
      <c r="AF16" s="35">
        <v>1</v>
      </c>
      <c r="AG16" s="35">
        <v>3</v>
      </c>
      <c r="AH16" s="1">
        <v>1</v>
      </c>
      <c r="AI16" s="1">
        <v>3</v>
      </c>
      <c r="AQ16" s="6" t="s">
        <v>31</v>
      </c>
      <c r="AR16" s="1">
        <v>3</v>
      </c>
      <c r="AS16" s="1">
        <v>1</v>
      </c>
      <c r="AT16" s="1">
        <v>5</v>
      </c>
      <c r="AV16" s="5" t="s">
        <v>2</v>
      </c>
      <c r="AW16" t="s">
        <v>459</v>
      </c>
      <c r="AZ16" s="5" t="s">
        <v>2</v>
      </c>
      <c r="BA16" t="s">
        <v>459</v>
      </c>
      <c r="BE16" s="7" t="s">
        <v>395</v>
      </c>
      <c r="BF16" s="1">
        <v>1</v>
      </c>
      <c r="BG16" s="1">
        <v>1</v>
      </c>
      <c r="BH16" s="1">
        <v>1</v>
      </c>
      <c r="BJ16" s="1">
        <v>1692343.49</v>
      </c>
      <c r="BM16" s="5" t="s">
        <v>5</v>
      </c>
      <c r="BN16" t="s">
        <v>459</v>
      </c>
      <c r="BT16" s="5" t="s">
        <v>5</v>
      </c>
      <c r="BU16" t="s">
        <v>29</v>
      </c>
    </row>
    <row r="17" spans="12:74" x14ac:dyDescent="0.35">
      <c r="L17" s="7" t="s">
        <v>64</v>
      </c>
      <c r="M17" s="1">
        <v>1</v>
      </c>
      <c r="Q17" s="5" t="s">
        <v>5</v>
      </c>
      <c r="R17" t="s">
        <v>460</v>
      </c>
      <c r="X17" s="6" t="s">
        <v>105</v>
      </c>
      <c r="Y17" s="1">
        <v>1</v>
      </c>
      <c r="Z17" s="1">
        <v>1</v>
      </c>
      <c r="AA17" s="1">
        <v>1</v>
      </c>
      <c r="AB17" s="1">
        <v>1</v>
      </c>
      <c r="AD17" s="6" t="s">
        <v>408</v>
      </c>
      <c r="AE17" s="1">
        <v>1</v>
      </c>
      <c r="AF17" s="35">
        <v>1</v>
      </c>
      <c r="AG17" s="35">
        <v>1</v>
      </c>
      <c r="AH17" s="1">
        <v>1</v>
      </c>
      <c r="AI17" s="1">
        <v>1</v>
      </c>
      <c r="AQ17" s="7" t="s">
        <v>34</v>
      </c>
      <c r="AR17" s="1">
        <v>1</v>
      </c>
      <c r="AS17" s="1">
        <v>1</v>
      </c>
      <c r="AT17" s="1">
        <v>2</v>
      </c>
      <c r="AV17" s="5" t="s">
        <v>6</v>
      </c>
      <c r="AW17" t="s">
        <v>460</v>
      </c>
      <c r="AZ17" s="5" t="s">
        <v>6</v>
      </c>
      <c r="BA17" t="s">
        <v>460</v>
      </c>
      <c r="BE17" s="6" t="s">
        <v>389</v>
      </c>
      <c r="BF17" s="1">
        <v>1</v>
      </c>
      <c r="BG17" s="1">
        <v>1</v>
      </c>
      <c r="BH17" s="1">
        <v>1</v>
      </c>
      <c r="BM17" s="5" t="s">
        <v>2</v>
      </c>
      <c r="BN17" t="s">
        <v>459</v>
      </c>
      <c r="BT17" s="5" t="s">
        <v>2</v>
      </c>
      <c r="BU17" t="s">
        <v>459</v>
      </c>
    </row>
    <row r="18" spans="12:74" x14ac:dyDescent="0.35">
      <c r="L18" s="7" t="s">
        <v>62</v>
      </c>
      <c r="M18" s="1">
        <v>3</v>
      </c>
      <c r="Q18" t="s">
        <v>129</v>
      </c>
      <c r="X18" s="6" t="s">
        <v>381</v>
      </c>
      <c r="Y18" s="1">
        <v>2</v>
      </c>
      <c r="Z18" s="1">
        <v>1</v>
      </c>
      <c r="AA18" s="1">
        <v>2</v>
      </c>
      <c r="AB18" s="1">
        <v>1</v>
      </c>
      <c r="AD18" s="6" t="s">
        <v>105</v>
      </c>
      <c r="AE18" s="1">
        <v>1</v>
      </c>
      <c r="AF18" s="35">
        <v>1</v>
      </c>
      <c r="AG18" s="35">
        <v>1</v>
      </c>
      <c r="AH18" s="1">
        <v>1</v>
      </c>
      <c r="AI18" s="1">
        <v>1</v>
      </c>
      <c r="AQ18" s="7" t="s">
        <v>33</v>
      </c>
      <c r="AR18" s="1">
        <v>1</v>
      </c>
      <c r="AS18" s="1">
        <v>1</v>
      </c>
      <c r="AT18" s="1">
        <v>2</v>
      </c>
      <c r="AV18" s="5" t="s">
        <v>3</v>
      </c>
      <c r="AW18" t="s">
        <v>459</v>
      </c>
      <c r="AZ18" s="5" t="s">
        <v>3</v>
      </c>
      <c r="BA18" t="s">
        <v>459</v>
      </c>
      <c r="BE18" s="7" t="s">
        <v>395</v>
      </c>
      <c r="BF18" s="1">
        <v>1</v>
      </c>
      <c r="BG18" s="1">
        <v>1</v>
      </c>
      <c r="BH18" s="1">
        <v>1</v>
      </c>
      <c r="BJ18" s="5" t="s">
        <v>15</v>
      </c>
      <c r="BK18" t="s">
        <v>86</v>
      </c>
      <c r="BM18" s="5" t="s">
        <v>6</v>
      </c>
      <c r="BN18" t="s">
        <v>459</v>
      </c>
      <c r="BT18" s="5" t="s">
        <v>6</v>
      </c>
      <c r="BU18" t="s">
        <v>460</v>
      </c>
    </row>
    <row r="19" spans="12:74" x14ac:dyDescent="0.35">
      <c r="L19" s="7" t="s">
        <v>49</v>
      </c>
      <c r="M19" s="1">
        <v>3</v>
      </c>
      <c r="Q19" s="5" t="s">
        <v>456</v>
      </c>
      <c r="R19" t="s">
        <v>121</v>
      </c>
      <c r="S19" t="s">
        <v>186</v>
      </c>
      <c r="T19" t="s">
        <v>187</v>
      </c>
      <c r="U19" t="s">
        <v>188</v>
      </c>
      <c r="V19" t="s">
        <v>122</v>
      </c>
      <c r="X19" s="6" t="s">
        <v>56</v>
      </c>
      <c r="Y19" s="1">
        <v>3</v>
      </c>
      <c r="Z19" s="1">
        <v>1</v>
      </c>
      <c r="AA19" s="1">
        <v>3</v>
      </c>
      <c r="AB19" s="1">
        <v>2</v>
      </c>
      <c r="AD19" s="6" t="s">
        <v>56</v>
      </c>
      <c r="AE19" s="1">
        <v>1</v>
      </c>
      <c r="AF19" s="35">
        <v>1</v>
      </c>
      <c r="AG19" s="35">
        <v>1</v>
      </c>
      <c r="AH19" s="1">
        <v>1</v>
      </c>
      <c r="AI19" s="1">
        <v>1</v>
      </c>
      <c r="AQ19" s="7" t="s">
        <v>395</v>
      </c>
      <c r="AR19" s="1">
        <v>1</v>
      </c>
      <c r="AS19" s="1">
        <v>1</v>
      </c>
      <c r="AT19" s="1">
        <v>1</v>
      </c>
      <c r="AV19" t="s">
        <v>269</v>
      </c>
      <c r="AZ19" t="s">
        <v>283</v>
      </c>
      <c r="BE19" s="6" t="s">
        <v>68</v>
      </c>
      <c r="BF19" s="1">
        <v>2</v>
      </c>
      <c r="BG19" s="1">
        <v>1</v>
      </c>
      <c r="BH19" s="1">
        <v>2</v>
      </c>
      <c r="BJ19" s="5" t="s">
        <v>16</v>
      </c>
      <c r="BK19" t="s">
        <v>459</v>
      </c>
      <c r="BM19" s="5" t="s">
        <v>3</v>
      </c>
      <c r="BN19" t="s">
        <v>461</v>
      </c>
      <c r="BT19" s="5" t="s">
        <v>3</v>
      </c>
      <c r="BU19" t="s">
        <v>459</v>
      </c>
    </row>
    <row r="20" spans="12:74" x14ac:dyDescent="0.35">
      <c r="L20" s="7" t="s">
        <v>71</v>
      </c>
      <c r="M20" s="1">
        <v>1</v>
      </c>
      <c r="Q20" s="6" t="s">
        <v>66</v>
      </c>
      <c r="R20" s="1">
        <v>1</v>
      </c>
      <c r="S20" s="35">
        <v>1</v>
      </c>
      <c r="T20" s="35">
        <v>1</v>
      </c>
      <c r="U20" s="1">
        <v>1</v>
      </c>
      <c r="V20" s="1">
        <v>1</v>
      </c>
      <c r="X20" s="6" t="s">
        <v>37</v>
      </c>
      <c r="Y20" s="1">
        <v>3</v>
      </c>
      <c r="Z20" s="1">
        <v>0.75</v>
      </c>
      <c r="AA20" s="1">
        <v>5</v>
      </c>
      <c r="AB20" s="1">
        <v>3</v>
      </c>
      <c r="AD20" s="6" t="s">
        <v>37</v>
      </c>
      <c r="AE20" s="1">
        <v>1</v>
      </c>
      <c r="AF20" s="35">
        <v>1</v>
      </c>
      <c r="AG20" s="35">
        <v>1</v>
      </c>
      <c r="AH20" s="1">
        <v>1</v>
      </c>
      <c r="AI20" s="1">
        <v>1</v>
      </c>
      <c r="AQ20" s="6" t="s">
        <v>66</v>
      </c>
      <c r="AR20" s="1">
        <v>2</v>
      </c>
      <c r="AS20" s="1">
        <v>1</v>
      </c>
      <c r="AT20" s="1">
        <v>2</v>
      </c>
      <c r="AV20" t="s">
        <v>121</v>
      </c>
      <c r="AW20" t="s">
        <v>188</v>
      </c>
      <c r="AX20" t="s">
        <v>122</v>
      </c>
      <c r="AZ20" t="s">
        <v>121</v>
      </c>
      <c r="BA20" t="s">
        <v>188</v>
      </c>
      <c r="BB20" t="s">
        <v>122</v>
      </c>
      <c r="BC20" t="s">
        <v>411</v>
      </c>
      <c r="BE20" s="7" t="s">
        <v>33</v>
      </c>
      <c r="BF20" s="1">
        <v>1</v>
      </c>
      <c r="BG20" s="1">
        <v>1</v>
      </c>
      <c r="BH20" s="1">
        <v>1</v>
      </c>
      <c r="BJ20" t="s">
        <v>86</v>
      </c>
      <c r="BM20" t="s">
        <v>442</v>
      </c>
      <c r="BT20" t="s">
        <v>269</v>
      </c>
    </row>
    <row r="21" spans="12:74" x14ac:dyDescent="0.35">
      <c r="L21" s="7" t="s">
        <v>77</v>
      </c>
      <c r="M21" s="1">
        <v>3</v>
      </c>
      <c r="Q21" s="6" t="s">
        <v>49</v>
      </c>
      <c r="R21" s="1">
        <v>1</v>
      </c>
      <c r="S21" s="35">
        <v>1</v>
      </c>
      <c r="T21" s="35">
        <v>1</v>
      </c>
      <c r="U21" s="1">
        <v>1</v>
      </c>
      <c r="V21" s="1">
        <v>1</v>
      </c>
      <c r="X21" s="6" t="s">
        <v>48</v>
      </c>
      <c r="Y21" s="1">
        <v>2</v>
      </c>
      <c r="Z21" s="1">
        <v>1</v>
      </c>
      <c r="AA21" s="1">
        <v>2</v>
      </c>
      <c r="AB21" s="1">
        <v>1</v>
      </c>
      <c r="AD21" s="6" t="s">
        <v>48</v>
      </c>
      <c r="AE21" s="1">
        <v>1</v>
      </c>
      <c r="AF21" s="35">
        <v>1</v>
      </c>
      <c r="AG21" s="35">
        <v>1</v>
      </c>
      <c r="AH21" s="1">
        <v>1</v>
      </c>
      <c r="AI21" s="1">
        <v>1</v>
      </c>
      <c r="AQ21" s="7" t="s">
        <v>33</v>
      </c>
      <c r="AR21" s="1">
        <v>1</v>
      </c>
      <c r="AS21" s="1">
        <v>1</v>
      </c>
      <c r="AT21" s="1">
        <v>1</v>
      </c>
      <c r="AV21" s="1">
        <v>7</v>
      </c>
      <c r="AW21" s="1">
        <v>0.875</v>
      </c>
      <c r="AX21" s="1">
        <v>9</v>
      </c>
      <c r="AZ21" s="1">
        <v>2</v>
      </c>
      <c r="BA21" s="1">
        <v>1</v>
      </c>
      <c r="BB21" s="1">
        <v>2</v>
      </c>
      <c r="BC21" s="1">
        <v>2</v>
      </c>
      <c r="BE21" s="7" t="s">
        <v>395</v>
      </c>
      <c r="BF21" s="1">
        <v>1</v>
      </c>
      <c r="BG21" s="1">
        <v>1</v>
      </c>
      <c r="BH21" s="1">
        <v>1</v>
      </c>
      <c r="BJ21" t="s">
        <v>149</v>
      </c>
      <c r="BM21" t="s">
        <v>121</v>
      </c>
      <c r="BN21" t="s">
        <v>390</v>
      </c>
      <c r="BO21" t="s">
        <v>294</v>
      </c>
      <c r="BP21" t="s">
        <v>122</v>
      </c>
      <c r="BQ21" t="s">
        <v>301</v>
      </c>
      <c r="BR21" t="s">
        <v>391</v>
      </c>
      <c r="BT21" t="s">
        <v>121</v>
      </c>
      <c r="BU21" t="s">
        <v>188</v>
      </c>
      <c r="BV21" t="s">
        <v>122</v>
      </c>
    </row>
    <row r="22" spans="12:74" x14ac:dyDescent="0.35">
      <c r="L22" s="7" t="s">
        <v>408</v>
      </c>
      <c r="M22" s="1">
        <v>1</v>
      </c>
      <c r="Q22" s="6" t="s">
        <v>77</v>
      </c>
      <c r="R22" s="1">
        <v>3</v>
      </c>
      <c r="S22" s="35">
        <v>1</v>
      </c>
      <c r="T22" s="35">
        <v>3</v>
      </c>
      <c r="U22" s="1">
        <v>1</v>
      </c>
      <c r="V22" s="1">
        <v>3</v>
      </c>
      <c r="X22" s="6" t="s">
        <v>104</v>
      </c>
      <c r="Y22" s="1">
        <v>1</v>
      </c>
      <c r="Z22" s="1">
        <v>1</v>
      </c>
      <c r="AA22" s="1">
        <v>1</v>
      </c>
      <c r="AB22" s="1">
        <v>1</v>
      </c>
      <c r="AD22" s="6" t="s">
        <v>104</v>
      </c>
      <c r="AE22" s="1">
        <v>2</v>
      </c>
      <c r="AF22" s="35">
        <v>1</v>
      </c>
      <c r="AG22" s="35">
        <v>2</v>
      </c>
      <c r="AH22" s="1">
        <v>1</v>
      </c>
      <c r="AI22" s="1">
        <v>2</v>
      </c>
      <c r="AQ22" s="7" t="s">
        <v>395</v>
      </c>
      <c r="AR22" s="1">
        <v>1</v>
      </c>
      <c r="AS22" s="1">
        <v>1</v>
      </c>
      <c r="AT22" s="1">
        <v>1</v>
      </c>
      <c r="AW22" s="1">
        <f>GETPIVOTDATA("Zbir od Iznos Din",$AV$20)/GETPIVOTDATA("Zbir od Količina",$AV$20)</f>
        <v>1.2857142857142858</v>
      </c>
      <c r="BA22" s="1">
        <f>GETPIVOTDATA("Zbir od Iznos Din",$AZ$20)/GETPIVOTDATA("Zbir od Količina",$AZ$20)</f>
        <v>1</v>
      </c>
      <c r="BB22">
        <f>GETPIVOTDATA("Sum of Obračunska Vrednost",$AZ$20)/GETPIVOTDATA("Zbir od Količina",$AZ$20)</f>
        <v>1</v>
      </c>
      <c r="BE22" s="6" t="s">
        <v>65</v>
      </c>
      <c r="BF22" s="1">
        <v>1</v>
      </c>
      <c r="BG22" s="1">
        <v>1</v>
      </c>
      <c r="BH22" s="1">
        <v>1</v>
      </c>
      <c r="BJ22" s="1">
        <v>1229421</v>
      </c>
      <c r="BM22" s="1">
        <v>166350</v>
      </c>
      <c r="BN22" s="1">
        <v>305.66666666666669</v>
      </c>
      <c r="BO22" s="1">
        <v>64000000</v>
      </c>
      <c r="BP22" s="1">
        <v>77059638.899999976</v>
      </c>
      <c r="BQ22" s="1">
        <v>6101327</v>
      </c>
      <c r="BR22" s="92">
        <v>78983820.105121791</v>
      </c>
      <c r="BT22" s="1">
        <v>7</v>
      </c>
      <c r="BU22" s="1">
        <v>0.875</v>
      </c>
      <c r="BV22" s="1">
        <v>9</v>
      </c>
    </row>
    <row r="23" spans="12:74" x14ac:dyDescent="0.35">
      <c r="L23" s="6" t="s">
        <v>102</v>
      </c>
      <c r="M23" s="1">
        <v>2</v>
      </c>
      <c r="Q23" s="6" t="s">
        <v>458</v>
      </c>
      <c r="R23" s="1">
        <v>5</v>
      </c>
      <c r="S23" s="35">
        <v>1</v>
      </c>
      <c r="T23" s="35">
        <v>5</v>
      </c>
      <c r="U23" s="1">
        <v>1</v>
      </c>
      <c r="V23" s="1">
        <v>5</v>
      </c>
      <c r="X23" s="6" t="s">
        <v>290</v>
      </c>
      <c r="Y23" s="1">
        <v>3</v>
      </c>
      <c r="Z23" s="1">
        <v>1</v>
      </c>
      <c r="AA23" s="1">
        <v>5</v>
      </c>
      <c r="AB23" s="1">
        <v>3</v>
      </c>
      <c r="AD23" s="6" t="s">
        <v>81</v>
      </c>
      <c r="AE23" s="1">
        <v>1</v>
      </c>
      <c r="AF23" s="35">
        <v>1</v>
      </c>
      <c r="AG23" s="35">
        <v>1</v>
      </c>
      <c r="AH23" s="1">
        <v>1</v>
      </c>
      <c r="AI23" s="1">
        <v>1</v>
      </c>
      <c r="AQ23" s="6" t="s">
        <v>120</v>
      </c>
      <c r="AR23" s="1">
        <v>1</v>
      </c>
      <c r="AS23" s="1">
        <v>1</v>
      </c>
      <c r="AT23" s="1">
        <v>1</v>
      </c>
      <c r="BE23" s="7" t="s">
        <v>395</v>
      </c>
      <c r="BF23" s="1">
        <v>1</v>
      </c>
      <c r="BG23" s="1">
        <v>1</v>
      </c>
      <c r="BH23" s="1">
        <v>1</v>
      </c>
      <c r="BU23" s="1">
        <f>GETPIVOTDATA("Zbir od Iznos Din",$AV$20)/GETPIVOTDATA("Zbir od Količina",$AV$20)</f>
        <v>1.2857142857142858</v>
      </c>
    </row>
    <row r="24" spans="12:74" x14ac:dyDescent="0.35">
      <c r="L24" s="6" t="s">
        <v>28</v>
      </c>
      <c r="M24" s="1">
        <v>17</v>
      </c>
      <c r="T24" t="s">
        <v>382</v>
      </c>
      <c r="U24">
        <f>GETPIVOTDATA("Zbir od Iznos Din",$Q$19)/GETPIVOTDATA("Zbir od Količina",$Q$19)</f>
        <v>1</v>
      </c>
      <c r="X24" s="6" t="s">
        <v>39</v>
      </c>
      <c r="Y24" s="1">
        <v>1</v>
      </c>
      <c r="Z24" s="1">
        <v>1</v>
      </c>
      <c r="AA24" s="1">
        <v>1</v>
      </c>
      <c r="AB24" s="1">
        <v>0</v>
      </c>
      <c r="AD24" s="6" t="s">
        <v>39</v>
      </c>
      <c r="AE24" s="1">
        <v>1</v>
      </c>
      <c r="AF24" s="35">
        <v>1</v>
      </c>
      <c r="AG24" s="35">
        <v>1</v>
      </c>
      <c r="AH24" s="1">
        <v>1</v>
      </c>
      <c r="AI24" s="1">
        <v>1</v>
      </c>
      <c r="AQ24" s="7" t="s">
        <v>33</v>
      </c>
      <c r="AR24" s="1">
        <v>1</v>
      </c>
      <c r="AS24" s="1">
        <v>1</v>
      </c>
      <c r="AT24" s="1">
        <v>1</v>
      </c>
      <c r="AV24" s="5" t="s">
        <v>4</v>
      </c>
      <c r="AW24" t="s">
        <v>460</v>
      </c>
      <c r="AZ24" s="5" t="s">
        <v>4</v>
      </c>
      <c r="BA24" t="s">
        <v>21</v>
      </c>
      <c r="BE24" s="6" t="s">
        <v>54</v>
      </c>
      <c r="BF24" s="1">
        <v>1</v>
      </c>
      <c r="BG24" s="1">
        <v>1</v>
      </c>
      <c r="BH24" s="1">
        <v>1</v>
      </c>
      <c r="BJ24" s="5" t="s">
        <v>15</v>
      </c>
      <c r="BK24" t="s">
        <v>110</v>
      </c>
    </row>
    <row r="25" spans="12:74" x14ac:dyDescent="0.35">
      <c r="L25" s="6" t="s">
        <v>101</v>
      </c>
      <c r="M25" s="1">
        <v>6</v>
      </c>
      <c r="X25" s="6" t="s">
        <v>52</v>
      </c>
      <c r="Y25" s="1">
        <v>1</v>
      </c>
      <c r="Z25" s="1">
        <v>1</v>
      </c>
      <c r="AA25" s="1">
        <v>1</v>
      </c>
      <c r="AB25" s="1">
        <v>0</v>
      </c>
      <c r="AD25" s="6" t="s">
        <v>79</v>
      </c>
      <c r="AE25" s="1">
        <v>2</v>
      </c>
      <c r="AF25" s="35">
        <v>1</v>
      </c>
      <c r="AG25" s="35">
        <v>2</v>
      </c>
      <c r="AH25" s="1">
        <v>1</v>
      </c>
      <c r="AI25" s="1">
        <v>2</v>
      </c>
      <c r="AQ25" s="6" t="s">
        <v>38</v>
      </c>
      <c r="AR25" s="1">
        <v>3</v>
      </c>
      <c r="AS25" s="1">
        <v>0.75</v>
      </c>
      <c r="AT25" s="1">
        <v>5</v>
      </c>
      <c r="AV25" s="5" t="s">
        <v>1</v>
      </c>
      <c r="AW25" t="s">
        <v>106</v>
      </c>
      <c r="AZ25" s="5" t="s">
        <v>1</v>
      </c>
      <c r="BA25" t="s">
        <v>106</v>
      </c>
      <c r="BE25" s="7" t="s">
        <v>395</v>
      </c>
      <c r="BF25" s="1">
        <v>1</v>
      </c>
      <c r="BG25" s="1">
        <v>1</v>
      </c>
      <c r="BH25" s="1">
        <v>1</v>
      </c>
      <c r="BJ25" s="5" t="s">
        <v>16</v>
      </c>
      <c r="BK25" t="s">
        <v>459</v>
      </c>
      <c r="BM25" s="5" t="s">
        <v>4</v>
      </c>
      <c r="BN25" t="s">
        <v>459</v>
      </c>
      <c r="BT25" s="5" t="s">
        <v>4</v>
      </c>
      <c r="BU25" t="s">
        <v>433</v>
      </c>
    </row>
    <row r="26" spans="12:74" x14ac:dyDescent="0.35">
      <c r="L26" s="6" t="s">
        <v>103</v>
      </c>
      <c r="M26" s="1">
        <v>1</v>
      </c>
      <c r="Q26" s="6"/>
      <c r="R26" s="1"/>
      <c r="X26" s="6" t="s">
        <v>58</v>
      </c>
      <c r="Y26" s="1">
        <v>1</v>
      </c>
      <c r="Z26" s="1">
        <v>1</v>
      </c>
      <c r="AA26" s="1">
        <v>1</v>
      </c>
      <c r="AB26" s="1">
        <v>0</v>
      </c>
      <c r="AD26" s="6" t="s">
        <v>78</v>
      </c>
      <c r="AE26" s="1">
        <v>2</v>
      </c>
      <c r="AF26" s="35">
        <v>1</v>
      </c>
      <c r="AG26" s="35">
        <v>2</v>
      </c>
      <c r="AH26" s="1">
        <v>1</v>
      </c>
      <c r="AI26" s="1">
        <v>2</v>
      </c>
      <c r="AQ26" s="7" t="s">
        <v>34</v>
      </c>
      <c r="AR26" s="1">
        <v>1</v>
      </c>
      <c r="AS26" s="1">
        <v>1</v>
      </c>
      <c r="AT26" s="1">
        <v>2</v>
      </c>
      <c r="AV26" s="5" t="s">
        <v>5</v>
      </c>
      <c r="AW26" t="s">
        <v>29</v>
      </c>
      <c r="AZ26" s="5" t="s">
        <v>5</v>
      </c>
      <c r="BA26" t="s">
        <v>24</v>
      </c>
      <c r="BE26" s="6" t="s">
        <v>60</v>
      </c>
      <c r="BF26" s="1">
        <v>1</v>
      </c>
      <c r="BG26" s="1">
        <v>1</v>
      </c>
      <c r="BH26" s="1">
        <v>1</v>
      </c>
      <c r="BJ26" t="s">
        <v>110</v>
      </c>
      <c r="BM26" s="5" t="s">
        <v>1</v>
      </c>
      <c r="BN26" t="s">
        <v>459</v>
      </c>
      <c r="BT26" s="5" t="s">
        <v>1</v>
      </c>
      <c r="BU26" t="s">
        <v>459</v>
      </c>
    </row>
    <row r="27" spans="12:74" x14ac:dyDescent="0.35">
      <c r="L27" s="6" t="s">
        <v>30</v>
      </c>
      <c r="M27" s="1">
        <v>12</v>
      </c>
      <c r="X27" s="6" t="s">
        <v>43</v>
      </c>
      <c r="Y27" s="1">
        <v>2</v>
      </c>
      <c r="Z27" s="1">
        <v>1</v>
      </c>
      <c r="AA27" s="1">
        <v>2</v>
      </c>
      <c r="AB27" s="1">
        <v>1</v>
      </c>
      <c r="AD27" s="6" t="s">
        <v>43</v>
      </c>
      <c r="AE27" s="1">
        <v>2</v>
      </c>
      <c r="AF27" s="35">
        <v>1</v>
      </c>
      <c r="AG27" s="35">
        <v>2</v>
      </c>
      <c r="AH27" s="1">
        <v>1</v>
      </c>
      <c r="AI27" s="1">
        <v>2</v>
      </c>
      <c r="AQ27" s="7" t="s">
        <v>33</v>
      </c>
      <c r="AR27" s="1">
        <v>1</v>
      </c>
      <c r="AS27" s="1">
        <v>0.5</v>
      </c>
      <c r="AT27" s="1">
        <v>2</v>
      </c>
      <c r="AV27" s="5" t="s">
        <v>2</v>
      </c>
      <c r="AW27" t="s">
        <v>459</v>
      </c>
      <c r="AZ27" s="5" t="s">
        <v>2</v>
      </c>
      <c r="BA27" t="s">
        <v>459</v>
      </c>
      <c r="BE27" s="7" t="s">
        <v>395</v>
      </c>
      <c r="BF27" s="1">
        <v>1</v>
      </c>
      <c r="BG27" s="1">
        <v>1</v>
      </c>
      <c r="BH27" s="1">
        <v>1</v>
      </c>
      <c r="BJ27" t="s">
        <v>149</v>
      </c>
      <c r="BM27" s="5" t="s">
        <v>5</v>
      </c>
      <c r="BN27" t="s">
        <v>459</v>
      </c>
      <c r="BT27" s="5" t="s">
        <v>5</v>
      </c>
      <c r="BU27" t="s">
        <v>460</v>
      </c>
    </row>
    <row r="28" spans="12:74" x14ac:dyDescent="0.35">
      <c r="L28" s="6" t="s">
        <v>24</v>
      </c>
      <c r="M28" s="1">
        <v>9</v>
      </c>
      <c r="Q28" s="5" t="s">
        <v>1</v>
      </c>
      <c r="R28" t="s">
        <v>109</v>
      </c>
      <c r="X28" s="6" t="s">
        <v>50</v>
      </c>
      <c r="Y28" s="1">
        <v>2</v>
      </c>
      <c r="Z28" s="1">
        <v>1</v>
      </c>
      <c r="AA28" s="1">
        <v>2</v>
      </c>
      <c r="AB28" s="1">
        <v>1</v>
      </c>
      <c r="AD28" s="6" t="s">
        <v>30</v>
      </c>
      <c r="AE28" s="1">
        <v>3</v>
      </c>
      <c r="AF28" s="35">
        <v>1</v>
      </c>
      <c r="AG28" s="35">
        <v>3</v>
      </c>
      <c r="AH28" s="1">
        <v>1</v>
      </c>
      <c r="AI28" s="1">
        <v>3</v>
      </c>
      <c r="AQ28" s="7" t="s">
        <v>395</v>
      </c>
      <c r="AR28" s="1">
        <v>1</v>
      </c>
      <c r="AS28" s="1">
        <v>1</v>
      </c>
      <c r="AT28" s="1">
        <v>1</v>
      </c>
      <c r="AV28" s="5" t="s">
        <v>6</v>
      </c>
      <c r="AW28" t="s">
        <v>460</v>
      </c>
      <c r="AZ28" s="5" t="s">
        <v>6</v>
      </c>
      <c r="BA28" t="s">
        <v>460</v>
      </c>
      <c r="BE28" s="6" t="s">
        <v>63</v>
      </c>
      <c r="BF28" s="1">
        <v>1</v>
      </c>
      <c r="BG28" s="1">
        <v>1</v>
      </c>
      <c r="BH28" s="1">
        <v>1</v>
      </c>
      <c r="BJ28" s="1">
        <v>1536661.82</v>
      </c>
      <c r="BM28" s="5" t="s">
        <v>2</v>
      </c>
      <c r="BN28" t="s">
        <v>459</v>
      </c>
      <c r="BT28" s="5" t="s">
        <v>2</v>
      </c>
      <c r="BU28" t="s">
        <v>459</v>
      </c>
    </row>
    <row r="29" spans="12:74" x14ac:dyDescent="0.35">
      <c r="L29" s="6" t="s">
        <v>23</v>
      </c>
      <c r="M29" s="1">
        <v>77149475.400000006</v>
      </c>
      <c r="Q29" s="5" t="s">
        <v>5</v>
      </c>
      <c r="R29" t="s">
        <v>460</v>
      </c>
      <c r="X29" s="6" t="s">
        <v>40</v>
      </c>
      <c r="Y29" s="1">
        <v>4</v>
      </c>
      <c r="Z29" s="1">
        <v>1</v>
      </c>
      <c r="AA29" s="1">
        <v>6</v>
      </c>
      <c r="AB29" s="1">
        <v>3</v>
      </c>
      <c r="AD29" s="6" t="s">
        <v>50</v>
      </c>
      <c r="AE29" s="1">
        <v>1</v>
      </c>
      <c r="AF29" s="35">
        <v>1</v>
      </c>
      <c r="AG29" s="35">
        <v>1</v>
      </c>
      <c r="AH29" s="1">
        <v>1</v>
      </c>
      <c r="AI29" s="1">
        <v>1</v>
      </c>
      <c r="AQ29" s="6" t="s">
        <v>57</v>
      </c>
      <c r="AR29" s="1">
        <v>1</v>
      </c>
      <c r="AS29" s="1">
        <v>1</v>
      </c>
      <c r="AT29" s="1">
        <v>1</v>
      </c>
      <c r="AV29" s="5" t="s">
        <v>3</v>
      </c>
      <c r="AW29" t="s">
        <v>459</v>
      </c>
      <c r="AZ29" s="5" t="s">
        <v>3</v>
      </c>
      <c r="BA29" t="s">
        <v>459</v>
      </c>
      <c r="BE29" s="7" t="s">
        <v>395</v>
      </c>
      <c r="BF29" s="1">
        <v>1</v>
      </c>
      <c r="BG29" s="1">
        <v>1</v>
      </c>
      <c r="BH29" s="1">
        <v>1</v>
      </c>
      <c r="BM29" s="5" t="s">
        <v>6</v>
      </c>
      <c r="BN29" t="s">
        <v>459</v>
      </c>
      <c r="BT29" s="5" t="s">
        <v>6</v>
      </c>
      <c r="BU29" t="s">
        <v>460</v>
      </c>
    </row>
    <row r="30" spans="12:74" x14ac:dyDescent="0.35">
      <c r="L30" s="6" t="s">
        <v>26</v>
      </c>
      <c r="M30" s="1">
        <v>3</v>
      </c>
      <c r="Q30" t="s">
        <v>129</v>
      </c>
      <c r="X30" s="6" t="s">
        <v>42</v>
      </c>
      <c r="Y30" s="1">
        <v>1</v>
      </c>
      <c r="Z30" s="1">
        <v>1</v>
      </c>
      <c r="AA30" s="1">
        <v>1</v>
      </c>
      <c r="AB30" s="1">
        <v>1</v>
      </c>
      <c r="AD30" s="6" t="s">
        <v>463</v>
      </c>
      <c r="AE30" s="1">
        <v>1</v>
      </c>
      <c r="AF30" s="35">
        <v>0.43</v>
      </c>
      <c r="AG30" s="35">
        <v>0.43</v>
      </c>
      <c r="AH30" s="1">
        <v>50</v>
      </c>
      <c r="AI30" s="1">
        <v>50</v>
      </c>
      <c r="AQ30" s="7" t="s">
        <v>395</v>
      </c>
      <c r="AR30" s="1">
        <v>1</v>
      </c>
      <c r="AS30" s="1">
        <v>1</v>
      </c>
      <c r="AT30" s="1">
        <v>1</v>
      </c>
      <c r="AV30" t="s">
        <v>269</v>
      </c>
      <c r="AZ30" t="s">
        <v>284</v>
      </c>
      <c r="BE30" s="6" t="s">
        <v>46</v>
      </c>
      <c r="BF30" s="1">
        <v>1</v>
      </c>
      <c r="BG30" s="1">
        <v>1</v>
      </c>
      <c r="BH30" s="1">
        <v>1</v>
      </c>
      <c r="BJ30" s="5" t="s">
        <v>15</v>
      </c>
      <c r="BK30" t="s">
        <v>286</v>
      </c>
      <c r="BM30" s="5" t="s">
        <v>3</v>
      </c>
      <c r="BN30" t="s">
        <v>33</v>
      </c>
      <c r="BT30" s="5" t="s">
        <v>3</v>
      </c>
      <c r="BU30" t="s">
        <v>459</v>
      </c>
    </row>
    <row r="31" spans="12:74" x14ac:dyDescent="0.35">
      <c r="L31" s="6" t="s">
        <v>290</v>
      </c>
      <c r="M31" s="1">
        <v>17</v>
      </c>
      <c r="Q31" s="5" t="s">
        <v>456</v>
      </c>
      <c r="R31" t="s">
        <v>121</v>
      </c>
      <c r="S31" t="s">
        <v>186</v>
      </c>
      <c r="T31" t="s">
        <v>187</v>
      </c>
      <c r="U31" t="s">
        <v>188</v>
      </c>
      <c r="V31" t="s">
        <v>122</v>
      </c>
      <c r="X31" s="6" t="s">
        <v>67</v>
      </c>
      <c r="Y31" s="1">
        <v>1</v>
      </c>
      <c r="Z31" s="1">
        <v>1</v>
      </c>
      <c r="AA31" s="1">
        <v>1</v>
      </c>
      <c r="AB31" s="1">
        <v>1</v>
      </c>
      <c r="AD31" s="6" t="s">
        <v>458</v>
      </c>
      <c r="AE31" s="1">
        <v>35</v>
      </c>
      <c r="AF31" s="35">
        <v>0.96657142857142853</v>
      </c>
      <c r="AG31" s="35">
        <v>34.229999999999997</v>
      </c>
      <c r="AH31" s="1">
        <v>2.4</v>
      </c>
      <c r="AI31" s="1">
        <v>84</v>
      </c>
      <c r="AQ31" s="6" t="s">
        <v>64</v>
      </c>
      <c r="AR31" s="1">
        <v>1</v>
      </c>
      <c r="AS31" s="1">
        <v>1</v>
      </c>
      <c r="AT31" s="1">
        <v>1</v>
      </c>
      <c r="AV31" t="s">
        <v>121</v>
      </c>
      <c r="AW31" t="s">
        <v>188</v>
      </c>
      <c r="AX31" t="s">
        <v>122</v>
      </c>
      <c r="AZ31" t="s">
        <v>121</v>
      </c>
      <c r="BA31" t="s">
        <v>188</v>
      </c>
      <c r="BB31" t="s">
        <v>122</v>
      </c>
      <c r="BC31" t="s">
        <v>411</v>
      </c>
      <c r="BE31" s="7" t="s">
        <v>395</v>
      </c>
      <c r="BF31" s="1">
        <v>1</v>
      </c>
      <c r="BG31" s="1">
        <v>1</v>
      </c>
      <c r="BH31" s="1">
        <v>1</v>
      </c>
      <c r="BJ31" s="5" t="s">
        <v>16</v>
      </c>
      <c r="BK31" t="s">
        <v>459</v>
      </c>
      <c r="BM31" t="s">
        <v>33</v>
      </c>
      <c r="BT31" t="s">
        <v>269</v>
      </c>
    </row>
    <row r="32" spans="12:74" x14ac:dyDescent="0.35">
      <c r="L32" s="7" t="s">
        <v>81</v>
      </c>
      <c r="M32" s="1">
        <v>1</v>
      </c>
      <c r="Q32" s="6" t="s">
        <v>81</v>
      </c>
      <c r="R32" s="1">
        <v>1</v>
      </c>
      <c r="S32" s="35">
        <v>1</v>
      </c>
      <c r="T32" s="35">
        <v>1</v>
      </c>
      <c r="U32" s="1">
        <v>1</v>
      </c>
      <c r="V32" s="1">
        <v>1</v>
      </c>
      <c r="X32" s="6" t="s">
        <v>387</v>
      </c>
      <c r="Y32" s="1">
        <v>1</v>
      </c>
      <c r="Z32" s="1">
        <v>1</v>
      </c>
      <c r="AA32" s="1">
        <v>1</v>
      </c>
      <c r="AB32" s="1">
        <v>1</v>
      </c>
      <c r="AQ32" s="7" t="s">
        <v>395</v>
      </c>
      <c r="AR32" s="1">
        <v>1</v>
      </c>
      <c r="AS32" s="1">
        <v>1</v>
      </c>
      <c r="AT32" s="1">
        <v>1</v>
      </c>
      <c r="AV32" s="1">
        <v>3</v>
      </c>
      <c r="AW32" s="1">
        <v>1</v>
      </c>
      <c r="AX32" s="1">
        <v>4</v>
      </c>
      <c r="AZ32" s="1">
        <v>6</v>
      </c>
      <c r="BA32" s="1">
        <v>1</v>
      </c>
      <c r="BB32" s="1">
        <v>6</v>
      </c>
      <c r="BC32" s="92">
        <v>5</v>
      </c>
      <c r="BE32" s="6" t="s">
        <v>59</v>
      </c>
      <c r="BF32" s="1">
        <v>2</v>
      </c>
      <c r="BG32" s="1">
        <v>1</v>
      </c>
      <c r="BH32" s="1">
        <v>2</v>
      </c>
      <c r="BJ32" t="s">
        <v>286</v>
      </c>
      <c r="BM32" t="s">
        <v>121</v>
      </c>
      <c r="BN32" t="s">
        <v>188</v>
      </c>
      <c r="BO32" t="s">
        <v>294</v>
      </c>
      <c r="BP32" t="s">
        <v>391</v>
      </c>
      <c r="BT32" t="s">
        <v>121</v>
      </c>
      <c r="BU32" t="s">
        <v>188</v>
      </c>
      <c r="BV32" t="s">
        <v>122</v>
      </c>
    </row>
    <row r="33" spans="12:74" x14ac:dyDescent="0.35">
      <c r="L33" s="7" t="s">
        <v>39</v>
      </c>
      <c r="M33" s="1">
        <v>2</v>
      </c>
      <c r="Q33" s="6" t="s">
        <v>39</v>
      </c>
      <c r="R33" s="1">
        <v>1</v>
      </c>
      <c r="S33" s="35">
        <v>1</v>
      </c>
      <c r="T33" s="35">
        <v>1</v>
      </c>
      <c r="U33" s="1">
        <v>1</v>
      </c>
      <c r="V33" s="1">
        <v>1</v>
      </c>
      <c r="X33" s="6" t="s">
        <v>389</v>
      </c>
      <c r="Y33" s="1">
        <v>1</v>
      </c>
      <c r="Z33" s="1">
        <v>1</v>
      </c>
      <c r="AA33" s="1">
        <v>1</v>
      </c>
      <c r="AB33" s="1">
        <v>1</v>
      </c>
      <c r="AQ33" s="6" t="s">
        <v>62</v>
      </c>
      <c r="AR33" s="1">
        <v>2</v>
      </c>
      <c r="AS33" s="1">
        <v>1</v>
      </c>
      <c r="AT33" s="1">
        <v>3</v>
      </c>
      <c r="AW33" s="1">
        <f>GETPIVOTDATA("Zbir od Iznos Din",$AV$31)/GETPIVOTDATA("Zbir od Količina",$AV$31)</f>
        <v>1.3333333333333333</v>
      </c>
      <c r="BA33" s="1">
        <f>GETPIVOTDATA("Zbir od Iznos Din",$AZ$31)/GETPIVOTDATA("Zbir od Količina",$AZ$31)</f>
        <v>1</v>
      </c>
      <c r="BB33">
        <f>GETPIVOTDATA("Sum of Obračunska Vrednost",$AZ$31)/GETPIVOTDATA("Zbir od Količina",$AZ$31)</f>
        <v>0.83333333333333337</v>
      </c>
      <c r="BE33" s="7" t="s">
        <v>33</v>
      </c>
      <c r="BF33" s="1">
        <v>1</v>
      </c>
      <c r="BG33" s="1">
        <v>1</v>
      </c>
      <c r="BH33" s="1">
        <v>1</v>
      </c>
      <c r="BJ33" t="s">
        <v>149</v>
      </c>
      <c r="BM33" s="1">
        <v>255</v>
      </c>
      <c r="BN33" s="1">
        <v>85.348837209302332</v>
      </c>
      <c r="BO33" s="1">
        <v>170049</v>
      </c>
      <c r="BP33" s="1">
        <v>89864.5</v>
      </c>
      <c r="BT33" s="1"/>
      <c r="BU33" s="1"/>
      <c r="BV33" s="1"/>
    </row>
    <row r="34" spans="12:74" x14ac:dyDescent="0.35">
      <c r="L34" s="7" t="s">
        <v>79</v>
      </c>
      <c r="M34" s="1">
        <v>2</v>
      </c>
      <c r="Q34" s="6" t="s">
        <v>79</v>
      </c>
      <c r="R34" s="1">
        <v>2</v>
      </c>
      <c r="S34" s="35">
        <v>1</v>
      </c>
      <c r="T34" s="35">
        <v>2</v>
      </c>
      <c r="U34" s="1">
        <v>1</v>
      </c>
      <c r="V34" s="1">
        <v>2</v>
      </c>
      <c r="X34" s="6" t="s">
        <v>68</v>
      </c>
      <c r="Y34" s="1">
        <v>2</v>
      </c>
      <c r="Z34" s="1">
        <v>1</v>
      </c>
      <c r="AA34" s="1">
        <v>2</v>
      </c>
      <c r="AB34" s="1">
        <v>1</v>
      </c>
      <c r="AQ34" s="7" t="s">
        <v>395</v>
      </c>
      <c r="AR34" s="1">
        <v>1</v>
      </c>
      <c r="AS34" s="1">
        <v>1</v>
      </c>
      <c r="AT34" s="1">
        <v>1</v>
      </c>
      <c r="BE34" s="7" t="s">
        <v>395</v>
      </c>
      <c r="BF34" s="1">
        <v>1</v>
      </c>
      <c r="BG34" s="1">
        <v>1</v>
      </c>
      <c r="BH34" s="1">
        <v>1</v>
      </c>
      <c r="BJ34" s="1">
        <v>736294.37</v>
      </c>
      <c r="BU34" s="1">
        <f>GETPIVOTDATA("Zbir od Iznos Din",$AV$31)/GETPIVOTDATA("Zbir od Količina",$AV$31)</f>
        <v>1.3333333333333333</v>
      </c>
    </row>
    <row r="35" spans="12:74" x14ac:dyDescent="0.35">
      <c r="L35" s="7" t="s">
        <v>78</v>
      </c>
      <c r="M35" s="1">
        <v>2</v>
      </c>
      <c r="Q35" s="6" t="s">
        <v>78</v>
      </c>
      <c r="R35" s="1">
        <v>2</v>
      </c>
      <c r="S35" s="35">
        <v>1</v>
      </c>
      <c r="T35" s="35">
        <v>2</v>
      </c>
      <c r="U35" s="1">
        <v>1</v>
      </c>
      <c r="V35" s="1">
        <v>2</v>
      </c>
      <c r="X35" s="6" t="s">
        <v>65</v>
      </c>
      <c r="Y35" s="1">
        <v>1</v>
      </c>
      <c r="Z35" s="1">
        <v>1</v>
      </c>
      <c r="AA35" s="1">
        <v>1</v>
      </c>
      <c r="AB35" s="1">
        <v>1</v>
      </c>
      <c r="AQ35" s="7" t="s">
        <v>401</v>
      </c>
      <c r="AR35" s="1">
        <v>1</v>
      </c>
      <c r="AS35" s="1">
        <v>1</v>
      </c>
      <c r="AT35" s="1">
        <v>2</v>
      </c>
      <c r="AV35" s="5" t="s">
        <v>4</v>
      </c>
      <c r="AW35" t="s">
        <v>460</v>
      </c>
      <c r="AZ35" s="5" t="s">
        <v>4</v>
      </c>
      <c r="BA35" t="s">
        <v>21</v>
      </c>
      <c r="BE35" s="6" t="s">
        <v>53</v>
      </c>
      <c r="BF35" s="1">
        <v>2</v>
      </c>
      <c r="BG35" s="1">
        <v>1</v>
      </c>
      <c r="BH35" s="1">
        <v>3</v>
      </c>
    </row>
    <row r="36" spans="12:74" x14ac:dyDescent="0.35">
      <c r="L36" s="7" t="s">
        <v>52</v>
      </c>
      <c r="M36" s="1">
        <v>1</v>
      </c>
      <c r="Q36" s="6" t="s">
        <v>43</v>
      </c>
      <c r="R36" s="1">
        <v>2</v>
      </c>
      <c r="S36" s="35">
        <v>1</v>
      </c>
      <c r="T36" s="35">
        <v>2</v>
      </c>
      <c r="U36" s="1">
        <v>1</v>
      </c>
      <c r="V36" s="1">
        <v>2</v>
      </c>
      <c r="X36" s="6" t="s">
        <v>119</v>
      </c>
      <c r="Y36" s="1">
        <v>1</v>
      </c>
      <c r="Z36" s="1">
        <v>1</v>
      </c>
      <c r="AA36" s="1">
        <v>1</v>
      </c>
      <c r="AB36" s="1">
        <v>1</v>
      </c>
      <c r="AQ36" s="6" t="s">
        <v>49</v>
      </c>
      <c r="AR36" s="1">
        <v>2</v>
      </c>
      <c r="AS36" s="1">
        <v>1</v>
      </c>
      <c r="AT36" s="1">
        <v>2</v>
      </c>
      <c r="AV36" s="5" t="s">
        <v>1</v>
      </c>
      <c r="AW36" t="s">
        <v>106</v>
      </c>
      <c r="AZ36" s="5" t="s">
        <v>1</v>
      </c>
      <c r="BA36" t="s">
        <v>106</v>
      </c>
      <c r="BE36" s="7" t="s">
        <v>395</v>
      </c>
      <c r="BF36" s="1">
        <v>1</v>
      </c>
      <c r="BG36" s="1">
        <v>1</v>
      </c>
      <c r="BH36" s="1">
        <v>1</v>
      </c>
      <c r="BJ36" s="5" t="s">
        <v>15</v>
      </c>
      <c r="BK36" t="s">
        <v>85</v>
      </c>
      <c r="BM36" s="5" t="s">
        <v>4</v>
      </c>
      <c r="BN36" t="s">
        <v>460</v>
      </c>
      <c r="BT36" s="5" t="s">
        <v>4</v>
      </c>
      <c r="BU36" t="s">
        <v>460</v>
      </c>
    </row>
    <row r="37" spans="12:74" x14ac:dyDescent="0.35">
      <c r="L37" s="7" t="s">
        <v>58</v>
      </c>
      <c r="M37" s="1">
        <v>1</v>
      </c>
      <c r="Q37" s="6" t="s">
        <v>458</v>
      </c>
      <c r="R37" s="1">
        <v>8</v>
      </c>
      <c r="S37" s="35">
        <v>1</v>
      </c>
      <c r="T37" s="35">
        <v>8</v>
      </c>
      <c r="U37" s="1">
        <v>1</v>
      </c>
      <c r="V37" s="1">
        <v>8</v>
      </c>
      <c r="X37" s="6" t="s">
        <v>118</v>
      </c>
      <c r="Y37" s="1">
        <v>1</v>
      </c>
      <c r="Z37" s="1">
        <v>1</v>
      </c>
      <c r="AA37" s="1">
        <v>1</v>
      </c>
      <c r="AB37" s="1">
        <v>0</v>
      </c>
      <c r="AQ37" s="7" t="s">
        <v>33</v>
      </c>
      <c r="AR37" s="1">
        <v>1</v>
      </c>
      <c r="AS37" s="1">
        <v>1</v>
      </c>
      <c r="AT37" s="1">
        <v>1</v>
      </c>
      <c r="AV37" s="5" t="s">
        <v>5</v>
      </c>
      <c r="AW37" t="s">
        <v>460</v>
      </c>
      <c r="AZ37" s="5" t="s">
        <v>5</v>
      </c>
      <c r="BA37" t="s">
        <v>25</v>
      </c>
      <c r="BE37" s="7" t="s">
        <v>430</v>
      </c>
      <c r="BF37" s="1">
        <v>1</v>
      </c>
      <c r="BG37" s="1">
        <v>1</v>
      </c>
      <c r="BH37" s="1">
        <v>2</v>
      </c>
      <c r="BJ37" s="5" t="s">
        <v>16</v>
      </c>
      <c r="BK37" t="s">
        <v>459</v>
      </c>
      <c r="BM37" s="5" t="s">
        <v>1</v>
      </c>
      <c r="BN37" t="s">
        <v>459</v>
      </c>
      <c r="BT37" s="5" t="s">
        <v>1</v>
      </c>
      <c r="BU37" t="s">
        <v>106</v>
      </c>
    </row>
    <row r="38" spans="12:74" x14ac:dyDescent="0.35">
      <c r="L38" s="7" t="s">
        <v>43</v>
      </c>
      <c r="M38" s="1">
        <v>3</v>
      </c>
      <c r="Q38" s="6"/>
      <c r="R38" s="1"/>
      <c r="T38" t="s">
        <v>382</v>
      </c>
      <c r="U38">
        <f>GETPIVOTDATA("Zbir od Iznos Din",$Q$31)/GETPIVOTDATA("Zbir od Količina",$Q$31)</f>
        <v>1</v>
      </c>
      <c r="X38" s="6" t="s">
        <v>54</v>
      </c>
      <c r="Y38" s="1">
        <v>1</v>
      </c>
      <c r="Z38" s="1">
        <v>1</v>
      </c>
      <c r="AA38" s="1">
        <v>1</v>
      </c>
      <c r="AB38" s="1">
        <v>1</v>
      </c>
      <c r="AQ38" s="7" t="s">
        <v>395</v>
      </c>
      <c r="AR38" s="1">
        <v>1</v>
      </c>
      <c r="AS38" s="1">
        <v>1</v>
      </c>
      <c r="AT38" s="1">
        <v>1</v>
      </c>
      <c r="AV38" s="5" t="s">
        <v>2</v>
      </c>
      <c r="AW38" t="s">
        <v>459</v>
      </c>
      <c r="AZ38" s="5" t="s">
        <v>2</v>
      </c>
      <c r="BA38" t="s">
        <v>459</v>
      </c>
      <c r="BE38" s="6" t="s">
        <v>35</v>
      </c>
      <c r="BF38" s="1">
        <v>165127</v>
      </c>
      <c r="BG38" s="1">
        <v>337.18421052631578</v>
      </c>
      <c r="BH38" s="1">
        <v>77149469.399999976</v>
      </c>
      <c r="BJ38" t="s">
        <v>85</v>
      </c>
      <c r="BM38" s="5" t="s">
        <v>5</v>
      </c>
      <c r="BN38" t="s">
        <v>459</v>
      </c>
      <c r="BT38" s="5" t="s">
        <v>5</v>
      </c>
      <c r="BU38" t="s">
        <v>460</v>
      </c>
    </row>
    <row r="39" spans="12:74" x14ac:dyDescent="0.35">
      <c r="L39" s="7" t="s">
        <v>290</v>
      </c>
      <c r="M39" s="1">
        <v>5</v>
      </c>
      <c r="Q39" s="6"/>
      <c r="R39" s="1"/>
      <c r="X39" s="6" t="s">
        <v>60</v>
      </c>
      <c r="Y39" s="1">
        <v>1</v>
      </c>
      <c r="Z39" s="1">
        <v>1</v>
      </c>
      <c r="AA39" s="1">
        <v>1</v>
      </c>
      <c r="AB39" s="1">
        <v>1</v>
      </c>
      <c r="AQ39" s="6" t="s">
        <v>381</v>
      </c>
      <c r="AR39" s="1">
        <v>2</v>
      </c>
      <c r="AS39" s="1">
        <v>1</v>
      </c>
      <c r="AT39" s="1">
        <v>2</v>
      </c>
      <c r="AV39" s="5" t="s">
        <v>6</v>
      </c>
      <c r="AW39" t="s">
        <v>459</v>
      </c>
      <c r="AZ39" s="5" t="s">
        <v>6</v>
      </c>
      <c r="BA39" t="s">
        <v>459</v>
      </c>
      <c r="BE39" s="7" t="s">
        <v>33</v>
      </c>
      <c r="BF39" s="1">
        <v>226</v>
      </c>
      <c r="BG39" s="1">
        <v>303.5</v>
      </c>
      <c r="BH39" s="1">
        <v>89829.5</v>
      </c>
      <c r="BJ39" t="s">
        <v>149</v>
      </c>
      <c r="BM39" s="5" t="s">
        <v>2</v>
      </c>
      <c r="BN39" t="s">
        <v>459</v>
      </c>
      <c r="BT39" s="5" t="s">
        <v>2</v>
      </c>
      <c r="BU39" t="s">
        <v>459</v>
      </c>
    </row>
    <row r="40" spans="12:74" x14ac:dyDescent="0.35">
      <c r="L40" s="6" t="s">
        <v>31</v>
      </c>
      <c r="M40" s="1">
        <v>10</v>
      </c>
      <c r="Q40" s="5" t="s">
        <v>1</v>
      </c>
      <c r="R40" t="s">
        <v>109</v>
      </c>
      <c r="X40" s="6" t="s">
        <v>63</v>
      </c>
      <c r="Y40" s="1">
        <v>1</v>
      </c>
      <c r="Z40" s="1">
        <v>1</v>
      </c>
      <c r="AA40" s="1">
        <v>1</v>
      </c>
      <c r="AB40" s="1">
        <v>1</v>
      </c>
      <c r="AQ40" s="7" t="s">
        <v>33</v>
      </c>
      <c r="AR40" s="1">
        <v>1</v>
      </c>
      <c r="AS40" s="1">
        <v>1</v>
      </c>
      <c r="AT40" s="1">
        <v>1</v>
      </c>
      <c r="AV40" s="5" t="s">
        <v>3</v>
      </c>
      <c r="AW40" t="s">
        <v>459</v>
      </c>
      <c r="AZ40" s="5" t="s">
        <v>3</v>
      </c>
      <c r="BA40" t="s">
        <v>459</v>
      </c>
      <c r="BE40" s="7" t="s">
        <v>115</v>
      </c>
      <c r="BF40" s="1">
        <v>1</v>
      </c>
      <c r="BG40" s="1">
        <v>1</v>
      </c>
      <c r="BH40" s="1">
        <v>1</v>
      </c>
      <c r="BJ40" s="1">
        <v>989919</v>
      </c>
      <c r="BM40" s="5" t="s">
        <v>6</v>
      </c>
      <c r="BN40" t="s">
        <v>459</v>
      </c>
      <c r="BT40" s="5" t="s">
        <v>6</v>
      </c>
      <c r="BU40" t="s">
        <v>459</v>
      </c>
    </row>
    <row r="41" spans="12:74" x14ac:dyDescent="0.35">
      <c r="L41" s="7" t="s">
        <v>76</v>
      </c>
      <c r="M41" s="1">
        <v>2</v>
      </c>
      <c r="Q41" s="5" t="s">
        <v>5</v>
      </c>
      <c r="R41" t="s">
        <v>460</v>
      </c>
      <c r="X41" s="6" t="s">
        <v>46</v>
      </c>
      <c r="Y41" s="1">
        <v>1</v>
      </c>
      <c r="Z41" s="1">
        <v>1</v>
      </c>
      <c r="AA41" s="1">
        <v>1</v>
      </c>
      <c r="AB41" s="1">
        <v>1</v>
      </c>
      <c r="AQ41" s="7" t="s">
        <v>395</v>
      </c>
      <c r="AR41" s="1">
        <v>1</v>
      </c>
      <c r="AS41" s="1">
        <v>1</v>
      </c>
      <c r="AT41" s="1">
        <v>1</v>
      </c>
      <c r="AV41" t="s">
        <v>269</v>
      </c>
      <c r="AZ41" t="s">
        <v>25</v>
      </c>
      <c r="BE41" s="7" t="s">
        <v>461</v>
      </c>
      <c r="BF41" s="1">
        <v>164900</v>
      </c>
      <c r="BG41" s="1">
        <v>366.8</v>
      </c>
      <c r="BH41" s="1">
        <v>77059638.899999976</v>
      </c>
      <c r="BM41" s="5" t="s">
        <v>3</v>
      </c>
      <c r="BN41" t="s">
        <v>475</v>
      </c>
      <c r="BT41" s="5" t="s">
        <v>3</v>
      </c>
      <c r="BU41" t="s">
        <v>459</v>
      </c>
    </row>
    <row r="42" spans="12:74" x14ac:dyDescent="0.35">
      <c r="L42" s="7" t="s">
        <v>73</v>
      </c>
      <c r="M42" s="1">
        <v>3</v>
      </c>
      <c r="Q42" t="s">
        <v>129</v>
      </c>
      <c r="X42" s="6" t="s">
        <v>117</v>
      </c>
      <c r="Y42" s="1">
        <v>1</v>
      </c>
      <c r="Z42" s="1">
        <v>1</v>
      </c>
      <c r="AA42" s="1">
        <v>1</v>
      </c>
      <c r="AB42" s="1">
        <v>1</v>
      </c>
      <c r="AQ42" s="6" t="s">
        <v>56</v>
      </c>
      <c r="AR42" s="1">
        <v>2</v>
      </c>
      <c r="AS42" s="1">
        <v>1</v>
      </c>
      <c r="AT42" s="1">
        <v>2</v>
      </c>
      <c r="AV42" t="s">
        <v>121</v>
      </c>
      <c r="AW42" t="s">
        <v>188</v>
      </c>
      <c r="AX42" t="s">
        <v>122</v>
      </c>
      <c r="AZ42" t="s">
        <v>121</v>
      </c>
      <c r="BA42" t="s">
        <v>188</v>
      </c>
      <c r="BB42" t="s">
        <v>122</v>
      </c>
      <c r="BC42" t="s">
        <v>411</v>
      </c>
      <c r="BE42" s="6" t="s">
        <v>55</v>
      </c>
      <c r="BF42" s="1">
        <v>3</v>
      </c>
      <c r="BG42" s="1">
        <v>1</v>
      </c>
      <c r="BH42" s="1">
        <v>3</v>
      </c>
      <c r="BJ42" s="5" t="s">
        <v>15</v>
      </c>
      <c r="BK42" t="s">
        <v>84</v>
      </c>
      <c r="BM42" t="s">
        <v>241</v>
      </c>
      <c r="BT42" t="s">
        <v>269</v>
      </c>
    </row>
    <row r="43" spans="12:74" x14ac:dyDescent="0.35">
      <c r="L43" s="7" t="s">
        <v>31</v>
      </c>
      <c r="M43" s="1">
        <v>5</v>
      </c>
      <c r="Q43" s="5" t="s">
        <v>456</v>
      </c>
      <c r="R43" t="s">
        <v>121</v>
      </c>
      <c r="S43" t="s">
        <v>186</v>
      </c>
      <c r="T43" t="s">
        <v>187</v>
      </c>
      <c r="U43" t="s">
        <v>188</v>
      </c>
      <c r="V43" t="s">
        <v>122</v>
      </c>
      <c r="X43" s="6" t="s">
        <v>59</v>
      </c>
      <c r="Y43" s="1">
        <v>2</v>
      </c>
      <c r="Z43" s="1">
        <v>1</v>
      </c>
      <c r="AA43" s="1">
        <v>2</v>
      </c>
      <c r="AB43" s="1">
        <v>1</v>
      </c>
      <c r="AQ43" s="7" t="s">
        <v>33</v>
      </c>
      <c r="AR43" s="1">
        <v>1</v>
      </c>
      <c r="AS43" s="1">
        <v>1</v>
      </c>
      <c r="AT43" s="1">
        <v>1</v>
      </c>
      <c r="AV43" s="1">
        <v>7</v>
      </c>
      <c r="AW43" s="1">
        <v>1</v>
      </c>
      <c r="AX43" s="1">
        <v>9</v>
      </c>
      <c r="AZ43" s="1">
        <v>8</v>
      </c>
      <c r="BA43" s="1">
        <v>0.88888888888888884</v>
      </c>
      <c r="BB43" s="1">
        <v>8</v>
      </c>
      <c r="BC43" s="92">
        <v>6</v>
      </c>
      <c r="BE43" s="7" t="s">
        <v>33</v>
      </c>
      <c r="BF43" s="1">
        <v>1</v>
      </c>
      <c r="BG43" s="1">
        <v>1</v>
      </c>
      <c r="BH43" s="1">
        <v>1</v>
      </c>
      <c r="BJ43" s="5" t="s">
        <v>16</v>
      </c>
      <c r="BK43" t="s">
        <v>459</v>
      </c>
      <c r="BM43" t="s">
        <v>121</v>
      </c>
      <c r="BN43" t="s">
        <v>188</v>
      </c>
      <c r="BO43" t="s">
        <v>294</v>
      </c>
      <c r="BP43" t="s">
        <v>391</v>
      </c>
      <c r="BT43" t="s">
        <v>121</v>
      </c>
      <c r="BU43" t="s">
        <v>188</v>
      </c>
      <c r="BV43" t="s">
        <v>122</v>
      </c>
    </row>
    <row r="44" spans="12:74" x14ac:dyDescent="0.35">
      <c r="L44" s="6" t="s">
        <v>457</v>
      </c>
      <c r="M44" s="1"/>
      <c r="Q44" s="6" t="s">
        <v>30</v>
      </c>
      <c r="R44" s="1">
        <v>3</v>
      </c>
      <c r="S44" s="35">
        <v>1</v>
      </c>
      <c r="T44" s="35">
        <v>3</v>
      </c>
      <c r="U44" s="1">
        <v>1</v>
      </c>
      <c r="V44" s="1">
        <v>3</v>
      </c>
      <c r="X44" s="6" t="s">
        <v>53</v>
      </c>
      <c r="Y44" s="1">
        <v>2</v>
      </c>
      <c r="Z44" s="1">
        <v>1</v>
      </c>
      <c r="AA44" s="1">
        <v>3</v>
      </c>
      <c r="AB44" s="1">
        <v>2</v>
      </c>
      <c r="AQ44" s="7" t="s">
        <v>395</v>
      </c>
      <c r="AR44" s="1">
        <v>1</v>
      </c>
      <c r="AS44" s="1">
        <v>1</v>
      </c>
      <c r="AT44" s="1">
        <v>1</v>
      </c>
      <c r="AW44">
        <f>GETPIVOTDATA("Zbir od Iznos Din",$AV$42)/GETPIVOTDATA("Zbir od Količina",$AV$42)</f>
        <v>1.2857142857142858</v>
      </c>
      <c r="AZ44" s="1"/>
      <c r="BA44" s="1">
        <f>GETPIVOTDATA("Zbir od Iznos Din",$AZ$42)/GETPIVOTDATA("Zbir od Količina",$AZ$42)</f>
        <v>1</v>
      </c>
      <c r="BB44" s="1">
        <f>GETPIVOTDATA("Sum of Obračunska Vrednost",$AZ$42)/GETPIVOTDATA("Zbir od Količina",$AZ$42)</f>
        <v>0.75</v>
      </c>
      <c r="BE44" s="7" t="s">
        <v>395</v>
      </c>
      <c r="BF44" s="1">
        <v>2</v>
      </c>
      <c r="BG44" s="1">
        <v>1</v>
      </c>
      <c r="BH44" s="1">
        <v>2</v>
      </c>
      <c r="BJ44" t="s">
        <v>84</v>
      </c>
      <c r="BM44" s="1">
        <v>0</v>
      </c>
      <c r="BN44" s="1">
        <v>0</v>
      </c>
      <c r="BO44" s="1">
        <v>5900000</v>
      </c>
      <c r="BP44" s="1">
        <v>0</v>
      </c>
      <c r="BT44" s="1">
        <v>7</v>
      </c>
      <c r="BU44" s="1">
        <v>1</v>
      </c>
      <c r="BV44" s="1">
        <v>9</v>
      </c>
    </row>
    <row r="45" spans="12:74" x14ac:dyDescent="0.35">
      <c r="L45" s="7" t="s">
        <v>457</v>
      </c>
      <c r="M45" s="1"/>
      <c r="Q45" s="6" t="s">
        <v>50</v>
      </c>
      <c r="R45" s="1">
        <v>1</v>
      </c>
      <c r="S45" s="35">
        <v>1</v>
      </c>
      <c r="T45" s="35">
        <v>1</v>
      </c>
      <c r="U45" s="1">
        <v>1</v>
      </c>
      <c r="V45" s="1">
        <v>1</v>
      </c>
      <c r="X45" s="6" t="s">
        <v>116</v>
      </c>
      <c r="Y45" s="1">
        <v>2</v>
      </c>
      <c r="Z45" s="1">
        <v>1</v>
      </c>
      <c r="AA45" s="1">
        <v>2</v>
      </c>
      <c r="AB45" s="1">
        <v>0</v>
      </c>
      <c r="AQ45" s="6" t="s">
        <v>37</v>
      </c>
      <c r="AR45" s="1">
        <v>3</v>
      </c>
      <c r="AS45" s="1">
        <v>0.75</v>
      </c>
      <c r="AT45" s="1">
        <v>5</v>
      </c>
      <c r="AV45" s="5" t="s">
        <v>4</v>
      </c>
      <c r="AW45" t="s">
        <v>460</v>
      </c>
      <c r="BA45" s="1"/>
      <c r="BE45" s="6" t="s">
        <v>36</v>
      </c>
      <c r="BF45" s="1">
        <v>2</v>
      </c>
      <c r="BG45" s="1">
        <v>0.66666666666666663</v>
      </c>
      <c r="BH45" s="1">
        <v>2</v>
      </c>
      <c r="BJ45" t="s">
        <v>149</v>
      </c>
      <c r="BU45">
        <f>GETPIVOTDATA("Zbir od Iznos Din",$AV$42)/GETPIVOTDATA("Zbir od Količina",$AV$42)</f>
        <v>1.2857142857142858</v>
      </c>
    </row>
    <row r="46" spans="12:74" x14ac:dyDescent="0.35">
      <c r="L46" s="6" t="s">
        <v>42</v>
      </c>
      <c r="M46" s="1">
        <v>2</v>
      </c>
      <c r="Q46" s="6" t="s">
        <v>458</v>
      </c>
      <c r="R46" s="1">
        <v>4</v>
      </c>
      <c r="S46" s="35">
        <v>1</v>
      </c>
      <c r="T46" s="35">
        <v>4</v>
      </c>
      <c r="U46" s="1">
        <v>1</v>
      </c>
      <c r="V46" s="1">
        <v>4</v>
      </c>
      <c r="X46" s="6" t="s">
        <v>35</v>
      </c>
      <c r="Y46" s="1">
        <v>165127</v>
      </c>
      <c r="Z46" s="1">
        <v>337.18421052631578</v>
      </c>
      <c r="AA46" s="1">
        <v>77149469.399999976</v>
      </c>
      <c r="AB46" s="1">
        <v>71886646.588751033</v>
      </c>
      <c r="AQ46" s="7" t="s">
        <v>34</v>
      </c>
      <c r="AR46" s="1">
        <v>1</v>
      </c>
      <c r="AS46" s="1">
        <v>1</v>
      </c>
      <c r="AT46" s="1">
        <v>2</v>
      </c>
      <c r="AV46" s="5" t="s">
        <v>1</v>
      </c>
      <c r="AW46" t="s">
        <v>106</v>
      </c>
      <c r="AZ46" s="5" t="s">
        <v>4</v>
      </c>
      <c r="BA46" t="s">
        <v>21</v>
      </c>
      <c r="BE46" s="7" t="s">
        <v>33</v>
      </c>
      <c r="BF46" s="1">
        <v>0</v>
      </c>
      <c r="BG46" s="1">
        <v>0</v>
      </c>
      <c r="BH46" s="1">
        <v>0</v>
      </c>
      <c r="BJ46" s="1">
        <v>1780001</v>
      </c>
      <c r="BT46" s="5" t="s">
        <v>4</v>
      </c>
      <c r="BU46" t="s">
        <v>460</v>
      </c>
    </row>
    <row r="47" spans="12:74" x14ac:dyDescent="0.35">
      <c r="L47" s="7" t="s">
        <v>76</v>
      </c>
      <c r="M47" s="1">
        <v>1</v>
      </c>
      <c r="U47">
        <f>GETPIVOTDATA("Zbir od Iznos Din",$Q$43)/GETPIVOTDATA("Zbir od Količina",$Q$43)</f>
        <v>1</v>
      </c>
      <c r="X47" s="6" t="s">
        <v>55</v>
      </c>
      <c r="Y47" s="1">
        <v>3</v>
      </c>
      <c r="Z47" s="1">
        <v>1</v>
      </c>
      <c r="AA47" s="1">
        <v>3</v>
      </c>
      <c r="AB47" s="1">
        <v>2</v>
      </c>
      <c r="AQ47" s="7" t="s">
        <v>33</v>
      </c>
      <c r="AR47" s="1">
        <v>1</v>
      </c>
      <c r="AS47" s="1">
        <v>0.5</v>
      </c>
      <c r="AT47" s="1">
        <v>2</v>
      </c>
      <c r="AV47" s="5" t="s">
        <v>5</v>
      </c>
      <c r="AW47" t="s">
        <v>30</v>
      </c>
      <c r="AZ47" s="5" t="s">
        <v>1</v>
      </c>
      <c r="BA47" t="s">
        <v>106</v>
      </c>
      <c r="BE47" s="7" t="s">
        <v>395</v>
      </c>
      <c r="BF47" s="1">
        <v>2</v>
      </c>
      <c r="BG47" s="1">
        <v>1</v>
      </c>
      <c r="BH47" s="1">
        <v>2</v>
      </c>
      <c r="BM47" s="5" t="s">
        <v>4</v>
      </c>
      <c r="BN47" t="s">
        <v>21</v>
      </c>
      <c r="BT47" s="5" t="s">
        <v>1</v>
      </c>
      <c r="BU47" t="s">
        <v>106</v>
      </c>
    </row>
    <row r="48" spans="12:74" x14ac:dyDescent="0.35">
      <c r="L48" s="7" t="s">
        <v>42</v>
      </c>
      <c r="M48" s="1">
        <v>1</v>
      </c>
      <c r="X48" s="6" t="s">
        <v>36</v>
      </c>
      <c r="Y48" s="1">
        <v>2</v>
      </c>
      <c r="Z48" s="1">
        <v>0.66666666666666663</v>
      </c>
      <c r="AA48" s="1">
        <v>2</v>
      </c>
      <c r="AB48" s="1">
        <v>2</v>
      </c>
      <c r="AQ48" s="7" t="s">
        <v>395</v>
      </c>
      <c r="AR48" s="1">
        <v>1</v>
      </c>
      <c r="AS48" s="1">
        <v>1</v>
      </c>
      <c r="AT48" s="1">
        <v>1</v>
      </c>
      <c r="AV48" s="5" t="s">
        <v>2</v>
      </c>
      <c r="AW48" t="s">
        <v>459</v>
      </c>
      <c r="AZ48" s="5" t="s">
        <v>5</v>
      </c>
      <c r="BA48" t="s">
        <v>26</v>
      </c>
      <c r="BE48" s="6" t="s">
        <v>47</v>
      </c>
      <c r="BF48" s="1">
        <v>3</v>
      </c>
      <c r="BG48" s="1">
        <v>1</v>
      </c>
      <c r="BH48" s="1">
        <v>3</v>
      </c>
      <c r="BJ48" s="5" t="s">
        <v>15</v>
      </c>
      <c r="BK48" t="s">
        <v>384</v>
      </c>
      <c r="BM48" s="5" t="s">
        <v>1</v>
      </c>
      <c r="BN48" t="s">
        <v>459</v>
      </c>
      <c r="BT48" s="5" t="s">
        <v>5</v>
      </c>
      <c r="BU48" t="s">
        <v>30</v>
      </c>
    </row>
    <row r="49" spans="12:74" x14ac:dyDescent="0.35">
      <c r="L49" s="6" t="s">
        <v>25</v>
      </c>
      <c r="M49" s="1">
        <v>8</v>
      </c>
      <c r="X49" s="6" t="s">
        <v>47</v>
      </c>
      <c r="Y49" s="1">
        <v>3</v>
      </c>
      <c r="Z49" s="1">
        <v>1</v>
      </c>
      <c r="AA49" s="1">
        <v>3</v>
      </c>
      <c r="AB49" s="1">
        <v>2</v>
      </c>
      <c r="AQ49" s="6" t="s">
        <v>48</v>
      </c>
      <c r="AR49" s="1">
        <v>2</v>
      </c>
      <c r="AS49" s="1">
        <v>1</v>
      </c>
      <c r="AT49" s="1">
        <v>2</v>
      </c>
      <c r="AV49" s="5" t="s">
        <v>6</v>
      </c>
      <c r="AW49" t="s">
        <v>459</v>
      </c>
      <c r="AZ49" s="5" t="s">
        <v>2</v>
      </c>
      <c r="BA49" t="s">
        <v>459</v>
      </c>
      <c r="BE49" s="7" t="s">
        <v>33</v>
      </c>
      <c r="BF49" s="1">
        <v>1</v>
      </c>
      <c r="BG49" s="1">
        <v>1</v>
      </c>
      <c r="BH49" s="1">
        <v>1</v>
      </c>
      <c r="BJ49" s="5" t="s">
        <v>16</v>
      </c>
      <c r="BK49" t="s">
        <v>459</v>
      </c>
      <c r="BM49" s="5" t="s">
        <v>5</v>
      </c>
      <c r="BN49" t="s">
        <v>459</v>
      </c>
      <c r="BT49" s="5" t="s">
        <v>2</v>
      </c>
      <c r="BU49" t="s">
        <v>459</v>
      </c>
    </row>
    <row r="50" spans="12:74" x14ac:dyDescent="0.35">
      <c r="L50" s="7" t="s">
        <v>55</v>
      </c>
      <c r="M50" s="1">
        <v>3</v>
      </c>
      <c r="X50" s="6" t="s">
        <v>433</v>
      </c>
      <c r="Y50" s="1">
        <v>2</v>
      </c>
      <c r="Z50" s="1">
        <v>25</v>
      </c>
      <c r="AA50" s="1">
        <v>50</v>
      </c>
      <c r="AB50" s="1">
        <v>50</v>
      </c>
      <c r="AQ50" s="7" t="s">
        <v>33</v>
      </c>
      <c r="AR50" s="1">
        <v>1</v>
      </c>
      <c r="AS50" s="1">
        <v>1</v>
      </c>
      <c r="AT50" s="1">
        <v>1</v>
      </c>
      <c r="AV50" s="5" t="s">
        <v>3</v>
      </c>
      <c r="AW50" t="s">
        <v>459</v>
      </c>
      <c r="AZ50" s="5" t="s">
        <v>6</v>
      </c>
      <c r="BA50" t="s">
        <v>459</v>
      </c>
      <c r="BE50" s="7" t="s">
        <v>395</v>
      </c>
      <c r="BF50" s="1">
        <v>2</v>
      </c>
      <c r="BG50" s="1">
        <v>1</v>
      </c>
      <c r="BH50" s="1">
        <v>2</v>
      </c>
      <c r="BJ50" t="s">
        <v>84</v>
      </c>
      <c r="BM50" s="5" t="s">
        <v>2</v>
      </c>
      <c r="BN50" t="s">
        <v>459</v>
      </c>
      <c r="BT50" s="5" t="s">
        <v>6</v>
      </c>
      <c r="BU50" t="s">
        <v>459</v>
      </c>
    </row>
    <row r="51" spans="12:74" x14ac:dyDescent="0.35">
      <c r="L51" s="7" t="s">
        <v>36</v>
      </c>
      <c r="M51" s="1">
        <v>2</v>
      </c>
      <c r="X51" s="6" t="s">
        <v>388</v>
      </c>
      <c r="Y51" s="1">
        <v>1452</v>
      </c>
      <c r="Z51" s="1">
        <v>0.2857142857142857</v>
      </c>
      <c r="AA51" s="1">
        <v>3</v>
      </c>
      <c r="AB51" s="1">
        <v>1</v>
      </c>
      <c r="AQ51" s="7" t="s">
        <v>395</v>
      </c>
      <c r="AR51" s="1">
        <v>1</v>
      </c>
      <c r="AS51" s="1">
        <v>1</v>
      </c>
      <c r="AT51" s="1">
        <v>1</v>
      </c>
      <c r="AV51" t="s">
        <v>269</v>
      </c>
      <c r="AZ51" s="5" t="s">
        <v>3</v>
      </c>
      <c r="BA51" t="s">
        <v>459</v>
      </c>
      <c r="BE51" s="6" t="s">
        <v>388</v>
      </c>
      <c r="BF51" s="1">
        <v>1452</v>
      </c>
      <c r="BG51" s="1">
        <v>0.2857142857142857</v>
      </c>
      <c r="BH51" s="1">
        <v>3</v>
      </c>
      <c r="BJ51" t="s">
        <v>149</v>
      </c>
      <c r="BM51" s="5" t="s">
        <v>6</v>
      </c>
      <c r="BN51" t="s">
        <v>459</v>
      </c>
      <c r="BT51" s="5" t="s">
        <v>3</v>
      </c>
      <c r="BU51" t="s">
        <v>459</v>
      </c>
    </row>
    <row r="52" spans="12:74" x14ac:dyDescent="0.35">
      <c r="L52" s="7" t="s">
        <v>47</v>
      </c>
      <c r="M52" s="1">
        <v>3</v>
      </c>
      <c r="Q52" s="5" t="s">
        <v>1</v>
      </c>
      <c r="R52" t="s">
        <v>109</v>
      </c>
      <c r="X52" s="6" t="s">
        <v>458</v>
      </c>
      <c r="Y52" s="1">
        <v>166658</v>
      </c>
      <c r="Z52" s="1">
        <v>102.7063492063492</v>
      </c>
      <c r="AA52" s="1">
        <v>77149613.399999976</v>
      </c>
      <c r="AB52" s="1">
        <v>71886752.588751033</v>
      </c>
      <c r="AQ52" s="6" t="s">
        <v>290</v>
      </c>
      <c r="AR52" s="1">
        <v>3</v>
      </c>
      <c r="AS52" s="1">
        <v>1</v>
      </c>
      <c r="AT52" s="1">
        <v>5</v>
      </c>
      <c r="AV52" t="s">
        <v>121</v>
      </c>
      <c r="AW52" t="s">
        <v>188</v>
      </c>
      <c r="AX52" t="s">
        <v>122</v>
      </c>
      <c r="AZ52" t="s">
        <v>26</v>
      </c>
      <c r="BE52" s="7" t="s">
        <v>33</v>
      </c>
      <c r="BF52" s="1">
        <v>1</v>
      </c>
      <c r="BG52" s="1">
        <v>1</v>
      </c>
      <c r="BH52" s="1">
        <v>2</v>
      </c>
      <c r="BJ52" s="1">
        <v>1</v>
      </c>
      <c r="BM52" s="5" t="s">
        <v>3</v>
      </c>
      <c r="BN52" t="s">
        <v>459</v>
      </c>
      <c r="BT52" t="s">
        <v>269</v>
      </c>
    </row>
    <row r="53" spans="12:74" x14ac:dyDescent="0.35">
      <c r="L53" s="6" t="s">
        <v>433</v>
      </c>
      <c r="M53" s="1">
        <v>100</v>
      </c>
      <c r="Q53" s="5" t="s">
        <v>5</v>
      </c>
      <c r="R53" t="s">
        <v>31</v>
      </c>
      <c r="AQ53" s="7" t="s">
        <v>34</v>
      </c>
      <c r="AR53" s="1">
        <v>1</v>
      </c>
      <c r="AS53" s="1">
        <v>1</v>
      </c>
      <c r="AT53" s="1">
        <v>2</v>
      </c>
      <c r="AV53" s="1">
        <v>6</v>
      </c>
      <c r="AW53" s="1">
        <v>1</v>
      </c>
      <c r="AX53" s="1">
        <v>8</v>
      </c>
      <c r="AZ53" t="s">
        <v>121</v>
      </c>
      <c r="BA53" t="s">
        <v>188</v>
      </c>
      <c r="BB53" t="s">
        <v>122</v>
      </c>
      <c r="BC53" t="s">
        <v>411</v>
      </c>
      <c r="BE53" s="7" t="s">
        <v>395</v>
      </c>
      <c r="BF53" s="1">
        <v>1</v>
      </c>
      <c r="BG53" s="1">
        <v>1</v>
      </c>
      <c r="BH53" s="1">
        <v>1</v>
      </c>
      <c r="BM53" t="s">
        <v>295</v>
      </c>
      <c r="BT53" t="s">
        <v>121</v>
      </c>
      <c r="BU53" t="s">
        <v>188</v>
      </c>
      <c r="BV53" t="s">
        <v>122</v>
      </c>
    </row>
    <row r="54" spans="12:74" x14ac:dyDescent="0.35">
      <c r="L54" s="7" t="s">
        <v>463</v>
      </c>
      <c r="M54" s="1">
        <v>50</v>
      </c>
      <c r="Q54" t="s">
        <v>129</v>
      </c>
      <c r="AQ54" s="7" t="s">
        <v>33</v>
      </c>
      <c r="AR54" s="1">
        <v>1</v>
      </c>
      <c r="AS54" s="1">
        <v>1</v>
      </c>
      <c r="AT54" s="1">
        <v>2</v>
      </c>
      <c r="AW54" s="1">
        <f>GETPIVOTDATA("Zbir od Iznos Din",$AV$52)/GETPIVOTDATA("Zbir od Količina",$AV$52)</f>
        <v>1.3333333333333333</v>
      </c>
      <c r="AZ54" s="1">
        <v>1452</v>
      </c>
      <c r="BA54" s="1">
        <v>0.2857142857142857</v>
      </c>
      <c r="BB54" s="1">
        <v>3</v>
      </c>
      <c r="BC54" s="92">
        <v>1</v>
      </c>
      <c r="BE54" s="7" t="s">
        <v>461</v>
      </c>
      <c r="BF54" s="1">
        <v>1450</v>
      </c>
      <c r="BG54" s="1">
        <v>0</v>
      </c>
      <c r="BH54" s="1">
        <v>0</v>
      </c>
      <c r="BM54" t="s">
        <v>293</v>
      </c>
      <c r="BT54" s="1">
        <v>6</v>
      </c>
      <c r="BU54" s="1">
        <v>1</v>
      </c>
      <c r="BV54" s="1">
        <v>8</v>
      </c>
    </row>
    <row r="55" spans="12:74" x14ac:dyDescent="0.35">
      <c r="L55" s="7" t="s">
        <v>433</v>
      </c>
      <c r="M55" s="1">
        <v>50</v>
      </c>
      <c r="Q55" s="5" t="s">
        <v>456</v>
      </c>
      <c r="R55" t="s">
        <v>121</v>
      </c>
      <c r="S55" t="s">
        <v>186</v>
      </c>
      <c r="T55" t="s">
        <v>187</v>
      </c>
      <c r="U55" t="s">
        <v>188</v>
      </c>
      <c r="V55" t="s">
        <v>122</v>
      </c>
      <c r="AQ55" s="7" t="s">
        <v>395</v>
      </c>
      <c r="AR55" s="1">
        <v>1</v>
      </c>
      <c r="AS55" s="1">
        <v>1</v>
      </c>
      <c r="AT55" s="1">
        <v>1</v>
      </c>
      <c r="AV55" s="5" t="s">
        <v>4</v>
      </c>
      <c r="AW55" t="s">
        <v>460</v>
      </c>
      <c r="AZ55" s="1"/>
      <c r="BA55" s="1">
        <f>GETPIVOTDATA("Zbir od Iznos Din",$AZ$53)/GETPIVOTDATA("Zbir od Količina",$AZ$53)</f>
        <v>2.0661157024793389E-3</v>
      </c>
      <c r="BB55" s="1">
        <f>GETPIVOTDATA("Sum of Obračunska Vrednost",$AZ$53)/GETPIVOTDATA("Zbir od Količina",$AZ$53)</f>
        <v>6.8870523415977963E-4</v>
      </c>
      <c r="BE55" s="6" t="s">
        <v>458</v>
      </c>
      <c r="BF55" s="1">
        <v>166604</v>
      </c>
      <c r="BG55" s="1">
        <v>180.8450704225352</v>
      </c>
      <c r="BH55" s="1">
        <v>77149498.399999976</v>
      </c>
      <c r="BM55" s="1">
        <v>0</v>
      </c>
      <c r="BU55" s="1">
        <f>GETPIVOTDATA("Zbir od Iznos Din",$AV$52)/GETPIVOTDATA("Zbir od Količina",$AV$52)</f>
        <v>1.3333333333333333</v>
      </c>
    </row>
    <row r="56" spans="12:74" x14ac:dyDescent="0.35">
      <c r="L56" s="6" t="s">
        <v>458</v>
      </c>
      <c r="M56" s="1">
        <v>77149697.400000006</v>
      </c>
      <c r="Q56" s="6" t="s">
        <v>76</v>
      </c>
      <c r="R56" s="1">
        <v>2</v>
      </c>
      <c r="S56" s="35">
        <v>1</v>
      </c>
      <c r="T56" s="35">
        <v>2</v>
      </c>
      <c r="U56" s="1">
        <v>1</v>
      </c>
      <c r="V56" s="1">
        <v>2</v>
      </c>
      <c r="AQ56" s="6" t="s">
        <v>39</v>
      </c>
      <c r="AR56" s="1">
        <v>1</v>
      </c>
      <c r="AS56" s="1">
        <v>1</v>
      </c>
      <c r="AT56" s="1">
        <v>1</v>
      </c>
      <c r="AV56" s="5" t="s">
        <v>1</v>
      </c>
      <c r="AW56" t="s">
        <v>106</v>
      </c>
      <c r="BA56" s="1"/>
      <c r="BT56" s="5" t="s">
        <v>4</v>
      </c>
      <c r="BU56" t="s">
        <v>460</v>
      </c>
    </row>
    <row r="57" spans="12:74" x14ac:dyDescent="0.35">
      <c r="Q57" s="6" t="s">
        <v>73</v>
      </c>
      <c r="R57" s="1">
        <v>3</v>
      </c>
      <c r="S57" s="35">
        <v>1</v>
      </c>
      <c r="T57" s="35">
        <v>3.4000000000000004</v>
      </c>
      <c r="U57" s="1">
        <v>1</v>
      </c>
      <c r="V57" s="1">
        <v>3</v>
      </c>
      <c r="AQ57" s="7" t="s">
        <v>33</v>
      </c>
      <c r="AR57" s="1">
        <v>1</v>
      </c>
      <c r="AS57" s="1">
        <v>1</v>
      </c>
      <c r="AT57" s="1">
        <v>1</v>
      </c>
      <c r="AV57" s="5" t="s">
        <v>5</v>
      </c>
      <c r="AW57" t="s">
        <v>31</v>
      </c>
      <c r="AZ57" s="5" t="s">
        <v>4</v>
      </c>
      <c r="BA57" t="s">
        <v>21</v>
      </c>
      <c r="BT57" s="5" t="s">
        <v>1</v>
      </c>
      <c r="BU57" t="s">
        <v>106</v>
      </c>
    </row>
    <row r="58" spans="12:74" x14ac:dyDescent="0.35">
      <c r="Q58" s="6" t="s">
        <v>458</v>
      </c>
      <c r="R58" s="1">
        <v>5</v>
      </c>
      <c r="S58" s="35">
        <v>1</v>
      </c>
      <c r="T58" s="35">
        <v>5.4</v>
      </c>
      <c r="U58" s="1">
        <v>1</v>
      </c>
      <c r="V58" s="1">
        <v>5</v>
      </c>
      <c r="AQ58" s="6" t="s">
        <v>52</v>
      </c>
      <c r="AR58" s="1">
        <v>1</v>
      </c>
      <c r="AS58" s="1">
        <v>1</v>
      </c>
      <c r="AT58" s="1">
        <v>1</v>
      </c>
      <c r="AV58" s="5" t="s">
        <v>2</v>
      </c>
      <c r="AW58" t="s">
        <v>20</v>
      </c>
      <c r="AZ58" s="5" t="s">
        <v>1</v>
      </c>
      <c r="BA58" t="s">
        <v>106</v>
      </c>
      <c r="BT58" s="5" t="s">
        <v>5</v>
      </c>
      <c r="BU58" t="s">
        <v>31</v>
      </c>
    </row>
    <row r="59" spans="12:74" x14ac:dyDescent="0.35">
      <c r="Q59" s="6"/>
      <c r="R59" s="1"/>
      <c r="U59">
        <f>GETPIVOTDATA("Zbir od Iznos Din",$Q$55)/GETPIVOTDATA("Zbir od Količina",$Q$55)</f>
        <v>1</v>
      </c>
      <c r="AQ59" s="7" t="s">
        <v>33</v>
      </c>
      <c r="AR59" s="1">
        <v>1</v>
      </c>
      <c r="AS59" s="1">
        <v>1</v>
      </c>
      <c r="AT59" s="1">
        <v>1</v>
      </c>
      <c r="AV59" s="5" t="s">
        <v>6</v>
      </c>
      <c r="AW59" t="s">
        <v>459</v>
      </c>
      <c r="AZ59" s="5" t="s">
        <v>5</v>
      </c>
      <c r="BA59" t="s">
        <v>42</v>
      </c>
      <c r="BM59" s="5" t="s">
        <v>4</v>
      </c>
      <c r="BN59" t="s">
        <v>459</v>
      </c>
      <c r="BT59" s="5" t="s">
        <v>2</v>
      </c>
      <c r="BU59" t="s">
        <v>20</v>
      </c>
    </row>
    <row r="60" spans="12:74" x14ac:dyDescent="0.35">
      <c r="Q60" s="6"/>
      <c r="R60" s="1"/>
      <c r="AQ60" s="6" t="s">
        <v>58</v>
      </c>
      <c r="AR60" s="1">
        <v>1</v>
      </c>
      <c r="AS60" s="1">
        <v>1</v>
      </c>
      <c r="AT60" s="1">
        <v>1</v>
      </c>
      <c r="AV60" s="5" t="s">
        <v>3</v>
      </c>
      <c r="AW60" t="s">
        <v>459</v>
      </c>
      <c r="AZ60" s="5" t="s">
        <v>2</v>
      </c>
      <c r="BA60" t="s">
        <v>459</v>
      </c>
      <c r="BM60" s="5" t="s">
        <v>1</v>
      </c>
      <c r="BN60" t="s">
        <v>459</v>
      </c>
      <c r="BT60" s="5" t="s">
        <v>6</v>
      </c>
      <c r="BU60" t="s">
        <v>459</v>
      </c>
    </row>
    <row r="61" spans="12:74" x14ac:dyDescent="0.35">
      <c r="Q61" s="6"/>
      <c r="R61" s="1"/>
      <c r="AQ61" s="7" t="s">
        <v>33</v>
      </c>
      <c r="AR61" s="1">
        <v>1</v>
      </c>
      <c r="AS61" s="1">
        <v>1</v>
      </c>
      <c r="AT61" s="1">
        <v>1</v>
      </c>
      <c r="AV61" t="s">
        <v>269</v>
      </c>
      <c r="AZ61" s="5" t="s">
        <v>6</v>
      </c>
      <c r="BA61" t="s">
        <v>459</v>
      </c>
      <c r="BM61" s="5" t="s">
        <v>5</v>
      </c>
      <c r="BN61" t="s">
        <v>459</v>
      </c>
      <c r="BT61" s="5" t="s">
        <v>3</v>
      </c>
      <c r="BU61" t="s">
        <v>459</v>
      </c>
    </row>
    <row r="62" spans="12:74" x14ac:dyDescent="0.35">
      <c r="AQ62" s="6" t="s">
        <v>43</v>
      </c>
      <c r="AR62" s="1">
        <v>1</v>
      </c>
      <c r="AS62" s="1">
        <v>1</v>
      </c>
      <c r="AT62" s="1">
        <v>1</v>
      </c>
      <c r="AV62" t="s">
        <v>121</v>
      </c>
      <c r="AW62" t="s">
        <v>188</v>
      </c>
      <c r="AX62" t="s">
        <v>122</v>
      </c>
      <c r="AZ62" s="5" t="s">
        <v>3</v>
      </c>
      <c r="BA62" t="s">
        <v>459</v>
      </c>
      <c r="BM62" s="5" t="s">
        <v>2</v>
      </c>
      <c r="BN62" t="s">
        <v>459</v>
      </c>
      <c r="BT62" t="s">
        <v>269</v>
      </c>
    </row>
    <row r="63" spans="12:74" x14ac:dyDescent="0.35">
      <c r="Q63" s="5" t="s">
        <v>1</v>
      </c>
      <c r="R63" t="s">
        <v>109</v>
      </c>
      <c r="AQ63" s="7" t="s">
        <v>33</v>
      </c>
      <c r="AR63" s="1">
        <v>1</v>
      </c>
      <c r="AS63" s="1">
        <v>1</v>
      </c>
      <c r="AT63" s="1">
        <v>1</v>
      </c>
      <c r="AV63" s="1">
        <v>2</v>
      </c>
      <c r="AW63" s="1">
        <v>1</v>
      </c>
      <c r="AX63" s="1">
        <v>3</v>
      </c>
      <c r="AZ63" t="s">
        <v>42</v>
      </c>
      <c r="BC63" s="1"/>
      <c r="BM63" s="5" t="s">
        <v>6</v>
      </c>
      <c r="BN63" t="s">
        <v>459</v>
      </c>
      <c r="BT63" t="s">
        <v>121</v>
      </c>
      <c r="BU63" t="s">
        <v>188</v>
      </c>
      <c r="BV63" t="s">
        <v>122</v>
      </c>
    </row>
    <row r="64" spans="12:74" x14ac:dyDescent="0.35">
      <c r="Q64" s="5" t="s">
        <v>5</v>
      </c>
      <c r="R64" t="s">
        <v>460</v>
      </c>
      <c r="AQ64" s="6" t="s">
        <v>50</v>
      </c>
      <c r="AR64" s="1">
        <v>2</v>
      </c>
      <c r="AS64" s="1">
        <v>1</v>
      </c>
      <c r="AT64" s="1">
        <v>2</v>
      </c>
      <c r="AW64">
        <f>GETPIVOTDATA("Zbir od Iznos Din",$AV$62)/GETPIVOTDATA("Zbir od Količina",$AV$62)</f>
        <v>1.5</v>
      </c>
      <c r="AZ64" t="s">
        <v>121</v>
      </c>
      <c r="BA64" t="s">
        <v>188</v>
      </c>
      <c r="BB64" t="s">
        <v>122</v>
      </c>
      <c r="BM64" s="5" t="s">
        <v>3</v>
      </c>
      <c r="BN64" t="s">
        <v>460</v>
      </c>
      <c r="BT64" s="1">
        <v>2</v>
      </c>
      <c r="BU64" s="1">
        <v>1</v>
      </c>
      <c r="BV64" s="1">
        <v>3</v>
      </c>
    </row>
    <row r="65" spans="17:73" x14ac:dyDescent="0.35">
      <c r="Q65" t="s">
        <v>129</v>
      </c>
      <c r="AQ65" s="7" t="s">
        <v>33</v>
      </c>
      <c r="AR65" s="1">
        <v>1</v>
      </c>
      <c r="AS65" s="1">
        <v>1</v>
      </c>
      <c r="AT65" s="1">
        <v>1</v>
      </c>
      <c r="AZ65" s="1">
        <v>1</v>
      </c>
      <c r="BA65" s="1">
        <v>1</v>
      </c>
      <c r="BB65" s="1">
        <v>1</v>
      </c>
      <c r="BM65" t="s">
        <v>443</v>
      </c>
      <c r="BU65">
        <f>GETPIVOTDATA("Zbir od Iznos Din",$AV$62)/GETPIVOTDATA("Zbir od Količina",$AV$62)</f>
        <v>1.5</v>
      </c>
    </row>
    <row r="66" spans="17:73" x14ac:dyDescent="0.35">
      <c r="Q66" s="5" t="s">
        <v>456</v>
      </c>
      <c r="R66" t="s">
        <v>121</v>
      </c>
      <c r="S66" t="s">
        <v>186</v>
      </c>
      <c r="T66" t="s">
        <v>187</v>
      </c>
      <c r="U66" t="s">
        <v>188</v>
      </c>
      <c r="V66" t="s">
        <v>122</v>
      </c>
      <c r="AQ66" s="7" t="s">
        <v>395</v>
      </c>
      <c r="AR66" s="1">
        <v>1</v>
      </c>
      <c r="AS66" s="1">
        <v>1</v>
      </c>
      <c r="AT66" s="1">
        <v>1</v>
      </c>
      <c r="BA66" s="1">
        <f>GETPIVOTDATA("Zbir od Iznos Din",$AZ$64)/GETPIVOTDATA("Zbir od Količina",$AZ$64)</f>
        <v>1</v>
      </c>
      <c r="BM66" t="s">
        <v>121</v>
      </c>
      <c r="BN66" t="s">
        <v>188</v>
      </c>
      <c r="BO66" t="s">
        <v>294</v>
      </c>
      <c r="BP66" t="s">
        <v>391</v>
      </c>
    </row>
    <row r="67" spans="17:73" x14ac:dyDescent="0.35">
      <c r="Q67" s="6" t="s">
        <v>72</v>
      </c>
      <c r="R67" s="1">
        <v>1</v>
      </c>
      <c r="S67" s="35">
        <v>1</v>
      </c>
      <c r="T67" s="35">
        <v>1</v>
      </c>
      <c r="U67" s="1">
        <v>1</v>
      </c>
      <c r="V67" s="1">
        <v>1</v>
      </c>
      <c r="AQ67" s="6" t="s">
        <v>40</v>
      </c>
      <c r="AR67" s="1">
        <v>4</v>
      </c>
      <c r="AS67" s="1">
        <v>1</v>
      </c>
      <c r="AT67" s="1">
        <v>6</v>
      </c>
      <c r="BM67" s="1">
        <v>0</v>
      </c>
      <c r="BN67" s="1">
        <v>0</v>
      </c>
      <c r="BO67" s="1">
        <v>0</v>
      </c>
      <c r="BP67" s="92">
        <v>0</v>
      </c>
    </row>
    <row r="68" spans="17:73" x14ac:dyDescent="0.35">
      <c r="Q68" s="6" t="s">
        <v>75</v>
      </c>
      <c r="R68" s="1">
        <v>1</v>
      </c>
      <c r="S68" s="35">
        <v>1</v>
      </c>
      <c r="T68" s="35">
        <v>1</v>
      </c>
      <c r="U68" s="1">
        <v>1</v>
      </c>
      <c r="V68" s="1">
        <v>1</v>
      </c>
      <c r="AQ68" s="7" t="s">
        <v>34</v>
      </c>
      <c r="AR68" s="1">
        <v>1</v>
      </c>
      <c r="AS68" s="1">
        <v>1</v>
      </c>
      <c r="AT68" s="1">
        <v>2</v>
      </c>
    </row>
    <row r="69" spans="17:73" x14ac:dyDescent="0.35">
      <c r="Q69" s="6" t="s">
        <v>458</v>
      </c>
      <c r="R69" s="1">
        <v>2</v>
      </c>
      <c r="S69" s="35">
        <v>1</v>
      </c>
      <c r="T69" s="35">
        <v>2</v>
      </c>
      <c r="U69" s="1">
        <v>1</v>
      </c>
      <c r="V69" s="1">
        <v>2</v>
      </c>
      <c r="AQ69" s="7" t="s">
        <v>33</v>
      </c>
      <c r="AR69" s="1">
        <v>2</v>
      </c>
      <c r="AS69" s="1">
        <v>1</v>
      </c>
      <c r="AT69" s="1">
        <v>3</v>
      </c>
    </row>
    <row r="70" spans="17:73" x14ac:dyDescent="0.35">
      <c r="Q70" s="6"/>
      <c r="R70" s="1"/>
      <c r="U70">
        <f>GETPIVOTDATA("Zbir od Iznos Din",$Q$66)/GETPIVOTDATA("Zbir od Količina",$Q$66)</f>
        <v>1</v>
      </c>
      <c r="AQ70" s="7" t="s">
        <v>395</v>
      </c>
      <c r="AR70" s="1">
        <v>1</v>
      </c>
      <c r="AS70" s="1">
        <v>1</v>
      </c>
      <c r="AT70" s="1">
        <v>1</v>
      </c>
    </row>
    <row r="71" spans="17:73" x14ac:dyDescent="0.35">
      <c r="Q71" s="6"/>
      <c r="R71" s="1"/>
      <c r="AQ71" s="6" t="s">
        <v>458</v>
      </c>
      <c r="AR71" s="1">
        <v>43</v>
      </c>
      <c r="AS71" s="1">
        <v>0.9555555555555556</v>
      </c>
      <c r="AT71" s="1">
        <v>56</v>
      </c>
    </row>
    <row r="72" spans="17:73" x14ac:dyDescent="0.35">
      <c r="Q72" s="5" t="s">
        <v>1</v>
      </c>
      <c r="R72" t="s">
        <v>109</v>
      </c>
    </row>
    <row r="73" spans="17:73" x14ac:dyDescent="0.35">
      <c r="Q73" s="5" t="s">
        <v>5</v>
      </c>
      <c r="R73" t="s">
        <v>460</v>
      </c>
    </row>
    <row r="74" spans="17:73" x14ac:dyDescent="0.35">
      <c r="Q74" t="s">
        <v>129</v>
      </c>
    </row>
    <row r="75" spans="17:73" x14ac:dyDescent="0.35">
      <c r="Q75" s="5" t="s">
        <v>456</v>
      </c>
      <c r="R75" t="s">
        <v>121</v>
      </c>
      <c r="S75" t="s">
        <v>186</v>
      </c>
      <c r="T75" t="s">
        <v>187</v>
      </c>
      <c r="U75" t="s">
        <v>188</v>
      </c>
      <c r="V75" t="s">
        <v>122</v>
      </c>
    </row>
    <row r="76" spans="17:73" x14ac:dyDescent="0.35">
      <c r="Q76" s="6" t="s">
        <v>80</v>
      </c>
      <c r="R76" s="1">
        <v>1</v>
      </c>
      <c r="S76" s="35">
        <v>1</v>
      </c>
      <c r="T76" s="35">
        <v>1</v>
      </c>
      <c r="U76" s="1">
        <v>1</v>
      </c>
      <c r="V76" s="1">
        <v>1</v>
      </c>
    </row>
    <row r="77" spans="17:73" x14ac:dyDescent="0.35">
      <c r="Q77" s="6" t="s">
        <v>408</v>
      </c>
      <c r="R77" s="1">
        <v>1</v>
      </c>
      <c r="S77" s="35">
        <v>1</v>
      </c>
      <c r="T77" s="35">
        <v>1</v>
      </c>
      <c r="U77" s="1">
        <v>1</v>
      </c>
      <c r="V77" s="1">
        <v>1</v>
      </c>
    </row>
    <row r="78" spans="17:73" x14ac:dyDescent="0.35">
      <c r="Q78" s="6" t="s">
        <v>458</v>
      </c>
      <c r="R78" s="1">
        <v>2</v>
      </c>
      <c r="S78" s="35">
        <v>1</v>
      </c>
      <c r="T78" s="35">
        <v>2</v>
      </c>
      <c r="U78" s="1">
        <v>1</v>
      </c>
      <c r="V78" s="1">
        <v>2</v>
      </c>
    </row>
  </sheetData>
  <dataConsolidate/>
  <hyperlinks>
    <hyperlink ref="A3" location="'Pivoti za obračun'!C2" display="Nabavka Količina Po vrstama" xr:uid="{00000000-0004-0000-0C00-000000000000}"/>
    <hyperlink ref="A4" location="'Pivoti za obračun'!K1" display="Nabavka Vrednost po vrstama proizvoda" xr:uid="{00000000-0004-0000-0C00-000001000000}"/>
    <hyperlink ref="A5" location="'Pivoti za obračun'!P1" display="Prodaja Pivot količine" xr:uid="{00000000-0004-0000-0C00-000002000000}"/>
    <hyperlink ref="L1" location="'Pivoti za obračun'!A1" display="Početak" xr:uid="{00000000-0004-0000-0C00-000003000000}"/>
    <hyperlink ref="A6" location="'Pivoti za obračun'!X1" display="Nabavna Vrednost" xr:uid="{00000000-0004-0000-0C00-000004000000}"/>
    <hyperlink ref="W1" location="'Pivoti za obračun'!A1" display="Početak" xr:uid="{00000000-0004-0000-0C00-000005000000}"/>
    <hyperlink ref="AD2" location="'Pivoti za obračun'!A1" display="Početak" xr:uid="{00000000-0004-0000-0C00-000006000000}"/>
    <hyperlink ref="A7" location="'Pivoti za obračun'!AC1" display="Prodaja Ukupna" xr:uid="{00000000-0004-0000-0C00-000007000000}"/>
    <hyperlink ref="A8" location="'Pivoti za obračun'!AJ1" display="Vrednosti po dobavljaču" xr:uid="{00000000-0004-0000-0C00-000008000000}"/>
    <hyperlink ref="AU1" location="'Pivoti za obračun'!A1" display="Početak" xr:uid="{00000000-0004-0000-0C00-000009000000}"/>
    <hyperlink ref="A9" location="'Pivoti za obračun'!AU1" display="Nabavna Vrednost Originali" xr:uid="{00000000-0004-0000-0C00-00000A000000}"/>
    <hyperlink ref="BE1" location="'Pivoti za obračun'!A1" display="Početak" xr:uid="{00000000-0004-0000-0C00-00000B000000}"/>
    <hyperlink ref="A10" location="'Pivoti za obračun'!BD1" display="Sveža i Zamrznuta" xr:uid="{00000000-0004-0000-0C00-00000C000000}"/>
    <hyperlink ref="BN1" location="'Pivoti za obračun'!A1" display="Početak" xr:uid="{00000000-0004-0000-0C00-00000D000000}"/>
    <hyperlink ref="A11" location="'Pivoti za obračun'!BK1" display="Po Dobavljaču nabavka" xr:uid="{00000000-0004-0000-0C00-00000E000000}"/>
  </hyperlinks>
  <pageMargins left="0.7" right="0.7" top="0.75" bottom="0.75" header="0.3" footer="0.3"/>
  <pageSetup paperSize="9" orientation="portrait" verticalDpi="0" r:id="rId48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List13"/>
  <dimension ref="A1:O92"/>
  <sheetViews>
    <sheetView workbookViewId="0">
      <selection activeCell="C90" sqref="C90"/>
    </sheetView>
  </sheetViews>
  <sheetFormatPr defaultRowHeight="14.5" x14ac:dyDescent="0.35"/>
  <cols>
    <col min="1" max="1" width="21.453125" bestFit="1" customWidth="1"/>
    <col min="2" max="2" width="11.54296875" bestFit="1" customWidth="1"/>
    <col min="3" max="3" width="15.54296875" bestFit="1" customWidth="1"/>
    <col min="4" max="4" width="19.453125" bestFit="1" customWidth="1"/>
    <col min="6" max="6" width="11.81640625" bestFit="1" customWidth="1"/>
    <col min="7" max="7" width="19.453125" bestFit="1" customWidth="1"/>
    <col min="9" max="9" width="16.1796875" customWidth="1"/>
    <col min="10" max="11" width="12.453125" customWidth="1"/>
    <col min="12" max="12" width="9.1796875" customWidth="1"/>
    <col min="13" max="13" width="11.54296875" bestFit="1" customWidth="1"/>
  </cols>
  <sheetData>
    <row r="1" spans="1:15" x14ac:dyDescent="0.35">
      <c r="C1" s="69" t="s">
        <v>272</v>
      </c>
      <c r="D1" s="70">
        <f>G12+G30+G44+G58+G72+G85</f>
        <v>10185.788061033576</v>
      </c>
      <c r="I1" t="s">
        <v>270</v>
      </c>
    </row>
    <row r="2" spans="1:15" x14ac:dyDescent="0.35">
      <c r="C2" t="s">
        <v>8</v>
      </c>
      <c r="I2" s="64" t="s">
        <v>23</v>
      </c>
      <c r="J2" s="65" t="s">
        <v>24</v>
      </c>
      <c r="K2" s="65" t="s">
        <v>203</v>
      </c>
      <c r="L2" s="65" t="s">
        <v>25</v>
      </c>
      <c r="M2" s="64" t="s">
        <v>26</v>
      </c>
      <c r="N2" s="64" t="s">
        <v>42</v>
      </c>
      <c r="O2" s="64" t="s">
        <v>27</v>
      </c>
    </row>
    <row r="3" spans="1:15" x14ac:dyDescent="0.35">
      <c r="I3" s="66">
        <f>B14*Prerada!B37</f>
        <v>434.55350000000004</v>
      </c>
      <c r="J3" s="66">
        <f>B32*Prerada!E37</f>
        <v>246.36150000000001</v>
      </c>
      <c r="K3" s="66">
        <f>B46*Prerada!E37</f>
        <v>106.65</v>
      </c>
      <c r="L3" s="65">
        <f>B60*Prerada!K38</f>
        <v>351.9957</v>
      </c>
      <c r="M3" s="66">
        <f>B74*Prerada!H29</f>
        <v>109.80000000000001</v>
      </c>
      <c r="N3" s="65">
        <f>B87*Prerada!Q38</f>
        <v>91.710000000000008</v>
      </c>
      <c r="O3" s="65"/>
    </row>
    <row r="4" spans="1:15" x14ac:dyDescent="0.35">
      <c r="I4" s="67" t="s">
        <v>271</v>
      </c>
      <c r="J4" s="68">
        <f>I3+J3+K3+L3+M3+N3</f>
        <v>1341.0707</v>
      </c>
    </row>
    <row r="5" spans="1:15" x14ac:dyDescent="0.35">
      <c r="A5" s="98" t="s">
        <v>23</v>
      </c>
      <c r="B5" s="98"/>
      <c r="G5" s="1"/>
    </row>
    <row r="6" spans="1:15" x14ac:dyDescent="0.35">
      <c r="A6" s="17" t="s">
        <v>191</v>
      </c>
      <c r="B6" s="17" t="s">
        <v>206</v>
      </c>
      <c r="C6" t="s">
        <v>207</v>
      </c>
      <c r="D6" t="s">
        <v>208</v>
      </c>
      <c r="F6" t="s">
        <v>209</v>
      </c>
      <c r="G6" s="1" t="s">
        <v>210</v>
      </c>
    </row>
    <row r="7" spans="1:15" ht="15.5" x14ac:dyDescent="0.35">
      <c r="A7" s="40" t="s">
        <v>70</v>
      </c>
      <c r="B7" s="1">
        <f>'Podaci Za Obračun Originali'!B16</f>
        <v>8.0370100000000004</v>
      </c>
      <c r="C7" s="45">
        <v>1.99</v>
      </c>
      <c r="D7" s="45">
        <f>Tabela21439[[#This Row],[Zalihe]]*Tabela1440[[#This Row],[Pros Cena eur]]</f>
        <v>15.993649900000001</v>
      </c>
      <c r="E7" s="1"/>
      <c r="F7" s="46">
        <f>Tabela1440[[#This Row],[Pros Cena eur]]*Kalkulacija!S2</f>
        <v>233.02740799999998</v>
      </c>
      <c r="G7" s="46">
        <f>Tabela21439[[#This Row],[Zalihe]]*F7</f>
        <v>1872.8436083700799</v>
      </c>
    </row>
    <row r="8" spans="1:15" ht="15.5" x14ac:dyDescent="0.35">
      <c r="A8" s="41" t="s">
        <v>56</v>
      </c>
      <c r="B8" s="1">
        <f>'Podaci Za Obračun Originali'!B17</f>
        <v>1.6847000000000001</v>
      </c>
      <c r="C8" s="45">
        <v>1.55</v>
      </c>
      <c r="D8" s="45">
        <f>Tabela21439[[#This Row],[Zalihe]]*Tabela1440[[#This Row],[Pros Cena eur]]</f>
        <v>2.6112850000000001</v>
      </c>
      <c r="E8" s="1"/>
      <c r="F8" s="46">
        <f>Tabela1440[[#This Row],[Pros Cena eur]]*Kalkulacija!S2</f>
        <v>181.50376</v>
      </c>
      <c r="G8" s="46">
        <f>Tabela21439[[#This Row],[Zalihe]]*F8</f>
        <v>305.779384472</v>
      </c>
    </row>
    <row r="9" spans="1:15" ht="15.5" x14ac:dyDescent="0.35">
      <c r="A9" s="41" t="s">
        <v>61</v>
      </c>
      <c r="B9" s="1">
        <f>'Podaci Za Obračun Originali'!B18</f>
        <v>1.0901000000000001E-5</v>
      </c>
      <c r="C9" s="45">
        <v>1.5</v>
      </c>
      <c r="D9" s="45">
        <f>Tabela21439[[#This Row],[Zalihe]]*Tabela1440[[#This Row],[Pros Cena eur]]</f>
        <v>1.6351500000000001E-5</v>
      </c>
      <c r="E9" s="1"/>
      <c r="F9" s="46">
        <f>Tabela1440[[#This Row],[Pros Cena eur]]*Kalkulacija!S2</f>
        <v>175.64879999999999</v>
      </c>
      <c r="G9" s="46">
        <f>Tabela21439[[#This Row],[Zalihe]]*F9</f>
        <v>1.9147475688000002E-3</v>
      </c>
    </row>
    <row r="10" spans="1:15" ht="15.5" x14ac:dyDescent="0.35">
      <c r="A10" s="41" t="s">
        <v>82</v>
      </c>
      <c r="B10" s="1">
        <f>'Podaci Za Obračun Originali'!B19</f>
        <v>0.18828999999999999</v>
      </c>
      <c r="C10" s="45">
        <v>1.33</v>
      </c>
      <c r="D10" s="45">
        <f>Tabela21439[[#This Row],[Zalihe]]*Tabela1440[[#This Row],[Pros Cena eur]]</f>
        <v>0.25042569999999997</v>
      </c>
      <c r="E10" s="1"/>
      <c r="F10" s="46">
        <f>Tabela1440[[#This Row],[Pros Cena eur]]*Kalkulacija!S2</f>
        <v>155.74193600000001</v>
      </c>
      <c r="G10" s="46">
        <f>Tabela21439[[#This Row],[Zalihe]]*F10</f>
        <v>29.324649129440001</v>
      </c>
    </row>
    <row r="11" spans="1:15" ht="15.5" x14ac:dyDescent="0.35">
      <c r="A11" s="42" t="s">
        <v>194</v>
      </c>
      <c r="B11" s="39">
        <f>SUM(B7:B10)</f>
        <v>9.9100109009999997</v>
      </c>
      <c r="C11" s="60">
        <f>Tabela1440[[#Totals],[Ukupno eur]]/Tabela21439[[#This Row],[Zalihe]]</f>
        <v>1.9026595570744875</v>
      </c>
      <c r="D11" s="61">
        <f>SUM(Tabela1440[Ukupno eur])</f>
        <v>18.855376951500002</v>
      </c>
      <c r="E11" s="1"/>
      <c r="F11" s="46">
        <f>Tabela2141[[#Totals],[Vrednost din]]/Tabela21439[[#This Row],[Zalihe]]</f>
        <v>222.79991200577675</v>
      </c>
      <c r="G11" s="46">
        <f>SUBTOTAL(109,Tabela2141[Vrednost din])</f>
        <v>2207.9495567190884</v>
      </c>
    </row>
    <row r="12" spans="1:15" x14ac:dyDescent="0.35">
      <c r="A12" s="47"/>
      <c r="F12" s="1">
        <f>Tabela21[[#Totals],[Cana Din]]</f>
        <v>580.81336332753767</v>
      </c>
      <c r="G12" s="1">
        <f>B11*F12</f>
        <v>5755.8667620223714</v>
      </c>
    </row>
    <row r="13" spans="1:15" x14ac:dyDescent="0.35">
      <c r="A13" s="98" t="s">
        <v>23</v>
      </c>
      <c r="B13" s="98"/>
      <c r="C13" s="98"/>
      <c r="D13" s="98"/>
    </row>
    <row r="14" spans="1:15" x14ac:dyDescent="0.35">
      <c r="A14" s="36" t="s">
        <v>189</v>
      </c>
      <c r="B14" s="37">
        <f>(GETPIVOTDATA("Zbir od Količina",'Pivoti za obračun'!$AV$9)+GETPIVOTDATA("Zbir od Malina",'Pivoti za obračun'!$C$3,"Kat.Proizvoda","Prenos Zaliha"))-D14</f>
        <v>9.91</v>
      </c>
      <c r="C14" s="38" t="s">
        <v>190</v>
      </c>
      <c r="D14" s="1">
        <f>(GETPIVOTDATA("Zbir od Količina",'Pivoti za obračun'!$AV$9)*1)/100</f>
        <v>0.09</v>
      </c>
    </row>
    <row r="15" spans="1:15" x14ac:dyDescent="0.35">
      <c r="A15" s="17" t="s">
        <v>191</v>
      </c>
      <c r="B15" s="39" t="s">
        <v>142</v>
      </c>
      <c r="C15" s="17" t="s">
        <v>192</v>
      </c>
      <c r="D15" s="17" t="s">
        <v>193</v>
      </c>
    </row>
    <row r="16" spans="1:15" ht="15.5" x14ac:dyDescent="0.35">
      <c r="A16" s="40" t="s">
        <v>70</v>
      </c>
      <c r="B16" s="1">
        <f>B14*0.811</f>
        <v>8.0370100000000004</v>
      </c>
      <c r="C16" s="1">
        <f>GETPIVOTDATA("Zbir od Količina",'Pivoti za obračun'!$Q$5,"Proizvod","Dz Malina Rollend")</f>
        <v>2</v>
      </c>
      <c r="D16" s="1">
        <f>B16-C16</f>
        <v>6.0370100000000004</v>
      </c>
    </row>
    <row r="17" spans="1:7" ht="15.5" x14ac:dyDescent="0.35">
      <c r="A17" s="41" t="s">
        <v>56</v>
      </c>
      <c r="B17" s="1">
        <f>B14*0.17</f>
        <v>1.6847000000000001</v>
      </c>
      <c r="C17" s="1">
        <f>GETPIVOTDATA("Zbir od Količina",'Pivoti za obračun'!$Q$5,"Proizvod","DZ Malina Griz")</f>
        <v>1</v>
      </c>
      <c r="D17" s="1">
        <f>B17-C17</f>
        <v>0.68470000000000009</v>
      </c>
    </row>
    <row r="18" spans="1:7" ht="15.5" x14ac:dyDescent="0.35">
      <c r="A18" s="41" t="s">
        <v>61</v>
      </c>
      <c r="B18" s="1">
        <f>B14*0.0000011</f>
        <v>1.0901000000000001E-5</v>
      </c>
      <c r="C18" s="1">
        <v>1</v>
      </c>
      <c r="D18" s="1">
        <f>B18-C18</f>
        <v>-0.99998909899999999</v>
      </c>
    </row>
    <row r="19" spans="1:7" ht="15.5" x14ac:dyDescent="0.35">
      <c r="A19" s="41" t="s">
        <v>82</v>
      </c>
      <c r="B19" s="1">
        <f>B14*0.019</f>
        <v>0.18828999999999999</v>
      </c>
      <c r="C19" s="1">
        <f>GETPIVOTDATA("Zbir od Količina",'Pivoti za obračun'!$Q$5,"Proizvod","DZ Malina Blok")</f>
        <v>1</v>
      </c>
      <c r="D19" s="1">
        <f>B19-C19</f>
        <v>-0.81171000000000004</v>
      </c>
    </row>
    <row r="20" spans="1:7" ht="15.5" x14ac:dyDescent="0.35">
      <c r="A20" s="42" t="s">
        <v>194</v>
      </c>
      <c r="B20" s="39">
        <f>SUM(B16:B19)</f>
        <v>9.9100109009999997</v>
      </c>
      <c r="C20" s="39">
        <f>SUM(C16:C19)</f>
        <v>5</v>
      </c>
      <c r="D20" s="39">
        <f>B20-C20</f>
        <v>4.9100109009999997</v>
      </c>
    </row>
    <row r="23" spans="1:7" x14ac:dyDescent="0.35">
      <c r="A23" s="98" t="s">
        <v>24</v>
      </c>
      <c r="B23" s="98"/>
      <c r="G23" s="1"/>
    </row>
    <row r="24" spans="1:7" x14ac:dyDescent="0.35">
      <c r="A24" s="17" t="s">
        <v>191</v>
      </c>
      <c r="B24" s="17" t="s">
        <v>206</v>
      </c>
      <c r="C24" t="s">
        <v>211</v>
      </c>
      <c r="D24" t="s">
        <v>194</v>
      </c>
      <c r="F24" t="s">
        <v>9</v>
      </c>
      <c r="G24" s="1" t="s">
        <v>210</v>
      </c>
    </row>
    <row r="25" spans="1:7" ht="15.5" x14ac:dyDescent="0.35">
      <c r="A25" s="40" t="s">
        <v>120</v>
      </c>
      <c r="B25" s="1">
        <f>B34</f>
        <v>5.8904999999999994</v>
      </c>
      <c r="C25" s="48">
        <v>0.87</v>
      </c>
      <c r="D25" s="48">
        <f>Tabela21416[[#This Row],[Zalihe]]*Tabela1417[[#This Row],[Pros Cena]]</f>
        <v>5.1247349999999994</v>
      </c>
      <c r="E25" s="1"/>
      <c r="F25" s="46">
        <f>Tabela1417[[#This Row],[Pros Cena]]*Kalkulacija!S2</f>
        <v>101.87630399999999</v>
      </c>
      <c r="G25" s="46">
        <f>Tabela21416[[#This Row],[Zalihe]]*F25</f>
        <v>600.10236871199993</v>
      </c>
    </row>
    <row r="26" spans="1:7" ht="15.5" x14ac:dyDescent="0.35">
      <c r="A26" s="41" t="s">
        <v>49</v>
      </c>
      <c r="B26" s="1">
        <f>B35</f>
        <v>0.51974999999999993</v>
      </c>
      <c r="C26" s="48">
        <v>0.6</v>
      </c>
      <c r="D26" s="48">
        <f>Tabela21416[[#This Row],[Zalihe]]*Tabela1417[[#This Row],[Pros Cena]]</f>
        <v>0.31184999999999996</v>
      </c>
      <c r="E26" s="1"/>
      <c r="F26" s="46">
        <f>Tabela1417[[#This Row],[Pros Cena]]*Kalkulacija!S2</f>
        <v>70.259519999999995</v>
      </c>
      <c r="G26" s="46">
        <f>Tabela21416[[#This Row],[Zalihe]]*F26</f>
        <v>36.517385519999991</v>
      </c>
    </row>
    <row r="27" spans="1:7" ht="15.5" x14ac:dyDescent="0.35">
      <c r="A27" s="41" t="s">
        <v>66</v>
      </c>
      <c r="B27" s="1">
        <f>B36</f>
        <v>0.51974999999999993</v>
      </c>
      <c r="C27" s="48">
        <v>0.3</v>
      </c>
      <c r="D27" s="48">
        <f>Tabela21416[[#This Row],[Zalihe]]*Tabela1417[[#This Row],[Pros Cena]]</f>
        <v>0.15592499999999998</v>
      </c>
      <c r="E27" s="1"/>
      <c r="F27" s="46">
        <f>Tabela1417[[#This Row],[Pros Cena]]*Kalkulacija!S2</f>
        <v>35.129759999999997</v>
      </c>
      <c r="G27" s="46">
        <f>Tabela21416[[#This Row],[Zalihe]]*F27</f>
        <v>18.258692759999995</v>
      </c>
    </row>
    <row r="28" spans="1:7" ht="15.5" x14ac:dyDescent="0.35">
      <c r="A28" s="41"/>
      <c r="B28" s="1"/>
      <c r="C28" s="48"/>
      <c r="D28" s="48"/>
      <c r="E28" s="1"/>
      <c r="F28" s="46"/>
      <c r="G28" s="46"/>
    </row>
    <row r="29" spans="1:7" ht="15.5" x14ac:dyDescent="0.35">
      <c r="A29" s="42" t="s">
        <v>194</v>
      </c>
      <c r="B29" s="39">
        <f>SUM(B25:B28)</f>
        <v>6.93</v>
      </c>
      <c r="C29" s="59">
        <f>Tabela1417[[#Totals],[Ukupno]]/Tabela21416[[#This Row],[Zalihe]]</f>
        <v>0.80699999999999994</v>
      </c>
      <c r="D29" s="48">
        <f>D25+D26+D27</f>
        <v>5.592509999999999</v>
      </c>
      <c r="E29" s="1"/>
      <c r="F29" s="46">
        <f>Tabela22[[#Totals],[Vrednost din]]/Tabela21416[[#This Row],[Zalihe]]</f>
        <v>94.499054399999991</v>
      </c>
      <c r="G29" s="46">
        <f>SUBTOTAL(109,Tabela22[Vrednost din])</f>
        <v>654.87844699199991</v>
      </c>
    </row>
    <row r="30" spans="1:7" x14ac:dyDescent="0.35">
      <c r="F30" s="1">
        <f>Tabela2250[[#Totals],[Cena Din]]</f>
        <v>252.15361066666662</v>
      </c>
      <c r="G30" s="1">
        <f>F30*B29</f>
        <v>1747.4245219199997</v>
      </c>
    </row>
    <row r="31" spans="1:7" x14ac:dyDescent="0.35">
      <c r="A31" s="98" t="s">
        <v>24</v>
      </c>
      <c r="B31" s="98"/>
      <c r="C31" s="98"/>
      <c r="D31" s="98"/>
    </row>
    <row r="32" spans="1:7" x14ac:dyDescent="0.35">
      <c r="A32" s="36" t="s">
        <v>189</v>
      </c>
      <c r="B32" s="37">
        <f>GETPIVOTDATA("Zbir od Količina",'Pivoti za obračun'!$AV$20)-D32</f>
        <v>6.93</v>
      </c>
      <c r="C32" s="38" t="s">
        <v>190</v>
      </c>
      <c r="D32" s="1">
        <f>(GETPIVOTDATA("Zbir od Količina",'Pivoti za obračun'!$AV$20)*1)/100</f>
        <v>7.0000000000000007E-2</v>
      </c>
    </row>
    <row r="33" spans="1:7" x14ac:dyDescent="0.35">
      <c r="A33" s="17" t="s">
        <v>191</v>
      </c>
      <c r="B33" s="39" t="s">
        <v>142</v>
      </c>
      <c r="C33" s="17" t="s">
        <v>192</v>
      </c>
      <c r="D33" s="17" t="s">
        <v>193</v>
      </c>
    </row>
    <row r="34" spans="1:7" ht="15.5" x14ac:dyDescent="0.35">
      <c r="A34" s="43" t="s">
        <v>77</v>
      </c>
      <c r="B34" s="1">
        <f>B32*0.85</f>
        <v>5.8904999999999994</v>
      </c>
      <c r="C34" s="1">
        <f>GETPIVOTDATA("Zbir od Količina",'Pivoti za obračun'!$Q$19,"Proizvod","DZ Kupina Rollend")</f>
        <v>3</v>
      </c>
      <c r="D34" s="1">
        <f t="shared" ref="D34:D36" si="0">B34-C34</f>
        <v>2.8904999999999994</v>
      </c>
    </row>
    <row r="35" spans="1:7" ht="15.5" x14ac:dyDescent="0.35">
      <c r="A35" s="43" t="s">
        <v>49</v>
      </c>
      <c r="B35" s="1">
        <f>B32*0.075</f>
        <v>0.51974999999999993</v>
      </c>
      <c r="C35" s="1">
        <f>GETPIVOTDATA("Zbir od Količina",'Pivoti za obračun'!$Q$19,"Proizvod","DZ Kupina Pire")</f>
        <v>1</v>
      </c>
      <c r="D35" s="1">
        <f t="shared" si="0"/>
        <v>-0.48025000000000007</v>
      </c>
    </row>
    <row r="36" spans="1:7" ht="15.5" x14ac:dyDescent="0.35">
      <c r="A36" s="43" t="s">
        <v>66</v>
      </c>
      <c r="B36" s="1">
        <f>B32*0.075</f>
        <v>0.51974999999999993</v>
      </c>
      <c r="C36" s="1">
        <f>GETPIVOTDATA("Zbir od Količina",'Pivoti za obračun'!$Q$19,"Proizvod","DZ Kupina Blok")</f>
        <v>1</v>
      </c>
      <c r="D36" s="1">
        <f t="shared" si="0"/>
        <v>-0.48025000000000007</v>
      </c>
    </row>
    <row r="37" spans="1:7" ht="15.5" x14ac:dyDescent="0.35">
      <c r="A37" s="44" t="s">
        <v>194</v>
      </c>
      <c r="B37" s="39">
        <f>SUM(B34:B36)</f>
        <v>6.93</v>
      </c>
      <c r="C37" s="39">
        <f>SUM(C34:C36)</f>
        <v>5</v>
      </c>
      <c r="D37" s="39">
        <f>B37-C37</f>
        <v>1.9299999999999997</v>
      </c>
    </row>
    <row r="39" spans="1:7" x14ac:dyDescent="0.35">
      <c r="A39" s="98" t="s">
        <v>216</v>
      </c>
      <c r="B39" s="98"/>
      <c r="F39" s="1"/>
    </row>
    <row r="40" spans="1:7" x14ac:dyDescent="0.35">
      <c r="A40" s="17" t="s">
        <v>191</v>
      </c>
      <c r="B40" s="17" t="s">
        <v>206</v>
      </c>
      <c r="C40" t="s">
        <v>211</v>
      </c>
      <c r="D40" t="s">
        <v>194</v>
      </c>
      <c r="F40" t="s">
        <v>9</v>
      </c>
      <c r="G40" s="1" t="s">
        <v>215</v>
      </c>
    </row>
    <row r="41" spans="1:7" ht="15.5" x14ac:dyDescent="0.35">
      <c r="A41" s="40" t="s">
        <v>217</v>
      </c>
      <c r="B41" s="1">
        <f>B48</f>
        <v>2.7</v>
      </c>
      <c r="C41" s="45">
        <v>0.95</v>
      </c>
      <c r="D41" s="45">
        <f>Tabela21418202453[[#This Row],[Zalihe]]*Tabela1419212554[[#This Row],[Pros Cena]]</f>
        <v>2.5649999999999999</v>
      </c>
      <c r="E41" s="1"/>
      <c r="F41" s="46">
        <f>Tabela1419212554[[#This Row],[Pros Cena]]*Kalkulacija!S2</f>
        <v>111.24423999999999</v>
      </c>
      <c r="G41" s="46">
        <f>Tabela21418202453[[#This Row],[Zalihe]]*F41</f>
        <v>300.35944799999999</v>
      </c>
    </row>
    <row r="42" spans="1:7" ht="15.5" x14ac:dyDescent="0.35">
      <c r="A42" s="41" t="s">
        <v>218</v>
      </c>
      <c r="B42" s="1">
        <f>B49</f>
        <v>0.30000000000000004</v>
      </c>
      <c r="C42" s="45">
        <v>0.5</v>
      </c>
      <c r="D42" s="45">
        <f>Tabela21418202453[[#This Row],[Zalihe]]*Tabela1419212554[[#This Row],[Pros Cena]]</f>
        <v>0.15000000000000002</v>
      </c>
      <c r="E42" s="1"/>
      <c r="F42" s="46">
        <f>Tabela1419212554[[#This Row],[Pros Cena]]*Kalkulacija!S2</f>
        <v>58.549599999999998</v>
      </c>
      <c r="G42" s="46">
        <f>Tabela21418202453[[#This Row],[Zalihe]]*F42</f>
        <v>17.564880000000002</v>
      </c>
    </row>
    <row r="43" spans="1:7" ht="15.5" x14ac:dyDescent="0.35">
      <c r="A43" s="42" t="s">
        <v>194</v>
      </c>
      <c r="B43" s="39">
        <f>B41+B42</f>
        <v>3</v>
      </c>
      <c r="C43" s="45">
        <f>Tabela1419212554[[#Totals],[Ukupno]]/Tabela21418202453[[#This Row],[Zalihe]]</f>
        <v>0.90499999999999992</v>
      </c>
      <c r="D43" s="45">
        <f>D41+D42</f>
        <v>2.7149999999999999</v>
      </c>
      <c r="E43" s="1"/>
      <c r="F43" s="46">
        <f>SUBTOTAL(101,Tabela4055[Cena Din])</f>
        <v>84.896919999999994</v>
      </c>
      <c r="G43" s="46">
        <f>SUBTOTAL(109,Tabela4055[Vrednost Din])</f>
        <v>317.924328</v>
      </c>
    </row>
    <row r="44" spans="1:7" x14ac:dyDescent="0.35">
      <c r="F44" s="1">
        <f>Tabela40[[#Totals],[Cena Din]]</f>
        <v>253.38206483519065</v>
      </c>
      <c r="G44" s="1">
        <f>F44*B43</f>
        <v>760.14619450557188</v>
      </c>
    </row>
    <row r="45" spans="1:7" x14ac:dyDescent="0.35">
      <c r="A45" s="98" t="s">
        <v>198</v>
      </c>
      <c r="B45" s="98"/>
      <c r="C45" s="98"/>
      <c r="D45" s="98"/>
    </row>
    <row r="46" spans="1:7" x14ac:dyDescent="0.35">
      <c r="A46" s="36" t="s">
        <v>189</v>
      </c>
      <c r="B46" s="37">
        <f>GETPIVOTDATA("Zbir od Količina",'Pivoti za obračun'!$AV$31)</f>
        <v>3</v>
      </c>
      <c r="C46" s="38" t="s">
        <v>190</v>
      </c>
      <c r="D46" s="1">
        <f>GETPIVOTDATA("Zbir od Kupina Sl",'Pivoti za obračun'!$C$3,"Kat.Proizvoda","Sveža")*2/100</f>
        <v>0.12</v>
      </c>
    </row>
    <row r="47" spans="1:7" x14ac:dyDescent="0.35">
      <c r="A47" s="17" t="s">
        <v>191</v>
      </c>
      <c r="B47" s="39" t="s">
        <v>142</v>
      </c>
      <c r="C47" s="17" t="s">
        <v>192</v>
      </c>
      <c r="D47" s="17" t="s">
        <v>193</v>
      </c>
    </row>
    <row r="48" spans="1:7" ht="15.5" x14ac:dyDescent="0.35">
      <c r="A48" s="43" t="s">
        <v>199</v>
      </c>
      <c r="B48" s="1">
        <f>B46*0.9</f>
        <v>2.7</v>
      </c>
      <c r="C48" s="1">
        <f>GETPIVOTDATA("Zbir od Iznos EUR",'Pivoti za obračun'!$Q$75,"Proizvod","DZ Kupina Rollend Sl.")</f>
        <v>1</v>
      </c>
      <c r="D48" s="1">
        <f>B48-C48</f>
        <v>1.7000000000000002</v>
      </c>
    </row>
    <row r="49" spans="1:7" ht="15.5" x14ac:dyDescent="0.35">
      <c r="A49" s="43" t="s">
        <v>205</v>
      </c>
      <c r="B49" s="1">
        <f>B46*0.1</f>
        <v>0.30000000000000004</v>
      </c>
      <c r="C49" s="1">
        <f>GETPIVOTDATA("Zbir od Količina",'Pivoti za obračun'!$Q$75,"Proizvod","DZ Kupina Blok Sl.")</f>
        <v>1</v>
      </c>
      <c r="D49" s="1">
        <f t="shared" ref="D49" si="1">B49-C49</f>
        <v>-0.7</v>
      </c>
    </row>
    <row r="50" spans="1:7" ht="15.5" x14ac:dyDescent="0.35">
      <c r="A50" s="42" t="s">
        <v>194</v>
      </c>
      <c r="B50" s="39">
        <f>SUM(B48:B49)</f>
        <v>3</v>
      </c>
      <c r="C50" s="39">
        <f>SUM(C48:C49)</f>
        <v>2</v>
      </c>
      <c r="D50" s="39">
        <f>B50-C50</f>
        <v>1</v>
      </c>
    </row>
    <row r="53" spans="1:7" x14ac:dyDescent="0.35">
      <c r="A53" s="98" t="s">
        <v>25</v>
      </c>
      <c r="B53" s="98"/>
      <c r="G53" s="1"/>
    </row>
    <row r="54" spans="1:7" x14ac:dyDescent="0.35">
      <c r="A54" s="17" t="s">
        <v>191</v>
      </c>
      <c r="B54" s="17" t="s">
        <v>206</v>
      </c>
      <c r="C54" t="s">
        <v>211</v>
      </c>
      <c r="D54" t="s">
        <v>194</v>
      </c>
      <c r="F54" s="49" t="s">
        <v>9</v>
      </c>
      <c r="G54" s="50" t="s">
        <v>212</v>
      </c>
    </row>
    <row r="55" spans="1:7" ht="15.5" x14ac:dyDescent="0.35">
      <c r="A55" s="40" t="s">
        <v>213</v>
      </c>
      <c r="B55" s="1">
        <f>B62</f>
        <v>5.859</v>
      </c>
      <c r="C55" s="45">
        <v>0.7</v>
      </c>
      <c r="D55" s="45">
        <f>Tabela2141857[[#This Row],[Zalihe]]*Tabela141958[[#This Row],[Pros Cena]]</f>
        <v>4.1013000000000002</v>
      </c>
      <c r="E55" s="1"/>
      <c r="F55" s="51">
        <f>Tabela141958[[#This Row],[Pros Cena]]*Kalkulacija!S2</f>
        <v>81.969439999999992</v>
      </c>
      <c r="G55" s="52">
        <f>Tabela2141857[[#This Row],[Zalihe]]*F55</f>
        <v>480.25894895999994</v>
      </c>
    </row>
    <row r="56" spans="1:7" ht="16" thickBot="1" x14ac:dyDescent="0.4">
      <c r="A56" s="41" t="s">
        <v>214</v>
      </c>
      <c r="B56" s="1">
        <f>B64</f>
        <v>0.65100000000000002</v>
      </c>
      <c r="C56" s="45">
        <v>0.2</v>
      </c>
      <c r="D56" s="45">
        <f>Tabela2141857[[#This Row],[Zalihe]]*Tabela141958[[#This Row],[Pros Cena]]</f>
        <v>0.13020000000000001</v>
      </c>
      <c r="E56" s="1"/>
      <c r="F56" s="53">
        <f>Tabela141958[[#This Row],[Pros Cena]]*Kalkulacija!S2</f>
        <v>23.419840000000001</v>
      </c>
      <c r="G56" s="54">
        <f>Tabela2141857[[#This Row],[Zalihe]]*F56</f>
        <v>15.246315840000001</v>
      </c>
    </row>
    <row r="57" spans="1:7" ht="16" thickTop="1" x14ac:dyDescent="0.35">
      <c r="A57" s="42" t="s">
        <v>194</v>
      </c>
      <c r="B57" s="39">
        <f>B55+B56</f>
        <v>6.51</v>
      </c>
      <c r="C57" s="45">
        <f>SUBTOTAL(101,Tabela141958[Pros Cena])</f>
        <v>0.44999999999999996</v>
      </c>
      <c r="D57" s="45">
        <f>D55+D56</f>
        <v>4.2315000000000005</v>
      </c>
      <c r="E57" s="1"/>
      <c r="F57" s="55">
        <f>G57/Tabela2141857[[#This Row],[Zalihe]]</f>
        <v>76.11448</v>
      </c>
      <c r="G57" s="56">
        <f>G55+G56</f>
        <v>495.50526479999996</v>
      </c>
    </row>
    <row r="58" spans="1:7" x14ac:dyDescent="0.35">
      <c r="F58" s="1">
        <f>'Vrednost Zaliha'!F29</f>
        <v>74.735922131355906</v>
      </c>
      <c r="G58" s="1">
        <f>F58*B57</f>
        <v>486.53085307512691</v>
      </c>
    </row>
    <row r="59" spans="1:7" x14ac:dyDescent="0.35">
      <c r="A59" s="98" t="s">
        <v>25</v>
      </c>
      <c r="B59" s="98"/>
      <c r="C59" s="98"/>
      <c r="D59" s="98"/>
    </row>
    <row r="60" spans="1:7" x14ac:dyDescent="0.35">
      <c r="A60" s="36" t="s">
        <v>189</v>
      </c>
      <c r="B60" s="37">
        <f>GETPIVOTDATA("Zbir od Količina",'Pivoti za obračun'!$AV$42)-D60</f>
        <v>6.51</v>
      </c>
      <c r="C60" s="38" t="s">
        <v>195</v>
      </c>
      <c r="D60" s="1">
        <f>GETPIVOTDATA("Zbir od Količina",'Pivoti za obračun'!$AV$42)*7/100</f>
        <v>0.49</v>
      </c>
    </row>
    <row r="61" spans="1:7" x14ac:dyDescent="0.35">
      <c r="A61" s="17" t="s">
        <v>191</v>
      </c>
      <c r="B61" s="39" t="s">
        <v>142</v>
      </c>
      <c r="C61" s="17" t="s">
        <v>192</v>
      </c>
      <c r="D61" s="17" t="s">
        <v>193</v>
      </c>
    </row>
    <row r="62" spans="1:7" ht="15.5" x14ac:dyDescent="0.35">
      <c r="A62" s="43" t="s">
        <v>196</v>
      </c>
      <c r="B62" s="1">
        <f>B60*0.9</f>
        <v>5.859</v>
      </c>
      <c r="C62" s="1">
        <f>0</f>
        <v>0</v>
      </c>
      <c r="D62" s="1">
        <f>B62-C62</f>
        <v>5.859</v>
      </c>
    </row>
    <row r="63" spans="1:7" ht="15.5" x14ac:dyDescent="0.35">
      <c r="A63" s="42" t="s">
        <v>39</v>
      </c>
      <c r="B63" s="1">
        <v>0</v>
      </c>
      <c r="C63" s="1">
        <v>0</v>
      </c>
      <c r="D63" s="1">
        <f>B63-C63</f>
        <v>0</v>
      </c>
    </row>
    <row r="64" spans="1:7" ht="15.5" x14ac:dyDescent="0.35">
      <c r="A64" s="43" t="s">
        <v>81</v>
      </c>
      <c r="B64" s="1">
        <f>B60*0.1</f>
        <v>0.65100000000000002</v>
      </c>
      <c r="C64" s="1">
        <v>0</v>
      </c>
      <c r="D64" s="1">
        <f t="shared" ref="D64" si="2">B64-C64</f>
        <v>0.65100000000000002</v>
      </c>
    </row>
    <row r="65" spans="1:7" ht="15.5" x14ac:dyDescent="0.35">
      <c r="A65" s="42" t="s">
        <v>194</v>
      </c>
      <c r="B65" s="39">
        <f>SUM(B62:B64)</f>
        <v>6.51</v>
      </c>
      <c r="C65" s="39">
        <f>SUM(C62:C64)</f>
        <v>0</v>
      </c>
      <c r="D65" s="39">
        <f>B65-C65</f>
        <v>6.51</v>
      </c>
    </row>
    <row r="67" spans="1:7" x14ac:dyDescent="0.35">
      <c r="A67" s="98" t="s">
        <v>26</v>
      </c>
      <c r="B67" s="98"/>
      <c r="F67" s="1"/>
      <c r="G67" s="1"/>
    </row>
    <row r="68" spans="1:7" x14ac:dyDescent="0.35">
      <c r="A68" s="17" t="s">
        <v>191</v>
      </c>
      <c r="B68" s="17" t="s">
        <v>206</v>
      </c>
      <c r="C68" t="s">
        <v>211</v>
      </c>
      <c r="D68" t="s">
        <v>194</v>
      </c>
      <c r="F68" t="s">
        <v>9</v>
      </c>
      <c r="G68" s="1" t="s">
        <v>215</v>
      </c>
    </row>
    <row r="69" spans="1:7" ht="15.5" x14ac:dyDescent="0.35">
      <c r="A69" s="40" t="s">
        <v>30</v>
      </c>
      <c r="B69" s="1">
        <f>B76</f>
        <v>5.82</v>
      </c>
      <c r="C69" s="45">
        <v>0.53</v>
      </c>
      <c r="D69" s="45">
        <f>Tabela214182063[[#This Row],[Zalihe]]*Tabela14192164[[#This Row],[Pros Cena]]</f>
        <v>3.0846000000000005</v>
      </c>
      <c r="E69" s="1"/>
      <c r="F69" s="46">
        <f>Tabela14192164[[#This Row],[Pros Cena]]*Kalkulacija!S2</f>
        <v>62.062576</v>
      </c>
      <c r="G69" s="46">
        <f>Tabela214182063[[#This Row],[Zalihe]]*F69</f>
        <v>361.20419232</v>
      </c>
    </row>
    <row r="70" spans="1:7" ht="15.5" x14ac:dyDescent="0.35">
      <c r="A70" s="41" t="s">
        <v>50</v>
      </c>
      <c r="B70" s="1">
        <f>B77</f>
        <v>0.18</v>
      </c>
      <c r="C70" s="45">
        <v>0.25</v>
      </c>
      <c r="D70" s="45">
        <f>Tabela214182063[[#This Row],[Zalihe]]*Tabela14192164[[#This Row],[Pros Cena]]</f>
        <v>4.4999999999999998E-2</v>
      </c>
      <c r="E70" s="1"/>
      <c r="F70" s="46">
        <f>(Tabela14192164[[#This Row],[Pros Cena]]*Kalkulacija!S2)</f>
        <v>29.274799999999999</v>
      </c>
      <c r="G70" s="46">
        <f>Tabela214182063[[#This Row],[Zalihe]]*F70</f>
        <v>5.2694639999999993</v>
      </c>
    </row>
    <row r="71" spans="1:7" ht="15.5" x14ac:dyDescent="0.35">
      <c r="A71" s="42" t="s">
        <v>194</v>
      </c>
      <c r="B71" s="39">
        <f>B69+B70</f>
        <v>6</v>
      </c>
      <c r="C71" s="45"/>
      <c r="D71" s="45">
        <f>D69+D70</f>
        <v>3.1296000000000004</v>
      </c>
      <c r="E71" s="1"/>
      <c r="F71" s="46">
        <f>SUBTOTAL(101,Tabela3965[Cena Din])</f>
        <v>45.668688000000003</v>
      </c>
      <c r="G71" s="3">
        <f>G69+G70</f>
        <v>366.47365632000003</v>
      </c>
    </row>
    <row r="72" spans="1:7" x14ac:dyDescent="0.35">
      <c r="F72" s="1">
        <f>Tabela39[[#Totals],[Cena Din]]</f>
        <v>175.13292665175081</v>
      </c>
      <c r="G72" s="1">
        <f>F72*B71</f>
        <v>1050.7975599105048</v>
      </c>
    </row>
    <row r="73" spans="1:7" x14ac:dyDescent="0.35">
      <c r="A73" s="98" t="s">
        <v>26</v>
      </c>
      <c r="B73" s="98"/>
      <c r="C73" s="98"/>
      <c r="D73" s="98"/>
    </row>
    <row r="74" spans="1:7" x14ac:dyDescent="0.35">
      <c r="A74" s="36" t="s">
        <v>189</v>
      </c>
      <c r="B74" s="37">
        <f>GETPIVOTDATA("Zbir od Količina",'Pivoti za obračun'!$AV$52)</f>
        <v>6</v>
      </c>
      <c r="C74" s="38" t="s">
        <v>190</v>
      </c>
      <c r="D74" s="1">
        <f>(GETPIVOTDATA("Zbir od Višnja",'Pivoti za obračun'!$C$3,"Kat.Proizvoda","Sveža")*2)/100</f>
        <v>29.04</v>
      </c>
    </row>
    <row r="75" spans="1:7" x14ac:dyDescent="0.35">
      <c r="A75" s="17" t="s">
        <v>191</v>
      </c>
      <c r="B75" s="39" t="s">
        <v>142</v>
      </c>
      <c r="C75" s="17" t="s">
        <v>192</v>
      </c>
      <c r="D75" s="17" t="s">
        <v>193</v>
      </c>
    </row>
    <row r="76" spans="1:7" ht="15.5" x14ac:dyDescent="0.35">
      <c r="A76" s="43" t="s">
        <v>197</v>
      </c>
      <c r="B76" s="1">
        <f>B74*0.97</f>
        <v>5.82</v>
      </c>
      <c r="C76" s="1">
        <f>GETPIVOTDATA("Zbir od Količina",'Pivoti za obračun'!$Q$43,"Proizvod","DZ Višnja")</f>
        <v>3</v>
      </c>
      <c r="D76" s="1">
        <f>B76-C76</f>
        <v>2.8200000000000003</v>
      </c>
    </row>
    <row r="77" spans="1:7" ht="15.5" x14ac:dyDescent="0.35">
      <c r="A77" s="43" t="s">
        <v>74</v>
      </c>
      <c r="B77" s="1">
        <f>B74*0.03</f>
        <v>0.18</v>
      </c>
      <c r="C77" s="1">
        <f>GETPIVOTDATA("Zbir od Količina",'Pivoti za obračun'!$Q$43,"Proizvod","DZ Višnja Blok")</f>
        <v>1</v>
      </c>
      <c r="D77" s="1">
        <f t="shared" ref="D77:D78" si="3">B77-C77</f>
        <v>-0.82000000000000006</v>
      </c>
    </row>
    <row r="78" spans="1:7" ht="15.5" x14ac:dyDescent="0.35">
      <c r="A78" s="42" t="s">
        <v>194</v>
      </c>
      <c r="B78" s="39">
        <f>SUM(B76:B77)</f>
        <v>6</v>
      </c>
      <c r="C78" s="39">
        <f>SUM(C76:C77)</f>
        <v>4</v>
      </c>
      <c r="D78" s="39">
        <f t="shared" si="3"/>
        <v>2</v>
      </c>
    </row>
    <row r="80" spans="1:7" x14ac:dyDescent="0.35">
      <c r="A80" s="98" t="s">
        <v>42</v>
      </c>
      <c r="B80" s="98"/>
      <c r="G80" s="1"/>
    </row>
    <row r="81" spans="1:7" x14ac:dyDescent="0.35">
      <c r="A81" s="17" t="s">
        <v>191</v>
      </c>
      <c r="B81" s="17" t="s">
        <v>206</v>
      </c>
      <c r="C81" t="s">
        <v>211</v>
      </c>
      <c r="D81" t="s">
        <v>194</v>
      </c>
      <c r="F81" s="49" t="s">
        <v>9</v>
      </c>
      <c r="G81" s="50" t="s">
        <v>212</v>
      </c>
    </row>
    <row r="82" spans="1:7" ht="15.5" x14ac:dyDescent="0.35">
      <c r="A82" s="40" t="s">
        <v>73</v>
      </c>
      <c r="B82" s="1">
        <f>B89</f>
        <v>2.7</v>
      </c>
      <c r="C82" s="45">
        <v>1.1000000000000001</v>
      </c>
      <c r="D82" s="45">
        <f>Tabela214184568[[#This Row],[Zalihe]]*Tabela14194669[[#This Row],[Pros Cena]]</f>
        <v>2.9700000000000006</v>
      </c>
      <c r="E82" s="1"/>
      <c r="F82" s="51">
        <f>Tabela14194669[[#This Row],[Pros Cena]]*Kalkulacija!S2</f>
        <v>128.80912000000001</v>
      </c>
      <c r="G82" s="52">
        <f>Tabela214184568[[#This Row],[Zalihe]]*F82</f>
        <v>347.78462400000006</v>
      </c>
    </row>
    <row r="83" spans="1:7" ht="16" thickBot="1" x14ac:dyDescent="0.4">
      <c r="A83" s="41" t="s">
        <v>76</v>
      </c>
      <c r="B83" s="1">
        <f>B91</f>
        <v>0.30000000000000004</v>
      </c>
      <c r="C83" s="45">
        <v>0.5</v>
      </c>
      <c r="D83" s="45">
        <f>Tabela214184568[[#This Row],[Zalihe]]*Tabela14194669[[#This Row],[Pros Cena]]</f>
        <v>0.15000000000000002</v>
      </c>
      <c r="E83" s="1"/>
      <c r="F83" s="53">
        <f>Tabela14194669[[#This Row],[Pros Cena]]*Kalkulacija!S2</f>
        <v>58.549599999999998</v>
      </c>
      <c r="G83" s="54">
        <f>Tabela214184568[[#This Row],[Zalihe]]*F83</f>
        <v>17.564880000000002</v>
      </c>
    </row>
    <row r="84" spans="1:7" ht="16" thickTop="1" x14ac:dyDescent="0.35">
      <c r="A84" s="42" t="s">
        <v>194</v>
      </c>
      <c r="B84" s="39">
        <f>B82+B83</f>
        <v>3</v>
      </c>
      <c r="C84" s="45">
        <f>SUBTOTAL(101,Tabela14194669[Pros Cena])</f>
        <v>0.8</v>
      </c>
      <c r="D84" s="45">
        <f>SUBTOTAL(109,Tabela14194669[Ukupno])</f>
        <v>3.1200000000000006</v>
      </c>
      <c r="E84" s="1"/>
      <c r="F84" s="55">
        <f>G84/Tabela214184568[[#This Row],[Zalihe]]</f>
        <v>121.78316800000003</v>
      </c>
      <c r="G84" s="56">
        <f>SUM(G82:G83)</f>
        <v>365.34950400000008</v>
      </c>
    </row>
    <row r="85" spans="1:7" x14ac:dyDescent="0.35">
      <c r="F85" s="1">
        <f>'Vrednost Zaliha'!F42</f>
        <v>128.34072320000001</v>
      </c>
      <c r="G85" s="1">
        <f>F85*B84</f>
        <v>385.02216960000004</v>
      </c>
    </row>
    <row r="86" spans="1:7" x14ac:dyDescent="0.35">
      <c r="A86" s="98" t="s">
        <v>42</v>
      </c>
      <c r="B86" s="98"/>
      <c r="C86" s="98"/>
      <c r="D86" s="98"/>
    </row>
    <row r="87" spans="1:7" x14ac:dyDescent="0.35">
      <c r="A87" s="36" t="s">
        <v>189</v>
      </c>
      <c r="B87" s="37">
        <f>GETPIVOTDATA("Zbir od Količina",'Pivoti za obračun'!$AV$62)+1</f>
        <v>3</v>
      </c>
      <c r="C87" s="38" t="s">
        <v>195</v>
      </c>
      <c r="D87" s="1">
        <f>GETPIVOTDATA("Zbir od Kajsija",'Pivoti za obračun'!$C$3,"Kat.Proizvoda","Sveža")*8/100</f>
        <v>0</v>
      </c>
    </row>
    <row r="88" spans="1:7" x14ac:dyDescent="0.35">
      <c r="A88" s="17" t="s">
        <v>191</v>
      </c>
      <c r="B88" s="39" t="s">
        <v>142</v>
      </c>
      <c r="C88" s="17" t="s">
        <v>192</v>
      </c>
      <c r="D88" s="17" t="s">
        <v>193</v>
      </c>
    </row>
    <row r="89" spans="1:7" ht="15.5" x14ac:dyDescent="0.35">
      <c r="A89" s="43" t="s">
        <v>200</v>
      </c>
      <c r="B89" s="1">
        <f>B87*0.9</f>
        <v>2.7</v>
      </c>
      <c r="C89" s="1">
        <f>GETPIVOTDATA("Zbir od Količina",'Pivoti za obračun'!$Q$55,"Proizvod","DZ Kajsija R/S")</f>
        <v>3</v>
      </c>
      <c r="D89" s="1">
        <f>B89-C89</f>
        <v>-0.29999999999999982</v>
      </c>
    </row>
    <row r="90" spans="1:7" ht="15.5" x14ac:dyDescent="0.35">
      <c r="A90" s="42" t="s">
        <v>201</v>
      </c>
      <c r="B90" s="1">
        <v>0</v>
      </c>
      <c r="C90" s="1">
        <v>0</v>
      </c>
      <c r="D90" s="1">
        <f>B90-C90</f>
        <v>0</v>
      </c>
    </row>
    <row r="91" spans="1:7" ht="15.5" x14ac:dyDescent="0.35">
      <c r="A91" s="43" t="s">
        <v>202</v>
      </c>
      <c r="B91" s="1">
        <f>B87*0.1</f>
        <v>0.30000000000000004</v>
      </c>
      <c r="C91" s="1">
        <f>GETPIVOTDATA("Zbir od Količina",'Pivoti za obračun'!$Q$55,"Proizvod","DZ Kajsija III")</f>
        <v>2</v>
      </c>
      <c r="D91" s="1">
        <f t="shared" ref="D91:D92" si="4">B91-C91</f>
        <v>-1.7</v>
      </c>
    </row>
    <row r="92" spans="1:7" ht="15.5" x14ac:dyDescent="0.35">
      <c r="A92" s="42" t="s">
        <v>194</v>
      </c>
      <c r="B92" s="39">
        <f>SUM(B89:B91)</f>
        <v>3</v>
      </c>
      <c r="C92" s="39">
        <f>SUM(C89:C91)</f>
        <v>5</v>
      </c>
      <c r="D92" s="39">
        <f t="shared" si="4"/>
        <v>-2</v>
      </c>
    </row>
  </sheetData>
  <mergeCells count="12">
    <mergeCell ref="A86:D86"/>
    <mergeCell ref="A5:B5"/>
    <mergeCell ref="A13:D13"/>
    <mergeCell ref="A23:B23"/>
    <mergeCell ref="A31:D31"/>
    <mergeCell ref="A39:B39"/>
    <mergeCell ref="A45:D45"/>
    <mergeCell ref="A53:B53"/>
    <mergeCell ref="A59:D59"/>
    <mergeCell ref="A67:B67"/>
    <mergeCell ref="A73:D73"/>
    <mergeCell ref="A80:B80"/>
  </mergeCells>
  <pageMargins left="0.7" right="0.7" top="0.75" bottom="0.75" header="0.3" footer="0.3"/>
  <pageSetup paperSize="9" orientation="portrait" verticalDpi="0" r:id="rId1"/>
  <ignoredErrors>
    <ignoredError sqref="F69:F70" calculatedColumn="1"/>
  </ignoredErrors>
  <tableParts count="2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List14"/>
  <dimension ref="A1:O92"/>
  <sheetViews>
    <sheetView topLeftCell="A7" workbookViewId="0">
      <selection activeCell="D51" sqref="D51"/>
    </sheetView>
  </sheetViews>
  <sheetFormatPr defaultRowHeight="14.5" x14ac:dyDescent="0.35"/>
  <cols>
    <col min="1" max="1" width="21.453125" bestFit="1" customWidth="1"/>
    <col min="2" max="2" width="10.54296875" bestFit="1" customWidth="1"/>
    <col min="3" max="3" width="15.54296875" bestFit="1" customWidth="1"/>
    <col min="4" max="4" width="19.453125" bestFit="1" customWidth="1"/>
    <col min="6" max="6" width="17.453125" bestFit="1" customWidth="1"/>
    <col min="7" max="7" width="19.453125" bestFit="1" customWidth="1"/>
    <col min="9" max="9" width="12.54296875" bestFit="1" customWidth="1"/>
    <col min="10" max="10" width="13.81640625" bestFit="1" customWidth="1"/>
    <col min="11" max="12" width="12.54296875" bestFit="1" customWidth="1"/>
    <col min="13" max="13" width="11.54296875" bestFit="1" customWidth="1"/>
    <col min="14" max="14" width="12" bestFit="1" customWidth="1"/>
    <col min="15" max="15" width="9.54296875" bestFit="1" customWidth="1"/>
  </cols>
  <sheetData>
    <row r="1" spans="1:15" x14ac:dyDescent="0.35">
      <c r="C1" s="69" t="s">
        <v>272</v>
      </c>
      <c r="D1" s="70">
        <f>G12+G30+G44+G58+G72+G85</f>
        <v>96162732.655220836</v>
      </c>
      <c r="I1" t="s">
        <v>270</v>
      </c>
    </row>
    <row r="2" spans="1:15" x14ac:dyDescent="0.35">
      <c r="I2" s="64" t="s">
        <v>23</v>
      </c>
      <c r="J2" s="65" t="s">
        <v>24</v>
      </c>
      <c r="K2" s="65" t="s">
        <v>203</v>
      </c>
      <c r="L2" s="65" t="s">
        <v>25</v>
      </c>
      <c r="M2" s="64" t="s">
        <v>26</v>
      </c>
      <c r="N2" s="64" t="s">
        <v>42</v>
      </c>
      <c r="O2" s="64" t="s">
        <v>27</v>
      </c>
    </row>
    <row r="3" spans="1:15" x14ac:dyDescent="0.35">
      <c r="I3" s="66">
        <f>B14*Prerada!B18</f>
        <v>8396953.0470000003</v>
      </c>
      <c r="J3" s="66">
        <f>B32*Prerada!E18</f>
        <v>89.866</v>
      </c>
      <c r="K3" s="66">
        <f>B46*Prerada!E18</f>
        <v>269.59800000000001</v>
      </c>
      <c r="L3" s="66">
        <f>B60*Prerada!K19</f>
        <v>423.71520000000004</v>
      </c>
      <c r="M3" s="66">
        <f>B74*Prerada!H10</f>
        <v>37708.44</v>
      </c>
      <c r="N3" s="66">
        <f>B87*Prerada!Q19</f>
        <v>32.724400000000003</v>
      </c>
      <c r="O3" s="65"/>
    </row>
    <row r="4" spans="1:15" x14ac:dyDescent="0.35">
      <c r="I4" s="67" t="s">
        <v>271</v>
      </c>
      <c r="J4" s="68">
        <f>I3+J3+K3+L3+M3+N3</f>
        <v>8435477.3905999996</v>
      </c>
    </row>
    <row r="5" spans="1:15" x14ac:dyDescent="0.35">
      <c r="A5" s="98" t="s">
        <v>23</v>
      </c>
      <c r="B5" s="98"/>
      <c r="G5" s="1"/>
    </row>
    <row r="6" spans="1:15" x14ac:dyDescent="0.35">
      <c r="A6" s="17" t="s">
        <v>191</v>
      </c>
      <c r="B6" s="17" t="s">
        <v>206</v>
      </c>
      <c r="C6" t="s">
        <v>207</v>
      </c>
      <c r="D6" t="s">
        <v>208</v>
      </c>
      <c r="F6" t="s">
        <v>209</v>
      </c>
      <c r="G6" s="1" t="s">
        <v>210</v>
      </c>
    </row>
    <row r="7" spans="1:15" ht="15.5" x14ac:dyDescent="0.35">
      <c r="A7" s="40" t="s">
        <v>70</v>
      </c>
      <c r="B7" s="1">
        <f>B16</f>
        <v>140362.04699999999</v>
      </c>
      <c r="C7" s="45">
        <v>2.35</v>
      </c>
      <c r="D7" s="45">
        <f>Tabela2143970[[#This Row],[Zalihe]]*Tabela144072[[#This Row],[Pros Cena eur]]</f>
        <v>329850.81044999999</v>
      </c>
      <c r="E7" s="1"/>
      <c r="F7" s="46">
        <f>Tabela144072[[#This Row],[Pros Cena eur]]*Kalkulacija!S2</f>
        <v>275.18311999999997</v>
      </c>
      <c r="G7" s="46">
        <f>Tabela2143970[[#This Row],[Zalihe]]*F7</f>
        <v>38625266.023046635</v>
      </c>
    </row>
    <row r="8" spans="1:15" ht="15.5" x14ac:dyDescent="0.35">
      <c r="A8" s="41" t="s">
        <v>56</v>
      </c>
      <c r="B8" s="1">
        <f>B17</f>
        <v>21467.136600000002</v>
      </c>
      <c r="C8" s="45">
        <v>1.8</v>
      </c>
      <c r="D8" s="45">
        <f>Tabela2143970[[#This Row],[Zalihe]]*Tabela144072[[#This Row],[Pros Cena eur]]</f>
        <v>38640.845880000001</v>
      </c>
      <c r="E8" s="1"/>
      <c r="F8" s="46">
        <f>Tabela144072[[#This Row],[Pros Cena eur]]*Kalkulacija!S2</f>
        <v>210.77856</v>
      </c>
      <c r="G8" s="46">
        <f>Tabela2143970[[#This Row],[Zalihe]]*F8</f>
        <v>4524812.1398712965</v>
      </c>
    </row>
    <row r="9" spans="1:15" ht="15.5" x14ac:dyDescent="0.35">
      <c r="A9" s="41" t="s">
        <v>61</v>
      </c>
      <c r="B9" s="1">
        <f>B18</f>
        <v>0.18164500200000003</v>
      </c>
      <c r="C9" s="45">
        <v>1.5</v>
      </c>
      <c r="D9" s="45">
        <f>Tabela2143970[[#This Row],[Zalihe]]*Tabela144072[[#This Row],[Pros Cena eur]]</f>
        <v>0.27246750300000006</v>
      </c>
      <c r="E9" s="1"/>
      <c r="F9" s="46">
        <f>Tabela144072[[#This Row],[Pros Cena eur]]*Kalkulacija!S2</f>
        <v>175.64879999999999</v>
      </c>
      <c r="G9" s="46">
        <f>Tabela2143970[[#This Row],[Zalihe]]*F9</f>
        <v>31.905726627297604</v>
      </c>
    </row>
    <row r="10" spans="1:15" ht="15.5" x14ac:dyDescent="0.35">
      <c r="A10" s="41" t="s">
        <v>82</v>
      </c>
      <c r="B10" s="1">
        <f>B19</f>
        <v>3302.6364000000003</v>
      </c>
      <c r="C10" s="45">
        <v>1.3</v>
      </c>
      <c r="D10" s="45">
        <f>Tabela2143970[[#This Row],[Zalihe]]*Tabela144072[[#This Row],[Pros Cena eur]]</f>
        <v>4293.4273200000007</v>
      </c>
      <c r="E10" s="1"/>
      <c r="F10" s="46">
        <f>Tabela144072[[#This Row],[Pros Cena eur]]*Kalkulacija!S2</f>
        <v>152.22896</v>
      </c>
      <c r="G10" s="46">
        <f>Tabela2143970[[#This Row],[Zalihe]]*F10</f>
        <v>502756.90443014406</v>
      </c>
    </row>
    <row r="11" spans="1:15" ht="15.5" x14ac:dyDescent="0.35">
      <c r="A11" s="42" t="s">
        <v>194</v>
      </c>
      <c r="B11" s="39">
        <f>SUM(B7:B10)</f>
        <v>165132.00164500199</v>
      </c>
      <c r="C11" s="60">
        <f>Tabela144072[[#Totals],[Ukupno eur]]/Tabela21439[[#This Row],[Zalihe]]</f>
        <v>37617.048037745946</v>
      </c>
      <c r="D11" s="61">
        <f>SUM(Tabela144072[Ukupno eur])</f>
        <v>372785.35611750296</v>
      </c>
      <c r="E11" s="1"/>
      <c r="F11" s="46">
        <f>Tabela214166[[#Totals],[Vrednost din]]/Tabela21439[[#This Row],[Zalihe]]</f>
        <v>4404926.2315816199</v>
      </c>
      <c r="G11" s="46">
        <f>SUBTOTAL(109,Tabela214166[Vrednost din])</f>
        <v>43652866.973074704</v>
      </c>
    </row>
    <row r="12" spans="1:15" x14ac:dyDescent="0.35">
      <c r="A12" s="47"/>
      <c r="F12" s="1">
        <f>'Podaci Za Obračun Originali'!F12</f>
        <v>580.81336332753767</v>
      </c>
      <c r="G12" s="1">
        <f>F12*B11</f>
        <v>95910873.268442094</v>
      </c>
    </row>
    <row r="13" spans="1:15" x14ac:dyDescent="0.35">
      <c r="A13" s="98" t="s">
        <v>23</v>
      </c>
      <c r="B13" s="98"/>
      <c r="C13" s="98"/>
      <c r="D13" s="98"/>
    </row>
    <row r="14" spans="1:15" x14ac:dyDescent="0.35">
      <c r="A14" s="36" t="s">
        <v>189</v>
      </c>
      <c r="B14" s="37">
        <f>GETPIVOTDATA("Zbir od Količina",'Pivoti za obračun'!$AZ$9)-D14</f>
        <v>165131.82</v>
      </c>
      <c r="C14" s="38" t="s">
        <v>190</v>
      </c>
      <c r="D14" s="1">
        <f>(GETPIVOTDATA("Zbir od Količina",'Pivoti za obračun'!$AV$9)*2)/100</f>
        <v>0.18</v>
      </c>
    </row>
    <row r="15" spans="1:15" x14ac:dyDescent="0.35">
      <c r="A15" s="17" t="s">
        <v>191</v>
      </c>
      <c r="B15" s="39" t="s">
        <v>142</v>
      </c>
      <c r="C15" s="17" t="s">
        <v>192</v>
      </c>
      <c r="D15" s="17" t="s">
        <v>193</v>
      </c>
    </row>
    <row r="16" spans="1:15" ht="15.5" x14ac:dyDescent="0.35">
      <c r="A16" s="40" t="s">
        <v>70</v>
      </c>
      <c r="B16" s="1">
        <f>B14*0.85</f>
        <v>140362.04699999999</v>
      </c>
      <c r="C16" s="1">
        <f>GETPIVOTDATA("Zbir od Količina",'Pivoti za obračun'!$Q$5,"Proizvod","Dz Malina Rollend")</f>
        <v>2</v>
      </c>
      <c r="D16" s="1">
        <f>B16-C16</f>
        <v>140360.04699999999</v>
      </c>
    </row>
    <row r="17" spans="1:7" ht="15.5" x14ac:dyDescent="0.35">
      <c r="A17" s="41" t="s">
        <v>56</v>
      </c>
      <c r="B17" s="1">
        <f>B14*0.13</f>
        <v>21467.136600000002</v>
      </c>
      <c r="C17" s="1">
        <f>GETPIVOTDATA("Zbir od Količina",'Pivoti za obračun'!$Q$5,"Proizvod","DZ Malina Griz")</f>
        <v>1</v>
      </c>
      <c r="D17" s="1">
        <f>B17-C17</f>
        <v>21466.136600000002</v>
      </c>
    </row>
    <row r="18" spans="1:7" ht="15.5" x14ac:dyDescent="0.35">
      <c r="A18" s="41" t="s">
        <v>61</v>
      </c>
      <c r="B18" s="1">
        <f>B14*0.0000011</f>
        <v>0.18164500200000003</v>
      </c>
      <c r="C18" s="1">
        <v>1</v>
      </c>
      <c r="D18" s="1">
        <f>B18-C18</f>
        <v>-0.818354998</v>
      </c>
    </row>
    <row r="19" spans="1:7" ht="15.5" x14ac:dyDescent="0.35">
      <c r="A19" s="41" t="s">
        <v>82</v>
      </c>
      <c r="B19" s="1">
        <f>B14*0.02</f>
        <v>3302.6364000000003</v>
      </c>
      <c r="C19" s="1">
        <f>GETPIVOTDATA("Zbir od Količina",'Pivoti za obračun'!$Q$5,"Proizvod","DZ Malina Blok")</f>
        <v>1</v>
      </c>
      <c r="D19" s="1">
        <f>B19-C19</f>
        <v>3301.6364000000003</v>
      </c>
    </row>
    <row r="20" spans="1:7" ht="15.5" x14ac:dyDescent="0.35">
      <c r="A20" s="42" t="s">
        <v>194</v>
      </c>
      <c r="B20" s="39">
        <f>SUM(B16:B19)</f>
        <v>165132.00164500199</v>
      </c>
      <c r="C20" s="39">
        <f>SUM(C16:C19)</f>
        <v>5</v>
      </c>
      <c r="D20" s="39">
        <f>B20-C20</f>
        <v>165127.00164500199</v>
      </c>
    </row>
    <row r="23" spans="1:7" x14ac:dyDescent="0.35">
      <c r="A23" s="98" t="s">
        <v>24</v>
      </c>
      <c r="B23" s="98"/>
      <c r="G23" s="1"/>
    </row>
    <row r="24" spans="1:7" x14ac:dyDescent="0.35">
      <c r="A24" s="17" t="s">
        <v>191</v>
      </c>
      <c r="B24" s="17" t="s">
        <v>206</v>
      </c>
      <c r="C24" t="s">
        <v>211</v>
      </c>
      <c r="D24" t="s">
        <v>194</v>
      </c>
      <c r="F24" t="s">
        <v>9</v>
      </c>
      <c r="G24" s="1" t="s">
        <v>210</v>
      </c>
    </row>
    <row r="25" spans="1:7" ht="15.5" x14ac:dyDescent="0.35">
      <c r="A25" s="40" t="s">
        <v>120</v>
      </c>
      <c r="B25" s="1">
        <f>B34</f>
        <v>1.6659999999999999</v>
      </c>
      <c r="C25" s="48">
        <v>0.87</v>
      </c>
      <c r="D25" s="48">
        <f>Tabela2141677[[#This Row],[Zalihe]]*Tabela141776[[#This Row],[Pros Cena]]</f>
        <v>1.4494199999999999</v>
      </c>
      <c r="E25" s="1"/>
      <c r="F25" s="46">
        <f>Tabela141776[[#This Row],[Pros Cena]]*Kalkulacija!S2</f>
        <v>101.87630399999999</v>
      </c>
      <c r="G25" s="46">
        <f>Tabela2141677[[#This Row],[Zalihe]]*F25</f>
        <v>169.72592246399998</v>
      </c>
    </row>
    <row r="26" spans="1:7" ht="15.5" x14ac:dyDescent="0.35">
      <c r="A26" s="41" t="s">
        <v>49</v>
      </c>
      <c r="B26" s="1">
        <f>B35</f>
        <v>0.14699999999999999</v>
      </c>
      <c r="C26" s="48">
        <v>0.6</v>
      </c>
      <c r="D26" s="48">
        <f>Tabela2141677[[#This Row],[Zalihe]]*Tabela141776[[#This Row],[Pros Cena]]</f>
        <v>8.8199999999999987E-2</v>
      </c>
      <c r="E26" s="1"/>
      <c r="F26" s="46">
        <f>Tabela141776[[#This Row],[Pros Cena]]*Kalkulacija!S2</f>
        <v>70.259519999999995</v>
      </c>
      <c r="G26" s="46">
        <f>Tabela2141677[[#This Row],[Zalihe]]*F26</f>
        <v>10.328149439999999</v>
      </c>
    </row>
    <row r="27" spans="1:7" ht="15.5" x14ac:dyDescent="0.35">
      <c r="A27" s="41" t="s">
        <v>66</v>
      </c>
      <c r="B27" s="1">
        <f>B36</f>
        <v>0.14699999999999999</v>
      </c>
      <c r="C27" s="48">
        <v>0.3</v>
      </c>
      <c r="D27" s="48">
        <f>Tabela2141677[[#This Row],[Zalihe]]*Tabela141776[[#This Row],[Pros Cena]]</f>
        <v>4.4099999999999993E-2</v>
      </c>
      <c r="E27" s="1"/>
      <c r="F27" s="46">
        <f>Tabela141776[[#This Row],[Pros Cena]]*Kalkulacija!S2</f>
        <v>35.129759999999997</v>
      </c>
      <c r="G27" s="46">
        <f>Tabela2141677[[#This Row],[Zalihe]]*F27</f>
        <v>5.1640747199999995</v>
      </c>
    </row>
    <row r="28" spans="1:7" ht="15.5" x14ac:dyDescent="0.35">
      <c r="A28" s="41"/>
      <c r="B28" s="1"/>
      <c r="C28" s="48"/>
      <c r="D28" s="48"/>
      <c r="E28" s="1"/>
      <c r="F28" s="46"/>
      <c r="G28" s="46"/>
    </row>
    <row r="29" spans="1:7" ht="15.5" x14ac:dyDescent="0.35">
      <c r="A29" s="42" t="s">
        <v>194</v>
      </c>
      <c r="B29" s="39">
        <f>SUM(B25:B28)</f>
        <v>1.96</v>
      </c>
      <c r="C29" s="59">
        <f>Tabela141776[[#Totals],[Ukupno]]/Tabela2141677[[#This Row],[Zalihe]]</f>
        <v>0.80700000000000005</v>
      </c>
      <c r="D29" s="48">
        <f>D25+D26+D27</f>
        <v>1.58172</v>
      </c>
      <c r="E29" s="1"/>
      <c r="F29" s="46">
        <f>Tabela2275[[#Totals],[Vrednost din]]/Tabela2141677[[#This Row],[Zalihe]]</f>
        <v>94.499054399999991</v>
      </c>
      <c r="G29" s="46">
        <f>SUBTOTAL(109,Tabela2275[Vrednost din])</f>
        <v>185.21814662399998</v>
      </c>
    </row>
    <row r="30" spans="1:7" x14ac:dyDescent="0.35">
      <c r="F30" s="1">
        <f>'Podaci Za Obračun Originali'!F30</f>
        <v>252.15361066666662</v>
      </c>
      <c r="G30" s="1">
        <f>F30*B29</f>
        <v>494.22107690666655</v>
      </c>
    </row>
    <row r="31" spans="1:7" x14ac:dyDescent="0.35">
      <c r="A31" s="98" t="s">
        <v>24</v>
      </c>
      <c r="B31" s="98"/>
      <c r="C31" s="98"/>
      <c r="D31" s="98"/>
    </row>
    <row r="32" spans="1:7" x14ac:dyDescent="0.35">
      <c r="A32" s="36" t="s">
        <v>189</v>
      </c>
      <c r="B32" s="37">
        <f>GETPIVOTDATA("Zbir od Količina",'Pivoti za obračun'!$AZ$20)-D32</f>
        <v>1.96</v>
      </c>
      <c r="C32" s="38" t="s">
        <v>190</v>
      </c>
      <c r="D32" s="1">
        <f>(GETPIVOTDATA("Zbir od Količina",'Pivoti za obračun'!$AZ$20)*2)/100</f>
        <v>0.04</v>
      </c>
    </row>
    <row r="33" spans="1:7" x14ac:dyDescent="0.35">
      <c r="A33" s="17" t="s">
        <v>191</v>
      </c>
      <c r="B33" s="39" t="s">
        <v>142</v>
      </c>
      <c r="C33" s="17" t="s">
        <v>192</v>
      </c>
      <c r="D33" s="17" t="s">
        <v>193</v>
      </c>
    </row>
    <row r="34" spans="1:7" ht="15.5" x14ac:dyDescent="0.35">
      <c r="A34" s="43" t="s">
        <v>77</v>
      </c>
      <c r="B34" s="1">
        <f>B32*0.85</f>
        <v>1.6659999999999999</v>
      </c>
      <c r="C34" s="1">
        <f>GETPIVOTDATA("Zbir od Količina",'Pivoti za obračun'!$Q$19,"Proizvod","DZ Kupina Rollend")</f>
        <v>3</v>
      </c>
      <c r="D34" s="1">
        <f t="shared" ref="D34:D36" si="0">B34-C34</f>
        <v>-1.3340000000000001</v>
      </c>
    </row>
    <row r="35" spans="1:7" ht="15.5" x14ac:dyDescent="0.35">
      <c r="A35" s="43" t="s">
        <v>49</v>
      </c>
      <c r="B35" s="1">
        <f>B32*0.075</f>
        <v>0.14699999999999999</v>
      </c>
      <c r="C35" s="1">
        <f>GETPIVOTDATA("Zbir od Količina",'Pivoti za obračun'!$Q$19,"Proizvod","DZ Kupina Pire")</f>
        <v>1</v>
      </c>
      <c r="D35" s="1">
        <f t="shared" si="0"/>
        <v>-0.85299999999999998</v>
      </c>
    </row>
    <row r="36" spans="1:7" ht="15.5" x14ac:dyDescent="0.35">
      <c r="A36" s="43" t="s">
        <v>66</v>
      </c>
      <c r="B36" s="1">
        <f>B32*0.075</f>
        <v>0.14699999999999999</v>
      </c>
      <c r="C36" s="1">
        <f>GETPIVOTDATA("Zbir od Količina",'Pivoti za obračun'!$Q$19,"Proizvod","DZ Kupina Blok")</f>
        <v>1</v>
      </c>
      <c r="D36" s="1">
        <f t="shared" si="0"/>
        <v>-0.85299999999999998</v>
      </c>
    </row>
    <row r="37" spans="1:7" ht="15.5" x14ac:dyDescent="0.35">
      <c r="A37" s="44" t="s">
        <v>194</v>
      </c>
      <c r="B37" s="39">
        <f>SUM(B34:B36)</f>
        <v>1.96</v>
      </c>
      <c r="C37" s="39">
        <f>SUM(C34:C36)</f>
        <v>5</v>
      </c>
      <c r="D37" s="39">
        <f>B37-C37</f>
        <v>-3.04</v>
      </c>
    </row>
    <row r="39" spans="1:7" x14ac:dyDescent="0.35">
      <c r="A39" s="98" t="s">
        <v>216</v>
      </c>
      <c r="B39" s="98"/>
      <c r="F39" s="1"/>
    </row>
    <row r="40" spans="1:7" x14ac:dyDescent="0.35">
      <c r="A40" s="17" t="s">
        <v>191</v>
      </c>
      <c r="B40" s="17" t="s">
        <v>206</v>
      </c>
      <c r="C40" t="s">
        <v>211</v>
      </c>
      <c r="D40" t="s">
        <v>194</v>
      </c>
      <c r="F40" t="s">
        <v>9</v>
      </c>
      <c r="G40" s="1" t="s">
        <v>215</v>
      </c>
    </row>
    <row r="41" spans="1:7" ht="15.5" x14ac:dyDescent="0.35">
      <c r="A41" s="40" t="s">
        <v>217</v>
      </c>
      <c r="B41" s="1">
        <f>B48</f>
        <v>5.2919999999999998</v>
      </c>
      <c r="C41" s="45">
        <v>0.95</v>
      </c>
      <c r="D41" s="45">
        <f>Tabela2141820245378[[#This Row],[Zalihe]]*Tabela141921255479[[#This Row],[Pros Cena]]</f>
        <v>5.0273999999999992</v>
      </c>
      <c r="E41" s="1"/>
      <c r="F41" s="46">
        <f>Tabela141921255479[[#This Row],[Pros Cena]]*Kalkulacija!S2</f>
        <v>111.24423999999999</v>
      </c>
      <c r="G41" s="46">
        <f>Tabela2141820245378[[#This Row],[Zalihe]]*F41</f>
        <v>588.70451807999996</v>
      </c>
    </row>
    <row r="42" spans="1:7" ht="15.5" x14ac:dyDescent="0.35">
      <c r="A42" s="41" t="s">
        <v>218</v>
      </c>
      <c r="B42" s="1">
        <f>B49</f>
        <v>0.58799999999999997</v>
      </c>
      <c r="C42" s="45">
        <v>0.5</v>
      </c>
      <c r="D42" s="45">
        <f>Tabela2141820245378[[#This Row],[Zalihe]]*Tabela141921255479[[#This Row],[Pros Cena]]</f>
        <v>0.29399999999999998</v>
      </c>
      <c r="E42" s="1"/>
      <c r="F42" s="46">
        <f>Tabela141921255479[[#This Row],[Pros Cena]]*Kalkulacija!S2</f>
        <v>58.549599999999998</v>
      </c>
      <c r="G42" s="46">
        <f>Tabela2141820245378[[#This Row],[Zalihe]]*F42</f>
        <v>34.4271648</v>
      </c>
    </row>
    <row r="43" spans="1:7" ht="15.5" x14ac:dyDescent="0.35">
      <c r="A43" s="42" t="s">
        <v>194</v>
      </c>
      <c r="B43" s="39">
        <f>B41+B42</f>
        <v>5.88</v>
      </c>
      <c r="C43" s="45">
        <f>Tabela141921255479[[#Totals],[Ukupno]]/Tabela2141820245378[[#This Row],[Zalihe]]</f>
        <v>0.9049999999999998</v>
      </c>
      <c r="D43" s="45">
        <f>D41+D42</f>
        <v>5.3213999999999988</v>
      </c>
      <c r="E43" s="1"/>
      <c r="F43" s="46">
        <f>SUBTOTAL(101,Tabela405580[Cena Din])</f>
        <v>84.896919999999994</v>
      </c>
      <c r="G43" s="46">
        <f>SUBTOTAL(109,Tabela405580[Vrednost Din])</f>
        <v>623.13168287999997</v>
      </c>
    </row>
    <row r="44" spans="1:7" x14ac:dyDescent="0.35">
      <c r="F44" s="1">
        <f>'Podaci Za Obračun Originali'!F44</f>
        <v>253.38206483519065</v>
      </c>
      <c r="G44" s="1">
        <f>B43*F44</f>
        <v>1489.886541230921</v>
      </c>
    </row>
    <row r="45" spans="1:7" x14ac:dyDescent="0.35">
      <c r="A45" s="98" t="s">
        <v>198</v>
      </c>
      <c r="B45" s="98"/>
      <c r="C45" s="98"/>
      <c r="D45" s="98"/>
    </row>
    <row r="46" spans="1:7" x14ac:dyDescent="0.35">
      <c r="A46" s="36" t="s">
        <v>189</v>
      </c>
      <c r="B46" s="37">
        <f>GETPIVOTDATA("Zbir od Količina",'Pivoti za obračun'!$AZ$31)-D46</f>
        <v>5.88</v>
      </c>
      <c r="C46" s="38" t="s">
        <v>190</v>
      </c>
      <c r="D46" s="1">
        <f>GETPIVOTDATA("Zbir od Količina",'Pivoti za obračun'!$AZ$31)*2/100</f>
        <v>0.12</v>
      </c>
    </row>
    <row r="47" spans="1:7" x14ac:dyDescent="0.35">
      <c r="A47" s="17" t="s">
        <v>191</v>
      </c>
      <c r="B47" s="39" t="s">
        <v>142</v>
      </c>
      <c r="C47" s="17" t="s">
        <v>192</v>
      </c>
      <c r="D47" s="17" t="s">
        <v>193</v>
      </c>
    </row>
    <row r="48" spans="1:7" ht="15.5" x14ac:dyDescent="0.35">
      <c r="A48" s="43" t="s">
        <v>199</v>
      </c>
      <c r="B48" s="1">
        <f>B46*0.9</f>
        <v>5.2919999999999998</v>
      </c>
      <c r="C48" s="1">
        <f>GETPIVOTDATA("Zbir od Količina",'Pivoti za obračun'!$Q$75,"Proizvod","DZ Kupina Rollend Sl.")</f>
        <v>1</v>
      </c>
      <c r="D48" s="1">
        <f>B48-C48</f>
        <v>4.2919999999999998</v>
      </c>
    </row>
    <row r="49" spans="1:7" ht="15.5" x14ac:dyDescent="0.35">
      <c r="A49" s="43" t="s">
        <v>205</v>
      </c>
      <c r="B49" s="1">
        <f>B46*0.1</f>
        <v>0.58799999999999997</v>
      </c>
      <c r="C49" s="1">
        <f>GETPIVOTDATA("Zbir od Količina",'Pivoti za obračun'!$Q$75,"Proizvod","DZ Kupina Blok Sl.")</f>
        <v>1</v>
      </c>
      <c r="D49" s="1">
        <f t="shared" ref="D49" si="1">B49-C49</f>
        <v>-0.41200000000000003</v>
      </c>
    </row>
    <row r="50" spans="1:7" ht="15.5" x14ac:dyDescent="0.35">
      <c r="A50" s="42" t="s">
        <v>194</v>
      </c>
      <c r="B50" s="39">
        <f>SUM(B48:B49)</f>
        <v>5.88</v>
      </c>
      <c r="C50" s="39">
        <f>SUM(C48:C49)</f>
        <v>2</v>
      </c>
      <c r="D50" s="39">
        <f>B50-C50</f>
        <v>3.88</v>
      </c>
    </row>
    <row r="53" spans="1:7" x14ac:dyDescent="0.35">
      <c r="A53" s="98" t="s">
        <v>25</v>
      </c>
      <c r="B53" s="98"/>
      <c r="G53" s="1"/>
    </row>
    <row r="54" spans="1:7" x14ac:dyDescent="0.35">
      <c r="A54" s="17" t="s">
        <v>191</v>
      </c>
      <c r="B54" s="17" t="s">
        <v>206</v>
      </c>
      <c r="C54" t="s">
        <v>211</v>
      </c>
      <c r="D54" t="s">
        <v>194</v>
      </c>
      <c r="F54" s="49" t="s">
        <v>9</v>
      </c>
      <c r="G54" s="50" t="s">
        <v>212</v>
      </c>
    </row>
    <row r="55" spans="1:7" ht="15.5" x14ac:dyDescent="0.35">
      <c r="A55" s="40" t="s">
        <v>213</v>
      </c>
      <c r="B55" s="1">
        <f>B62</f>
        <v>6.6240000000000006</v>
      </c>
      <c r="C55" s="45">
        <v>0.7</v>
      </c>
      <c r="D55" s="45">
        <f>Tabela214185782[[#This Row],[Zalihe]]*Tabela14195883[[#This Row],[Pros Cena]]</f>
        <v>4.6368</v>
      </c>
      <c r="E55" s="1"/>
      <c r="F55" s="51">
        <f>Tabela14195883[[#This Row],[Pros Cena]]*Kalkulacija!S2</f>
        <v>81.969439999999992</v>
      </c>
      <c r="G55" s="52">
        <f>Tabela214185782[[#This Row],[Zalihe]]*F55</f>
        <v>542.96557055999995</v>
      </c>
    </row>
    <row r="56" spans="1:7" ht="16" thickBot="1" x14ac:dyDescent="0.4">
      <c r="A56" s="41" t="s">
        <v>214</v>
      </c>
      <c r="B56" s="1">
        <f>B64</f>
        <v>0.7360000000000001</v>
      </c>
      <c r="C56" s="45">
        <v>0.2</v>
      </c>
      <c r="D56" s="45">
        <f>Tabela214185782[[#This Row],[Zalihe]]*Tabela14195883[[#This Row],[Pros Cena]]</f>
        <v>0.14720000000000003</v>
      </c>
      <c r="E56" s="1"/>
      <c r="F56" s="53">
        <f>Tabela14195883[[#This Row],[Pros Cena]]*Kalkulacija!S2</f>
        <v>23.419840000000001</v>
      </c>
      <c r="G56" s="54">
        <f>Tabela214185782[[#This Row],[Zalihe]]*F56</f>
        <v>17.237002240000002</v>
      </c>
    </row>
    <row r="57" spans="1:7" ht="16" thickTop="1" x14ac:dyDescent="0.35">
      <c r="A57" s="42" t="s">
        <v>194</v>
      </c>
      <c r="B57" s="39">
        <f>B55+B56</f>
        <v>7.36</v>
      </c>
      <c r="C57" s="45">
        <f>SUBTOTAL(101,Tabela14195883[Pros Cena])</f>
        <v>0.44999999999999996</v>
      </c>
      <c r="D57" s="45">
        <f>D55+D56</f>
        <v>4.7839999999999998</v>
      </c>
      <c r="E57" s="1"/>
      <c r="F57" s="55"/>
      <c r="G57" s="56">
        <f>G55+G56</f>
        <v>560.20257279999998</v>
      </c>
    </row>
    <row r="58" spans="1:7" x14ac:dyDescent="0.35">
      <c r="F58" s="1">
        <f>'Podaci Za Obračun Originali'!F58</f>
        <v>74.735922131355906</v>
      </c>
      <c r="G58" s="1">
        <f>F58*B57</f>
        <v>550.05638688677948</v>
      </c>
    </row>
    <row r="59" spans="1:7" x14ac:dyDescent="0.35">
      <c r="A59" s="98" t="s">
        <v>25</v>
      </c>
      <c r="B59" s="98"/>
      <c r="C59" s="98"/>
      <c r="D59" s="98"/>
    </row>
    <row r="60" spans="1:7" x14ac:dyDescent="0.35">
      <c r="A60" s="36" t="s">
        <v>189</v>
      </c>
      <c r="B60" s="37">
        <f>GETPIVOTDATA("Zbir od Količina",'Pivoti za obračun'!$AZ$42)-D60</f>
        <v>7.36</v>
      </c>
      <c r="C60" s="38" t="s">
        <v>195</v>
      </c>
      <c r="D60" s="1">
        <f>GETPIVOTDATA("Zbir od Količina",'Pivoti za obračun'!$AZ$42)*8/100</f>
        <v>0.64</v>
      </c>
    </row>
    <row r="61" spans="1:7" x14ac:dyDescent="0.35">
      <c r="A61" s="17" t="s">
        <v>191</v>
      </c>
      <c r="B61" s="39" t="s">
        <v>142</v>
      </c>
      <c r="C61" s="17" t="s">
        <v>192</v>
      </c>
      <c r="D61" s="17" t="s">
        <v>193</v>
      </c>
    </row>
    <row r="62" spans="1:7" ht="15.5" x14ac:dyDescent="0.35">
      <c r="A62" s="43" t="s">
        <v>196</v>
      </c>
      <c r="B62" s="1">
        <f>B60*0.9</f>
        <v>6.6240000000000006</v>
      </c>
      <c r="C62" s="1">
        <f>0</f>
        <v>0</v>
      </c>
      <c r="D62" s="1">
        <f>B62-C62</f>
        <v>6.6240000000000006</v>
      </c>
    </row>
    <row r="63" spans="1:7" ht="15.5" x14ac:dyDescent="0.35">
      <c r="A63" s="42" t="s">
        <v>39</v>
      </c>
      <c r="B63" s="1">
        <v>0</v>
      </c>
      <c r="C63" s="1">
        <v>0</v>
      </c>
      <c r="D63" s="1">
        <f>B63-C63</f>
        <v>0</v>
      </c>
    </row>
    <row r="64" spans="1:7" ht="15.5" x14ac:dyDescent="0.35">
      <c r="A64" s="43" t="s">
        <v>81</v>
      </c>
      <c r="B64" s="1">
        <f>B60*0.1</f>
        <v>0.7360000000000001</v>
      </c>
      <c r="C64" s="1">
        <v>0</v>
      </c>
      <c r="D64" s="1">
        <f t="shared" ref="D64" si="2">B64-C64</f>
        <v>0.7360000000000001</v>
      </c>
    </row>
    <row r="65" spans="1:7" ht="15.5" x14ac:dyDescent="0.35">
      <c r="A65" s="42" t="s">
        <v>194</v>
      </c>
      <c r="B65" s="39">
        <f>SUM(B62:B64)</f>
        <v>7.36</v>
      </c>
      <c r="C65" s="39">
        <f>SUM(C62:C64)</f>
        <v>0</v>
      </c>
      <c r="D65" s="39">
        <f>B65-C65</f>
        <v>7.36</v>
      </c>
    </row>
    <row r="67" spans="1:7" x14ac:dyDescent="0.35">
      <c r="A67" s="98" t="s">
        <v>26</v>
      </c>
      <c r="B67" s="98"/>
      <c r="F67" s="1"/>
      <c r="G67" s="1"/>
    </row>
    <row r="68" spans="1:7" x14ac:dyDescent="0.35">
      <c r="A68" s="17" t="s">
        <v>191</v>
      </c>
      <c r="B68" s="17" t="s">
        <v>206</v>
      </c>
      <c r="C68" t="s">
        <v>211</v>
      </c>
      <c r="D68" t="s">
        <v>194</v>
      </c>
      <c r="F68" t="s">
        <v>9</v>
      </c>
      <c r="G68" s="1" t="s">
        <v>215</v>
      </c>
    </row>
    <row r="69" spans="1:7" ht="15.5" x14ac:dyDescent="0.35">
      <c r="A69" s="40" t="s">
        <v>30</v>
      </c>
      <c r="B69" s="1">
        <f>B76</f>
        <v>1380.2711999999999</v>
      </c>
      <c r="C69" s="45">
        <v>0.53</v>
      </c>
      <c r="D69" s="45">
        <f>Tabela21418206385[[#This Row],[Zalihe]]*Tabela1419216486[[#This Row],[Pros Cena]]</f>
        <v>731.54373599999997</v>
      </c>
      <c r="E69" s="1"/>
      <c r="F69" s="46">
        <f>Tabela1419216486[[#This Row],[Pros Cena]]*Kalkulacija!S2</f>
        <v>62.062576</v>
      </c>
      <c r="G69" s="46">
        <f>Tabela21418206385[[#This Row],[Zalihe]]*F69</f>
        <v>85663.186250611194</v>
      </c>
    </row>
    <row r="70" spans="1:7" ht="15.5" x14ac:dyDescent="0.35">
      <c r="A70" s="41" t="s">
        <v>50</v>
      </c>
      <c r="B70" s="1">
        <f>B77</f>
        <v>42.688800000000001</v>
      </c>
      <c r="C70" s="45">
        <v>0.25</v>
      </c>
      <c r="D70" s="45">
        <f>Tabela21418206385[[#This Row],[Zalihe]]*Tabela1419216486[[#This Row],[Pros Cena]]</f>
        <v>10.6722</v>
      </c>
      <c r="E70" s="1"/>
      <c r="F70" s="46">
        <f>(Tabela1419216486[[#This Row],[Pros Cena]]*Kalkulacija!S2)</f>
        <v>29.274799999999999</v>
      </c>
      <c r="G70" s="46">
        <f>Tabela21418206385[[#This Row],[Zalihe]]*F70</f>
        <v>1249.7060822399999</v>
      </c>
    </row>
    <row r="71" spans="1:7" ht="15.5" x14ac:dyDescent="0.35">
      <c r="A71" s="42" t="s">
        <v>194</v>
      </c>
      <c r="B71" s="39">
        <f>B69+B70</f>
        <v>1422.9599999999998</v>
      </c>
      <c r="C71" s="45"/>
      <c r="D71" s="45">
        <f>D69+D70</f>
        <v>742.21593599999994</v>
      </c>
      <c r="E71" s="1"/>
      <c r="F71" s="46">
        <f>SUBTOTAL(101,Tabela396587[Cena Din])</f>
        <v>45.668688000000003</v>
      </c>
      <c r="G71" s="3">
        <f>G69+G70</f>
        <v>86912.892332851188</v>
      </c>
    </row>
    <row r="72" spans="1:7" x14ac:dyDescent="0.35">
      <c r="F72" s="1">
        <f>'Podaci Za Obračun Originali'!F72</f>
        <v>175.13292665175081</v>
      </c>
      <c r="G72" s="1">
        <f>F72*B71</f>
        <v>249207.14930837529</v>
      </c>
    </row>
    <row r="73" spans="1:7" x14ac:dyDescent="0.35">
      <c r="A73" s="98" t="s">
        <v>26</v>
      </c>
      <c r="B73" s="98"/>
      <c r="C73" s="98"/>
      <c r="D73" s="98"/>
    </row>
    <row r="74" spans="1:7" x14ac:dyDescent="0.35">
      <c r="A74" s="36" t="s">
        <v>189</v>
      </c>
      <c r="B74" s="37">
        <f>GETPIVOTDATA("Zbir od Količina",'Pivoti za obračun'!$AZ$53)-D74</f>
        <v>1422.96</v>
      </c>
      <c r="C74" s="38" t="s">
        <v>190</v>
      </c>
      <c r="D74" s="1">
        <f>GETPIVOTDATA("Zbir od Količina",'Pivoti za obračun'!$AZ$53)*2/100</f>
        <v>29.04</v>
      </c>
    </row>
    <row r="75" spans="1:7" x14ac:dyDescent="0.35">
      <c r="A75" s="17" t="s">
        <v>191</v>
      </c>
      <c r="B75" s="39" t="s">
        <v>142</v>
      </c>
      <c r="C75" s="17" t="s">
        <v>192</v>
      </c>
      <c r="D75" s="17" t="s">
        <v>193</v>
      </c>
    </row>
    <row r="76" spans="1:7" ht="15.5" x14ac:dyDescent="0.35">
      <c r="A76" s="43" t="s">
        <v>197</v>
      </c>
      <c r="B76" s="1">
        <f>B74*0.97</f>
        <v>1380.2711999999999</v>
      </c>
      <c r="C76" s="1">
        <f>GETPIVOTDATA("Zbir od Količina",'Pivoti za obračun'!$Q$43,"Proizvod","DZ Višnja")</f>
        <v>3</v>
      </c>
      <c r="D76" s="1">
        <f>B76-C76</f>
        <v>1377.2711999999999</v>
      </c>
    </row>
    <row r="77" spans="1:7" ht="15.5" x14ac:dyDescent="0.35">
      <c r="A77" s="43" t="s">
        <v>74</v>
      </c>
      <c r="B77" s="1">
        <f>B74*0.03</f>
        <v>42.688800000000001</v>
      </c>
      <c r="C77" s="1">
        <f>GETPIVOTDATA("Zbir od Količina",'Pivoti za obračun'!$Q$43,"Proizvod","DZ Višnja Blok")</f>
        <v>1</v>
      </c>
      <c r="D77" s="1">
        <f t="shared" ref="D77:D78" si="3">B77-C77</f>
        <v>41.688800000000001</v>
      </c>
    </row>
    <row r="78" spans="1:7" ht="15.5" x14ac:dyDescent="0.35">
      <c r="A78" s="42" t="s">
        <v>194</v>
      </c>
      <c r="B78" s="39">
        <f>SUM(B76:B77)</f>
        <v>1422.9599999999998</v>
      </c>
      <c r="C78" s="39">
        <f>SUM(C76:C77)</f>
        <v>4</v>
      </c>
      <c r="D78" s="39">
        <f t="shared" si="3"/>
        <v>1418.9599999999998</v>
      </c>
    </row>
    <row r="80" spans="1:7" x14ac:dyDescent="0.35">
      <c r="A80" s="98" t="s">
        <v>42</v>
      </c>
      <c r="B80" s="98"/>
      <c r="G80" s="1"/>
    </row>
    <row r="81" spans="1:7" x14ac:dyDescent="0.35">
      <c r="A81" s="17" t="s">
        <v>191</v>
      </c>
      <c r="B81" s="17" t="s">
        <v>206</v>
      </c>
      <c r="C81" t="s">
        <v>211</v>
      </c>
      <c r="D81" t="s">
        <v>194</v>
      </c>
      <c r="F81" s="49" t="s">
        <v>9</v>
      </c>
      <c r="G81" s="50" t="s">
        <v>212</v>
      </c>
    </row>
    <row r="82" spans="1:7" ht="15.5" x14ac:dyDescent="0.35">
      <c r="A82" s="40" t="s">
        <v>73</v>
      </c>
      <c r="B82" s="1">
        <f>B89</f>
        <v>0.82800000000000007</v>
      </c>
      <c r="C82" s="45">
        <v>1.1000000000000001</v>
      </c>
      <c r="D82" s="45">
        <f>Tabela21418456889[[#This Row],[Zalihe]]*Tabela1419466990[[#This Row],[Pros Cena]]</f>
        <v>0.91080000000000017</v>
      </c>
      <c r="E82" s="1"/>
      <c r="F82" s="51">
        <f>Tabela1419466990[[#This Row],[Pros Cena]]*Kalkulacija!S2</f>
        <v>128.80912000000001</v>
      </c>
      <c r="G82" s="52">
        <f>Tabela21418456889[[#This Row],[Zalihe]]*F82</f>
        <v>106.65395136000001</v>
      </c>
    </row>
    <row r="83" spans="1:7" ht="16" thickBot="1" x14ac:dyDescent="0.4">
      <c r="A83" s="41" t="s">
        <v>76</v>
      </c>
      <c r="B83" s="1">
        <f>B91</f>
        <v>9.2000000000000012E-2</v>
      </c>
      <c r="C83" s="45">
        <v>0.5</v>
      </c>
      <c r="D83" s="45">
        <f>Tabela21418456889[[#This Row],[Zalihe]]*Tabela1419466990[[#This Row],[Pros Cena]]</f>
        <v>4.6000000000000006E-2</v>
      </c>
      <c r="E83" s="1"/>
      <c r="F83" s="53">
        <f>Tabela1419466990[[#This Row],[Pros Cena]]*Kalkulacija!S2</f>
        <v>58.549599999999998</v>
      </c>
      <c r="G83" s="54">
        <f>Tabela21418456889[[#This Row],[Zalihe]]*F83</f>
        <v>5.3865632000000003</v>
      </c>
    </row>
    <row r="84" spans="1:7" ht="16" thickTop="1" x14ac:dyDescent="0.35">
      <c r="A84" s="42" t="s">
        <v>194</v>
      </c>
      <c r="B84" s="39">
        <f>B82+B83</f>
        <v>0.92</v>
      </c>
      <c r="C84" s="45">
        <f>SUBTOTAL(101,Tabela1419466990[Pros Cena])</f>
        <v>0.8</v>
      </c>
      <c r="D84" s="45">
        <f>SUBTOTAL(109,Tabela1419466990[Ukupno])</f>
        <v>0.95680000000000021</v>
      </c>
      <c r="E84" s="1"/>
      <c r="F84" s="55">
        <f>G84/Tabela21418456889[[#This Row],[Zalihe]]</f>
        <v>121.783168</v>
      </c>
      <c r="G84" s="56">
        <f>SUM(G82:G83)</f>
        <v>112.04051456000001</v>
      </c>
    </row>
    <row r="85" spans="1:7" x14ac:dyDescent="0.35">
      <c r="F85" s="1">
        <f>'Podaci Za Obračun Originali'!F85</f>
        <v>128.34072320000001</v>
      </c>
      <c r="G85" s="1">
        <f>F85*B84</f>
        <v>118.07346534400001</v>
      </c>
    </row>
    <row r="86" spans="1:7" x14ac:dyDescent="0.35">
      <c r="A86" s="98" t="s">
        <v>42</v>
      </c>
      <c r="B86" s="98"/>
      <c r="C86" s="98"/>
      <c r="D86" s="98"/>
    </row>
    <row r="87" spans="1:7" x14ac:dyDescent="0.35">
      <c r="A87" s="36" t="s">
        <v>189</v>
      </c>
      <c r="B87" s="37">
        <f>GETPIVOTDATA("Zbir od Količina",'Pivoti za obračun'!$AZ$64)-D87</f>
        <v>0.92</v>
      </c>
      <c r="C87" s="38" t="s">
        <v>195</v>
      </c>
      <c r="D87" s="1">
        <f>GETPIVOTDATA("Zbir od Količina",'Pivoti za obračun'!$AZ$64)*8/100</f>
        <v>0.08</v>
      </c>
    </row>
    <row r="88" spans="1:7" x14ac:dyDescent="0.35">
      <c r="A88" s="17" t="s">
        <v>191</v>
      </c>
      <c r="B88" s="39" t="s">
        <v>142</v>
      </c>
      <c r="C88" s="17" t="s">
        <v>192</v>
      </c>
      <c r="D88" s="17" t="s">
        <v>193</v>
      </c>
    </row>
    <row r="89" spans="1:7" ht="15.5" x14ac:dyDescent="0.35">
      <c r="A89" s="43" t="s">
        <v>200</v>
      </c>
      <c r="B89" s="1">
        <f>B87*0.9</f>
        <v>0.82800000000000007</v>
      </c>
      <c r="C89" s="1">
        <f>GETPIVOTDATA("Zbir od Količina",'Pivoti za obračun'!$Q$55,"Proizvod","DZ Kajsija R/S")</f>
        <v>3</v>
      </c>
      <c r="D89" s="1">
        <f>B89-C89</f>
        <v>-2.1719999999999997</v>
      </c>
    </row>
    <row r="90" spans="1:7" ht="15.5" x14ac:dyDescent="0.35">
      <c r="A90" s="42" t="s">
        <v>201</v>
      </c>
      <c r="B90" s="1">
        <v>0</v>
      </c>
      <c r="C90" s="1">
        <v>0</v>
      </c>
      <c r="D90" s="1">
        <f>B90-C90</f>
        <v>0</v>
      </c>
    </row>
    <row r="91" spans="1:7" ht="15.5" x14ac:dyDescent="0.35">
      <c r="A91" s="43" t="s">
        <v>202</v>
      </c>
      <c r="B91" s="1">
        <f>B87*0.1</f>
        <v>9.2000000000000012E-2</v>
      </c>
      <c r="C91" s="1">
        <f>GETPIVOTDATA("Zbir od Količina",'Pivoti za obračun'!$Q$55,"Proizvod","DZ Kajsija III")</f>
        <v>2</v>
      </c>
      <c r="D91" s="1">
        <f t="shared" ref="D91:D92" si="4">B91-C91</f>
        <v>-1.9079999999999999</v>
      </c>
    </row>
    <row r="92" spans="1:7" ht="15.5" x14ac:dyDescent="0.35">
      <c r="A92" s="42" t="s">
        <v>194</v>
      </c>
      <c r="B92" s="39">
        <f>SUM(B89:B91)</f>
        <v>0.92</v>
      </c>
      <c r="C92" s="39">
        <f>SUM(C89:C91)</f>
        <v>5</v>
      </c>
      <c r="D92" s="39">
        <f t="shared" si="4"/>
        <v>-4.08</v>
      </c>
    </row>
  </sheetData>
  <mergeCells count="12">
    <mergeCell ref="A86:D86"/>
    <mergeCell ref="A5:B5"/>
    <mergeCell ref="A13:D13"/>
    <mergeCell ref="A23:B23"/>
    <mergeCell ref="A31:D31"/>
    <mergeCell ref="A39:B39"/>
    <mergeCell ref="A45:D45"/>
    <mergeCell ref="A53:B53"/>
    <mergeCell ref="A59:D59"/>
    <mergeCell ref="A67:B67"/>
    <mergeCell ref="A73:D73"/>
    <mergeCell ref="A80:B80"/>
  </mergeCells>
  <pageMargins left="0.7" right="0.7" top="0.75" bottom="0.75" header="0.3" footer="0.3"/>
  <pageSetup paperSize="9" orientation="portrait" verticalDpi="0" r:id="rId1"/>
  <tableParts count="2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AQ266"/>
  <sheetViews>
    <sheetView topLeftCell="AB97" workbookViewId="0">
      <selection activeCell="AJ158" sqref="AJ158"/>
    </sheetView>
  </sheetViews>
  <sheetFormatPr defaultRowHeight="14.5" x14ac:dyDescent="0.35"/>
  <cols>
    <col min="1" max="1" width="4.1796875" bestFit="1" customWidth="1"/>
    <col min="2" max="2" width="9.1796875" style="83" bestFit="1" customWidth="1"/>
    <col min="3" max="3" width="10.26953125" bestFit="1" customWidth="1"/>
    <col min="4" max="4" width="14" bestFit="1" customWidth="1"/>
    <col min="5" max="5" width="17" bestFit="1" customWidth="1"/>
    <col min="6" max="6" width="21.1796875" bestFit="1" customWidth="1"/>
    <col min="7" max="7" width="15.54296875" bestFit="1" customWidth="1"/>
    <col min="8" max="8" width="14.54296875" bestFit="1" customWidth="1"/>
    <col min="9" max="9" width="30.81640625" bestFit="1" customWidth="1"/>
    <col min="10" max="10" width="10.26953125" style="1" bestFit="1" customWidth="1"/>
    <col min="11" max="11" width="11.1796875" style="1" bestFit="1" customWidth="1"/>
    <col min="12" max="12" width="11.7265625" style="1" bestFit="1" customWidth="1"/>
    <col min="13" max="13" width="8.7265625" style="1" bestFit="1" customWidth="1"/>
    <col min="14" max="14" width="11.7265625" style="1" bestFit="1" customWidth="1"/>
    <col min="15" max="15" width="11.81640625" style="1" bestFit="1" customWidth="1"/>
    <col min="16" max="16" width="12.7265625" style="1" bestFit="1" customWidth="1"/>
    <col min="17" max="17" width="12" bestFit="1" customWidth="1"/>
    <col min="18" max="18" width="12.7265625" bestFit="1" customWidth="1"/>
    <col min="19" max="19" width="17" bestFit="1" customWidth="1"/>
    <col min="20" max="20" width="20.26953125" bestFit="1" customWidth="1"/>
    <col min="21" max="21" width="14" style="1" bestFit="1" customWidth="1"/>
    <col min="22" max="22" width="12.54296875" style="1" bestFit="1" customWidth="1"/>
    <col min="23" max="23" width="13.26953125" style="1" bestFit="1" customWidth="1"/>
    <col min="24" max="25" width="9.453125" style="1" bestFit="1" customWidth="1"/>
    <col min="26" max="26" width="8" style="1" bestFit="1" customWidth="1"/>
    <col min="27" max="27" width="8.7265625" style="1" bestFit="1" customWidth="1"/>
    <col min="28" max="28" width="9" style="1" bestFit="1" customWidth="1"/>
    <col min="29" max="29" width="12" style="1" bestFit="1" customWidth="1"/>
    <col min="30" max="30" width="11.453125" style="1" bestFit="1" customWidth="1"/>
    <col min="31" max="31" width="12.26953125" style="1" bestFit="1" customWidth="1"/>
    <col min="32" max="32" width="15.54296875" style="1" bestFit="1" customWidth="1"/>
    <col min="33" max="33" width="19.26953125" style="1" bestFit="1" customWidth="1"/>
    <col min="34" max="34" width="20.453125" style="1" bestFit="1" customWidth="1"/>
    <col min="35" max="35" width="24.1796875" style="1" bestFit="1" customWidth="1"/>
    <col min="36" max="36" width="22.453125" style="1" bestFit="1" customWidth="1"/>
    <col min="37" max="37" width="22" style="1" bestFit="1" customWidth="1"/>
    <col min="38" max="39" width="20.26953125" style="1" bestFit="1" customWidth="1"/>
    <col min="40" max="40" width="15" style="1" bestFit="1" customWidth="1"/>
    <col min="41" max="41" width="20.7265625" style="1" bestFit="1" customWidth="1"/>
    <col min="42" max="42" width="16.1796875" style="1" bestFit="1" customWidth="1"/>
    <col min="43" max="43" width="20.7265625" style="1" bestFit="1" customWidth="1"/>
  </cols>
  <sheetData>
    <row r="1" spans="1:43" x14ac:dyDescent="0.35">
      <c r="A1" t="s">
        <v>253</v>
      </c>
      <c r="B1" s="83" t="s">
        <v>0</v>
      </c>
      <c r="C1" t="s">
        <v>7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s="1" t="s">
        <v>8</v>
      </c>
      <c r="K1" s="1" t="s">
        <v>9</v>
      </c>
      <c r="L1" s="1" t="s">
        <v>10</v>
      </c>
      <c r="M1" s="1" t="s">
        <v>14</v>
      </c>
      <c r="N1" s="1" t="s">
        <v>11</v>
      </c>
      <c r="O1" s="1" t="s">
        <v>12</v>
      </c>
      <c r="P1" s="1" t="s">
        <v>111</v>
      </c>
      <c r="Q1" t="s">
        <v>13</v>
      </c>
      <c r="R1" t="s">
        <v>17</v>
      </c>
      <c r="S1" t="s">
        <v>15</v>
      </c>
      <c r="T1" t="s">
        <v>16</v>
      </c>
      <c r="U1" s="1" t="s">
        <v>18</v>
      </c>
      <c r="V1" s="1" t="s">
        <v>112</v>
      </c>
      <c r="W1" s="1" t="s">
        <v>113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42</v>
      </c>
      <c r="AC1" s="1" t="s">
        <v>27</v>
      </c>
      <c r="AD1" s="1" t="s">
        <v>203</v>
      </c>
      <c r="AE1" s="1" t="s">
        <v>250</v>
      </c>
      <c r="AF1" s="1" t="s">
        <v>251</v>
      </c>
      <c r="AG1" s="1" t="s">
        <v>252</v>
      </c>
      <c r="AH1" s="1" t="s">
        <v>386</v>
      </c>
      <c r="AI1" s="1" t="s">
        <v>254</v>
      </c>
      <c r="AJ1" s="1" t="s">
        <v>255</v>
      </c>
      <c r="AK1" s="1" t="s">
        <v>256</v>
      </c>
      <c r="AL1" s="1" t="s">
        <v>257</v>
      </c>
      <c r="AM1" s="1" t="s">
        <v>264</v>
      </c>
      <c r="AN1" s="1" t="s">
        <v>265</v>
      </c>
      <c r="AO1" s="1" t="s">
        <v>266</v>
      </c>
      <c r="AP1" s="1" t="s">
        <v>300</v>
      </c>
      <c r="AQ1" s="1" t="s">
        <v>379</v>
      </c>
    </row>
    <row r="2" spans="1:43" x14ac:dyDescent="0.35">
      <c r="A2">
        <v>1</v>
      </c>
      <c r="B2" s="83">
        <v>43466</v>
      </c>
      <c r="C2" s="92" t="s">
        <v>114</v>
      </c>
      <c r="D2" s="92" t="s">
        <v>109</v>
      </c>
      <c r="E2" s="92" t="s">
        <v>108</v>
      </c>
      <c r="F2" s="92" t="s">
        <v>69</v>
      </c>
      <c r="G2" s="92" t="s">
        <v>45</v>
      </c>
      <c r="H2" s="92" t="s">
        <v>29</v>
      </c>
      <c r="I2" s="92" t="s">
        <v>77</v>
      </c>
      <c r="J2" s="1">
        <v>1</v>
      </c>
      <c r="K2" s="1">
        <v>1</v>
      </c>
      <c r="L2" s="1">
        <v>1</v>
      </c>
      <c r="N2" s="1">
        <v>1</v>
      </c>
      <c r="O2" s="1">
        <v>1</v>
      </c>
      <c r="Q2" s="92"/>
      <c r="R2" s="92"/>
      <c r="S2" s="92"/>
      <c r="T2" s="92"/>
      <c r="X2" s="1">
        <v>0</v>
      </c>
      <c r="Y2" s="1">
        <v>1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</row>
    <row r="3" spans="1:43" x14ac:dyDescent="0.35">
      <c r="A3">
        <v>2</v>
      </c>
      <c r="B3" s="83">
        <v>43466</v>
      </c>
      <c r="C3" s="92" t="s">
        <v>32</v>
      </c>
      <c r="D3" s="92" t="s">
        <v>106</v>
      </c>
      <c r="E3" s="92" t="s">
        <v>263</v>
      </c>
      <c r="F3" s="92" t="s">
        <v>33</v>
      </c>
      <c r="G3" s="92" t="s">
        <v>22</v>
      </c>
      <c r="H3" s="92" t="s">
        <v>101</v>
      </c>
      <c r="I3" s="92" t="s">
        <v>116</v>
      </c>
      <c r="J3" s="1">
        <v>2</v>
      </c>
      <c r="K3" s="1">
        <v>1</v>
      </c>
      <c r="M3" s="1">
        <v>0</v>
      </c>
      <c r="N3" s="1">
        <v>2</v>
      </c>
      <c r="P3" s="1">
        <v>0</v>
      </c>
      <c r="Q3" s="92"/>
      <c r="R3" s="92"/>
      <c r="S3" s="92"/>
      <c r="T3" s="92"/>
      <c r="X3" s="1">
        <v>2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7.4074000000000001E-2</v>
      </c>
      <c r="AF3" s="1">
        <v>0</v>
      </c>
      <c r="AG3" s="1">
        <v>0</v>
      </c>
      <c r="AH3" s="1">
        <v>2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  <c r="AO3" s="1">
        <v>0</v>
      </c>
      <c r="AP3" s="1">
        <v>0</v>
      </c>
    </row>
    <row r="4" spans="1:43" x14ac:dyDescent="0.35">
      <c r="A4">
        <v>3</v>
      </c>
      <c r="B4" s="83">
        <v>43466</v>
      </c>
      <c r="C4" s="92" t="s">
        <v>32</v>
      </c>
      <c r="D4" s="92" t="s">
        <v>106</v>
      </c>
      <c r="E4" s="92" t="s">
        <v>20</v>
      </c>
      <c r="F4" s="92" t="s">
        <v>34</v>
      </c>
      <c r="G4" s="92" t="s">
        <v>22</v>
      </c>
      <c r="H4" s="92" t="s">
        <v>101</v>
      </c>
      <c r="I4" s="92" t="s">
        <v>117</v>
      </c>
      <c r="J4" s="1">
        <v>1</v>
      </c>
      <c r="K4" s="1">
        <v>1</v>
      </c>
      <c r="M4" s="1">
        <v>0</v>
      </c>
      <c r="N4" s="1">
        <v>1</v>
      </c>
      <c r="P4" s="1">
        <v>0</v>
      </c>
      <c r="Q4" s="92"/>
      <c r="R4" s="92"/>
      <c r="S4" s="92"/>
      <c r="T4" s="92"/>
      <c r="X4" s="1">
        <v>1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1</v>
      </c>
      <c r="AI4" s="1">
        <v>1</v>
      </c>
      <c r="AJ4" s="1">
        <v>1</v>
      </c>
      <c r="AK4" s="1">
        <v>0</v>
      </c>
      <c r="AL4" s="1">
        <v>0</v>
      </c>
      <c r="AM4" s="1">
        <v>0</v>
      </c>
      <c r="AN4" s="1">
        <v>0</v>
      </c>
      <c r="AO4" s="1">
        <v>1</v>
      </c>
      <c r="AP4" s="1">
        <v>0</v>
      </c>
    </row>
    <row r="5" spans="1:43" x14ac:dyDescent="0.35">
      <c r="A5">
        <v>4</v>
      </c>
      <c r="B5" s="83">
        <v>43466</v>
      </c>
      <c r="C5" s="92" t="s">
        <v>32</v>
      </c>
      <c r="D5" s="92" t="s">
        <v>106</v>
      </c>
      <c r="E5" s="92" t="s">
        <v>263</v>
      </c>
      <c r="F5" s="92" t="s">
        <v>33</v>
      </c>
      <c r="G5" s="92" t="s">
        <v>22</v>
      </c>
      <c r="H5" s="92" t="s">
        <v>102</v>
      </c>
      <c r="I5" s="92" t="s">
        <v>118</v>
      </c>
      <c r="J5" s="1">
        <v>1</v>
      </c>
      <c r="K5" s="1">
        <v>1</v>
      </c>
      <c r="M5" s="1">
        <v>0</v>
      </c>
      <c r="N5" s="1">
        <v>1</v>
      </c>
      <c r="P5" s="1">
        <v>0</v>
      </c>
      <c r="Q5" s="92"/>
      <c r="R5" s="92"/>
      <c r="S5" s="92"/>
      <c r="T5" s="92"/>
      <c r="X5" s="1">
        <v>0</v>
      </c>
      <c r="Y5" s="1">
        <v>1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7.4074000000000001E-2</v>
      </c>
      <c r="AF5" s="1">
        <v>0</v>
      </c>
      <c r="AG5" s="1">
        <v>0</v>
      </c>
      <c r="AH5" s="1">
        <v>1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  <c r="AO5" s="1">
        <v>0</v>
      </c>
      <c r="AP5" s="1">
        <v>0</v>
      </c>
    </row>
    <row r="6" spans="1:43" x14ac:dyDescent="0.35">
      <c r="A6">
        <v>5</v>
      </c>
      <c r="B6" s="83">
        <v>43466</v>
      </c>
      <c r="C6" s="92" t="s">
        <v>32</v>
      </c>
      <c r="D6" s="92" t="s">
        <v>106</v>
      </c>
      <c r="E6" s="92" t="s">
        <v>263</v>
      </c>
      <c r="F6" s="92" t="s">
        <v>33</v>
      </c>
      <c r="G6" s="92" t="s">
        <v>21</v>
      </c>
      <c r="H6" s="92" t="s">
        <v>23</v>
      </c>
      <c r="I6" s="92" t="s">
        <v>59</v>
      </c>
      <c r="J6" s="1">
        <v>1</v>
      </c>
      <c r="K6" s="1">
        <v>1</v>
      </c>
      <c r="M6" s="1">
        <v>0</v>
      </c>
      <c r="N6" s="1">
        <v>1</v>
      </c>
      <c r="P6" s="1">
        <v>0</v>
      </c>
      <c r="Q6" s="92"/>
      <c r="R6" s="92"/>
      <c r="S6" s="92"/>
      <c r="T6" s="92"/>
      <c r="X6" s="1">
        <v>1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7.4074000000000001E-2</v>
      </c>
      <c r="AF6" s="1">
        <v>0</v>
      </c>
      <c r="AG6" s="1">
        <v>0</v>
      </c>
      <c r="AH6" s="1">
        <v>1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  <c r="AO6" s="1">
        <v>0</v>
      </c>
      <c r="AP6" s="1">
        <v>0</v>
      </c>
    </row>
    <row r="7" spans="1:43" x14ac:dyDescent="0.35">
      <c r="A7">
        <v>6</v>
      </c>
      <c r="B7" s="83">
        <v>43466</v>
      </c>
      <c r="C7" s="92" t="s">
        <v>32</v>
      </c>
      <c r="D7" s="92" t="s">
        <v>106</v>
      </c>
      <c r="E7" s="92" t="s">
        <v>20</v>
      </c>
      <c r="F7" s="92" t="s">
        <v>44</v>
      </c>
      <c r="G7" s="92" t="s">
        <v>22</v>
      </c>
      <c r="H7" s="92" t="s">
        <v>102</v>
      </c>
      <c r="I7" s="92" t="s">
        <v>119</v>
      </c>
      <c r="J7" s="1">
        <v>1</v>
      </c>
      <c r="K7" s="1">
        <v>1</v>
      </c>
      <c r="M7" s="1">
        <v>0</v>
      </c>
      <c r="N7" s="1">
        <v>1</v>
      </c>
      <c r="P7" s="1">
        <v>0</v>
      </c>
      <c r="Q7" s="92"/>
      <c r="R7" s="92"/>
      <c r="S7" s="92"/>
      <c r="T7" s="92"/>
      <c r="X7" s="1">
        <v>0</v>
      </c>
      <c r="Y7" s="1">
        <v>1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1</v>
      </c>
      <c r="AI7" s="1">
        <v>1</v>
      </c>
      <c r="AJ7" s="1">
        <v>1</v>
      </c>
      <c r="AK7" s="1">
        <v>0</v>
      </c>
      <c r="AL7" s="1">
        <v>0</v>
      </c>
      <c r="AM7" s="1">
        <v>0</v>
      </c>
      <c r="AN7" s="1">
        <v>0</v>
      </c>
      <c r="AO7" s="1">
        <v>1</v>
      </c>
      <c r="AP7" s="1">
        <v>0</v>
      </c>
    </row>
    <row r="8" spans="1:43" x14ac:dyDescent="0.35">
      <c r="A8">
        <v>7</v>
      </c>
      <c r="B8" s="83">
        <v>43466</v>
      </c>
      <c r="C8" s="92" t="s">
        <v>32</v>
      </c>
      <c r="D8" s="92" t="s">
        <v>106</v>
      </c>
      <c r="E8" s="92" t="s">
        <v>20</v>
      </c>
      <c r="F8" s="92" t="s">
        <v>44</v>
      </c>
      <c r="G8" s="92" t="s">
        <v>22</v>
      </c>
      <c r="H8" s="92" t="s">
        <v>103</v>
      </c>
      <c r="I8" s="92" t="s">
        <v>43</v>
      </c>
      <c r="J8" s="1">
        <v>1</v>
      </c>
      <c r="K8" s="1">
        <v>1</v>
      </c>
      <c r="M8" s="1">
        <v>0</v>
      </c>
      <c r="N8" s="1">
        <v>1</v>
      </c>
      <c r="P8" s="1">
        <v>0</v>
      </c>
      <c r="Q8" s="92"/>
      <c r="R8" s="92"/>
      <c r="S8" s="92"/>
      <c r="T8" s="92"/>
      <c r="X8" s="1">
        <v>0</v>
      </c>
      <c r="Y8" s="1">
        <v>0</v>
      </c>
      <c r="Z8" s="1">
        <v>1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1</v>
      </c>
      <c r="AI8" s="1">
        <v>1</v>
      </c>
      <c r="AJ8" s="1">
        <v>1</v>
      </c>
      <c r="AK8" s="1">
        <v>0</v>
      </c>
      <c r="AL8" s="1">
        <v>0</v>
      </c>
      <c r="AM8" s="1">
        <v>0</v>
      </c>
      <c r="AN8" s="1">
        <v>0</v>
      </c>
      <c r="AO8" s="1">
        <v>1</v>
      </c>
      <c r="AP8" s="1">
        <v>0</v>
      </c>
    </row>
    <row r="9" spans="1:43" x14ac:dyDescent="0.35">
      <c r="A9">
        <v>8</v>
      </c>
      <c r="B9" s="83">
        <v>43466</v>
      </c>
      <c r="C9" s="92" t="s">
        <v>32</v>
      </c>
      <c r="D9" s="92" t="s">
        <v>106</v>
      </c>
      <c r="E9" s="92" t="s">
        <v>263</v>
      </c>
      <c r="F9" s="92" t="s">
        <v>33</v>
      </c>
      <c r="G9" s="92" t="s">
        <v>21</v>
      </c>
      <c r="H9" s="92" t="s">
        <v>24</v>
      </c>
      <c r="I9" s="92" t="s">
        <v>68</v>
      </c>
      <c r="J9" s="1">
        <v>1</v>
      </c>
      <c r="K9" s="1">
        <v>1</v>
      </c>
      <c r="M9" s="1">
        <v>0</v>
      </c>
      <c r="N9" s="1">
        <v>1</v>
      </c>
      <c r="P9" s="1">
        <v>0</v>
      </c>
      <c r="Q9" s="92"/>
      <c r="R9" s="92" t="s">
        <v>88</v>
      </c>
      <c r="S9" s="92" t="s">
        <v>83</v>
      </c>
      <c r="T9" s="92" t="s">
        <v>89</v>
      </c>
      <c r="U9" s="1">
        <v>0</v>
      </c>
      <c r="X9" s="1">
        <v>0</v>
      </c>
      <c r="Y9" s="1">
        <v>1</v>
      </c>
      <c r="Z9" s="1">
        <v>0</v>
      </c>
      <c r="AA9" s="1">
        <v>0</v>
      </c>
      <c r="AB9" s="1">
        <v>0</v>
      </c>
      <c r="AC9" s="1">
        <v>0</v>
      </c>
      <c r="AD9" s="1">
        <v>1</v>
      </c>
      <c r="AE9" s="1">
        <v>7.4074000000000001E-2</v>
      </c>
      <c r="AF9" s="1">
        <v>0</v>
      </c>
      <c r="AG9" s="1">
        <v>0</v>
      </c>
      <c r="AH9" s="1">
        <v>1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1</v>
      </c>
      <c r="AO9" s="1">
        <v>0</v>
      </c>
      <c r="AP9" s="1">
        <v>0</v>
      </c>
    </row>
    <row r="10" spans="1:43" x14ac:dyDescent="0.35">
      <c r="A10">
        <v>9</v>
      </c>
      <c r="B10" s="83">
        <v>43466</v>
      </c>
      <c r="C10" s="92" t="s">
        <v>32</v>
      </c>
      <c r="D10" s="92" t="s">
        <v>106</v>
      </c>
      <c r="E10" s="92" t="s">
        <v>263</v>
      </c>
      <c r="F10" s="92" t="s">
        <v>33</v>
      </c>
      <c r="G10" s="92" t="s">
        <v>21</v>
      </c>
      <c r="H10" s="92" t="s">
        <v>25</v>
      </c>
      <c r="I10" s="92" t="s">
        <v>36</v>
      </c>
      <c r="J10" s="1">
        <v>0</v>
      </c>
      <c r="K10" s="1">
        <v>0</v>
      </c>
      <c r="M10" s="1">
        <v>0</v>
      </c>
      <c r="N10" s="1">
        <v>0</v>
      </c>
      <c r="P10" s="1">
        <v>0</v>
      </c>
      <c r="Q10" s="92"/>
      <c r="R10" s="92"/>
      <c r="S10" s="92"/>
      <c r="T10" s="92"/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</row>
    <row r="11" spans="1:43" x14ac:dyDescent="0.35">
      <c r="A11">
        <v>10</v>
      </c>
      <c r="B11" s="83">
        <v>43466</v>
      </c>
      <c r="C11" s="92" t="s">
        <v>32</v>
      </c>
      <c r="D11" s="92" t="s">
        <v>106</v>
      </c>
      <c r="E11" s="92" t="s">
        <v>263</v>
      </c>
      <c r="F11" s="92" t="s">
        <v>33</v>
      </c>
      <c r="G11" s="92" t="s">
        <v>21</v>
      </c>
      <c r="H11" s="92" t="s">
        <v>25</v>
      </c>
      <c r="I11" s="92" t="s">
        <v>47</v>
      </c>
      <c r="J11" s="1">
        <v>1</v>
      </c>
      <c r="K11" s="1">
        <v>1</v>
      </c>
      <c r="M11" s="1">
        <v>0</v>
      </c>
      <c r="N11" s="1">
        <v>1</v>
      </c>
      <c r="P11" s="1">
        <v>0</v>
      </c>
      <c r="Q11" s="92"/>
      <c r="R11" s="92"/>
      <c r="S11" s="92"/>
      <c r="T11" s="92"/>
      <c r="X11" s="1">
        <v>0</v>
      </c>
      <c r="Y11" s="1">
        <v>0</v>
      </c>
      <c r="Z11" s="1">
        <v>1</v>
      </c>
      <c r="AA11" s="1">
        <v>0</v>
      </c>
      <c r="AB11" s="1">
        <v>0</v>
      </c>
      <c r="AC11" s="1">
        <v>0</v>
      </c>
      <c r="AD11" s="1">
        <v>0</v>
      </c>
      <c r="AE11" s="1">
        <v>7.4074000000000001E-2</v>
      </c>
      <c r="AF11" s="1">
        <v>0</v>
      </c>
      <c r="AG11" s="1">
        <v>0</v>
      </c>
      <c r="AH11" s="1">
        <v>1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1</v>
      </c>
      <c r="AO11" s="1">
        <v>0</v>
      </c>
      <c r="AP11" s="1">
        <v>0</v>
      </c>
    </row>
    <row r="12" spans="1:43" x14ac:dyDescent="0.35">
      <c r="A12">
        <v>11</v>
      </c>
      <c r="B12" s="83">
        <v>43466</v>
      </c>
      <c r="C12" s="92" t="s">
        <v>32</v>
      </c>
      <c r="D12" s="92" t="s">
        <v>106</v>
      </c>
      <c r="E12" s="92" t="s">
        <v>263</v>
      </c>
      <c r="F12" s="92" t="s">
        <v>33</v>
      </c>
      <c r="G12" s="92" t="s">
        <v>21</v>
      </c>
      <c r="H12" s="92" t="s">
        <v>25</v>
      </c>
      <c r="I12" s="92" t="s">
        <v>55</v>
      </c>
      <c r="J12" s="1">
        <v>1</v>
      </c>
      <c r="K12" s="1">
        <v>1</v>
      </c>
      <c r="M12" s="1">
        <v>0</v>
      </c>
      <c r="N12" s="1">
        <v>1</v>
      </c>
      <c r="P12" s="1">
        <v>0</v>
      </c>
      <c r="Q12" s="92"/>
      <c r="R12" s="92"/>
      <c r="S12" s="92"/>
      <c r="T12" s="92"/>
      <c r="X12" s="1">
        <v>0</v>
      </c>
      <c r="Y12" s="1">
        <v>0</v>
      </c>
      <c r="Z12" s="1">
        <v>1</v>
      </c>
      <c r="AA12" s="1">
        <v>0</v>
      </c>
      <c r="AB12" s="1">
        <v>0</v>
      </c>
      <c r="AC12" s="1">
        <v>0</v>
      </c>
      <c r="AD12" s="1">
        <v>0</v>
      </c>
      <c r="AE12" s="1">
        <v>7.4074000000000001E-2</v>
      </c>
      <c r="AF12" s="1">
        <v>0</v>
      </c>
      <c r="AG12" s="1">
        <v>0</v>
      </c>
      <c r="AH12" s="1">
        <v>1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1</v>
      </c>
      <c r="AO12" s="1">
        <v>0</v>
      </c>
      <c r="AP12" s="1">
        <v>0</v>
      </c>
    </row>
    <row r="13" spans="1:43" x14ac:dyDescent="0.35">
      <c r="A13">
        <v>12</v>
      </c>
      <c r="B13" s="83">
        <v>43466</v>
      </c>
      <c r="C13" s="92" t="s">
        <v>32</v>
      </c>
      <c r="D13" s="92" t="s">
        <v>106</v>
      </c>
      <c r="E13" s="92" t="s">
        <v>263</v>
      </c>
      <c r="F13" s="92" t="s">
        <v>33</v>
      </c>
      <c r="G13" s="92" t="s">
        <v>21</v>
      </c>
      <c r="H13" s="92" t="s">
        <v>26</v>
      </c>
      <c r="I13" s="92" t="s">
        <v>388</v>
      </c>
      <c r="J13" s="1">
        <v>1</v>
      </c>
      <c r="K13" s="1">
        <v>1</v>
      </c>
      <c r="M13" s="1">
        <v>0</v>
      </c>
      <c r="N13" s="1">
        <v>2</v>
      </c>
      <c r="P13" s="1">
        <v>0</v>
      </c>
      <c r="Q13" s="92"/>
      <c r="R13" s="92"/>
      <c r="S13" s="92"/>
      <c r="T13" s="92"/>
      <c r="X13" s="1">
        <v>0</v>
      </c>
      <c r="Y13" s="1">
        <v>0</v>
      </c>
      <c r="Z13" s="1">
        <v>0</v>
      </c>
      <c r="AA13" s="1">
        <v>1</v>
      </c>
      <c r="AB13" s="1">
        <v>0</v>
      </c>
      <c r="AC13" s="1">
        <v>0</v>
      </c>
      <c r="AD13" s="1">
        <v>0</v>
      </c>
      <c r="AE13" s="1">
        <v>7.4074000000000001E-2</v>
      </c>
      <c r="AF13" s="1">
        <v>0</v>
      </c>
      <c r="AG13" s="1">
        <v>0</v>
      </c>
      <c r="AH13" s="1">
        <v>1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1</v>
      </c>
      <c r="AO13" s="1">
        <v>0</v>
      </c>
      <c r="AP13" s="1">
        <v>0</v>
      </c>
    </row>
    <row r="14" spans="1:43" x14ac:dyDescent="0.35">
      <c r="A14">
        <v>13</v>
      </c>
      <c r="B14" s="83">
        <v>43466</v>
      </c>
      <c r="C14" s="92" t="s">
        <v>32</v>
      </c>
      <c r="D14" s="92" t="s">
        <v>106</v>
      </c>
      <c r="E14" s="92" t="s">
        <v>263</v>
      </c>
      <c r="F14" s="92" t="s">
        <v>33</v>
      </c>
      <c r="G14" s="92" t="s">
        <v>21</v>
      </c>
      <c r="H14" s="92" t="s">
        <v>27</v>
      </c>
      <c r="I14" s="92" t="s">
        <v>27</v>
      </c>
      <c r="J14" s="1">
        <v>1</v>
      </c>
      <c r="K14" s="1">
        <v>1</v>
      </c>
      <c r="M14" s="1">
        <v>0</v>
      </c>
      <c r="N14" s="1">
        <v>1</v>
      </c>
      <c r="P14" s="1">
        <v>0</v>
      </c>
      <c r="Q14" s="92"/>
      <c r="R14" s="92"/>
      <c r="S14" s="92"/>
      <c r="T14" s="92"/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7.4074000000000001E-2</v>
      </c>
      <c r="AF14" s="1">
        <v>0</v>
      </c>
      <c r="AG14" s="1">
        <v>0</v>
      </c>
      <c r="AH14" s="1">
        <v>1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1</v>
      </c>
      <c r="AO14" s="1">
        <v>0</v>
      </c>
      <c r="AP14" s="1">
        <v>0</v>
      </c>
    </row>
    <row r="15" spans="1:43" x14ac:dyDescent="0.35">
      <c r="A15">
        <v>14</v>
      </c>
      <c r="B15" s="83">
        <v>43466</v>
      </c>
      <c r="C15" s="92" t="s">
        <v>32</v>
      </c>
      <c r="D15" s="92" t="s">
        <v>106</v>
      </c>
      <c r="E15" s="92" t="s">
        <v>263</v>
      </c>
      <c r="F15" s="92" t="s">
        <v>33</v>
      </c>
      <c r="G15" s="92" t="s">
        <v>45</v>
      </c>
      <c r="H15" s="92" t="s">
        <v>28</v>
      </c>
      <c r="I15" s="92" t="s">
        <v>37</v>
      </c>
      <c r="J15" s="1">
        <v>0</v>
      </c>
      <c r="K15" s="1">
        <v>0</v>
      </c>
      <c r="M15" s="1">
        <v>0</v>
      </c>
      <c r="N15" s="1">
        <v>0</v>
      </c>
      <c r="P15" s="1">
        <v>0</v>
      </c>
      <c r="Q15" s="92"/>
      <c r="R15" s="92"/>
      <c r="S15" s="92"/>
      <c r="T15" s="92"/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</row>
    <row r="16" spans="1:43" x14ac:dyDescent="0.35">
      <c r="A16">
        <v>15</v>
      </c>
      <c r="B16" s="83">
        <v>43466</v>
      </c>
      <c r="C16" s="92" t="s">
        <v>32</v>
      </c>
      <c r="D16" s="92" t="s">
        <v>106</v>
      </c>
      <c r="E16" s="92" t="s">
        <v>263</v>
      </c>
      <c r="F16" s="92" t="s">
        <v>33</v>
      </c>
      <c r="G16" s="92" t="s">
        <v>45</v>
      </c>
      <c r="H16" s="92" t="s">
        <v>28</v>
      </c>
      <c r="I16" s="92" t="s">
        <v>48</v>
      </c>
      <c r="J16" s="1">
        <v>1</v>
      </c>
      <c r="K16" s="1">
        <v>1</v>
      </c>
      <c r="M16" s="1">
        <v>0</v>
      </c>
      <c r="N16" s="1">
        <v>1</v>
      </c>
      <c r="P16" s="1">
        <v>0</v>
      </c>
      <c r="Q16" s="92"/>
      <c r="R16" s="92"/>
      <c r="S16" s="92"/>
      <c r="T16" s="92"/>
      <c r="X16" s="1">
        <v>1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7.4074000000000001E-2</v>
      </c>
      <c r="AF16" s="1">
        <v>0</v>
      </c>
      <c r="AG16" s="1">
        <v>0</v>
      </c>
      <c r="AH16" s="1">
        <v>1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1</v>
      </c>
      <c r="AO16" s="1">
        <v>0</v>
      </c>
      <c r="AP16" s="1">
        <v>0</v>
      </c>
    </row>
    <row r="17" spans="1:42" x14ac:dyDescent="0.35">
      <c r="A17">
        <v>16</v>
      </c>
      <c r="B17" s="83">
        <v>43466</v>
      </c>
      <c r="C17" s="92" t="s">
        <v>32</v>
      </c>
      <c r="D17" s="92" t="s">
        <v>106</v>
      </c>
      <c r="E17" s="92" t="s">
        <v>263</v>
      </c>
      <c r="F17" s="92" t="s">
        <v>33</v>
      </c>
      <c r="G17" s="92" t="s">
        <v>45</v>
      </c>
      <c r="H17" s="92" t="s">
        <v>28</v>
      </c>
      <c r="I17" s="92" t="s">
        <v>56</v>
      </c>
      <c r="J17" s="1">
        <v>1</v>
      </c>
      <c r="K17" s="1">
        <v>1</v>
      </c>
      <c r="M17" s="1">
        <v>0</v>
      </c>
      <c r="N17" s="1">
        <v>1</v>
      </c>
      <c r="P17" s="1">
        <v>0</v>
      </c>
      <c r="Q17" s="92"/>
      <c r="R17" s="92"/>
      <c r="S17" s="92"/>
      <c r="T17" s="92"/>
      <c r="X17" s="1">
        <v>1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7.4074000000000001E-2</v>
      </c>
      <c r="AF17" s="1">
        <v>0</v>
      </c>
      <c r="AG17" s="1">
        <v>0</v>
      </c>
      <c r="AH17" s="1">
        <v>1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1</v>
      </c>
      <c r="AO17" s="1">
        <v>0</v>
      </c>
      <c r="AP17" s="1">
        <v>0</v>
      </c>
    </row>
    <row r="18" spans="1:42" x14ac:dyDescent="0.35">
      <c r="A18">
        <v>17</v>
      </c>
      <c r="B18" s="83">
        <v>43466</v>
      </c>
      <c r="C18" s="92" t="s">
        <v>32</v>
      </c>
      <c r="D18" s="92" t="s">
        <v>106</v>
      </c>
      <c r="E18" s="92" t="s">
        <v>263</v>
      </c>
      <c r="F18" s="92" t="s">
        <v>33</v>
      </c>
      <c r="G18" s="92" t="s">
        <v>45</v>
      </c>
      <c r="H18" s="92" t="s">
        <v>28</v>
      </c>
      <c r="I18" s="92" t="s">
        <v>381</v>
      </c>
      <c r="J18" s="1">
        <v>1</v>
      </c>
      <c r="K18" s="1">
        <v>1</v>
      </c>
      <c r="M18" s="1">
        <v>0</v>
      </c>
      <c r="N18" s="1">
        <v>1</v>
      </c>
      <c r="P18" s="1">
        <v>0</v>
      </c>
      <c r="Q18" s="92"/>
      <c r="R18" s="92"/>
      <c r="S18" s="92"/>
      <c r="T18" s="92"/>
      <c r="X18" s="1">
        <v>1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7.4074000000000001E-2</v>
      </c>
      <c r="AF18" s="1">
        <v>0</v>
      </c>
      <c r="AG18" s="1">
        <v>0</v>
      </c>
      <c r="AH18" s="1">
        <v>1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1</v>
      </c>
      <c r="AO18" s="1">
        <v>0</v>
      </c>
      <c r="AP18" s="1">
        <v>0</v>
      </c>
    </row>
    <row r="19" spans="1:42" x14ac:dyDescent="0.35">
      <c r="A19">
        <v>18</v>
      </c>
      <c r="B19" s="83">
        <v>43466</v>
      </c>
      <c r="C19" s="92" t="s">
        <v>32</v>
      </c>
      <c r="D19" s="92" t="s">
        <v>106</v>
      </c>
      <c r="E19" s="92" t="s">
        <v>263</v>
      </c>
      <c r="F19" s="92" t="s">
        <v>33</v>
      </c>
      <c r="G19" s="92" t="s">
        <v>45</v>
      </c>
      <c r="H19" s="92" t="s">
        <v>29</v>
      </c>
      <c r="I19" s="92" t="s">
        <v>38</v>
      </c>
      <c r="J19" s="1">
        <v>0</v>
      </c>
      <c r="K19" s="1">
        <v>0</v>
      </c>
      <c r="M19" s="1">
        <v>0</v>
      </c>
      <c r="N19" s="1">
        <v>0</v>
      </c>
      <c r="P19" s="1">
        <v>0</v>
      </c>
      <c r="Q19" s="92"/>
      <c r="R19" s="92"/>
      <c r="S19" s="92"/>
      <c r="T19" s="92"/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</row>
    <row r="20" spans="1:42" x14ac:dyDescent="0.35">
      <c r="A20">
        <v>19</v>
      </c>
      <c r="B20" s="83">
        <v>43466</v>
      </c>
      <c r="C20" s="92" t="s">
        <v>32</v>
      </c>
      <c r="D20" s="92" t="s">
        <v>106</v>
      </c>
      <c r="E20" s="92" t="s">
        <v>263</v>
      </c>
      <c r="F20" s="92" t="s">
        <v>33</v>
      </c>
      <c r="G20" s="92" t="s">
        <v>45</v>
      </c>
      <c r="H20" s="92" t="s">
        <v>29</v>
      </c>
      <c r="I20" s="92" t="s">
        <v>120</v>
      </c>
      <c r="J20" s="1">
        <v>1</v>
      </c>
      <c r="K20" s="1">
        <v>1</v>
      </c>
      <c r="M20" s="1">
        <v>0</v>
      </c>
      <c r="N20" s="1">
        <v>1</v>
      </c>
      <c r="P20" s="1">
        <v>0</v>
      </c>
      <c r="Q20" s="92"/>
      <c r="R20" s="92"/>
      <c r="S20" s="92"/>
      <c r="T20" s="92"/>
      <c r="X20" s="1">
        <v>0</v>
      </c>
      <c r="Y20" s="1">
        <v>1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7.4074000000000001E-2</v>
      </c>
      <c r="AF20" s="1">
        <v>0</v>
      </c>
      <c r="AG20" s="1">
        <v>0</v>
      </c>
      <c r="AH20" s="1">
        <v>1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1</v>
      </c>
      <c r="AO20" s="1">
        <v>0</v>
      </c>
      <c r="AP20" s="1">
        <v>0</v>
      </c>
    </row>
    <row r="21" spans="1:42" x14ac:dyDescent="0.35">
      <c r="A21">
        <v>20</v>
      </c>
      <c r="B21" s="83">
        <v>43466</v>
      </c>
      <c r="C21" s="92" t="s">
        <v>32</v>
      </c>
      <c r="D21" s="92" t="s">
        <v>106</v>
      </c>
      <c r="E21" s="92" t="s">
        <v>263</v>
      </c>
      <c r="F21" s="92" t="s">
        <v>33</v>
      </c>
      <c r="G21" s="92" t="s">
        <v>45</v>
      </c>
      <c r="H21" s="92" t="s">
        <v>29</v>
      </c>
      <c r="I21" s="92" t="s">
        <v>49</v>
      </c>
      <c r="J21" s="1">
        <v>1</v>
      </c>
      <c r="K21" s="1">
        <v>1</v>
      </c>
      <c r="M21" s="1">
        <v>0</v>
      </c>
      <c r="N21" s="1">
        <v>1</v>
      </c>
      <c r="P21" s="1">
        <v>0</v>
      </c>
      <c r="Q21" s="92"/>
      <c r="R21" s="92"/>
      <c r="S21" s="92"/>
      <c r="T21" s="92"/>
      <c r="X21" s="1">
        <v>0</v>
      </c>
      <c r="Y21" s="1">
        <v>1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7.4074000000000001E-2</v>
      </c>
      <c r="AF21" s="1">
        <v>0</v>
      </c>
      <c r="AG21" s="1">
        <v>0</v>
      </c>
      <c r="AH21" s="1">
        <v>1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1</v>
      </c>
      <c r="AO21" s="1">
        <v>0</v>
      </c>
      <c r="AP21" s="1">
        <v>0</v>
      </c>
    </row>
    <row r="22" spans="1:42" x14ac:dyDescent="0.35">
      <c r="A22">
        <v>21</v>
      </c>
      <c r="B22" s="83">
        <v>43466</v>
      </c>
      <c r="C22" s="92" t="s">
        <v>32</v>
      </c>
      <c r="D22" s="92" t="s">
        <v>106</v>
      </c>
      <c r="E22" s="92" t="s">
        <v>263</v>
      </c>
      <c r="F22" s="92" t="s">
        <v>33</v>
      </c>
      <c r="G22" s="92" t="s">
        <v>45</v>
      </c>
      <c r="H22" s="92" t="s">
        <v>29</v>
      </c>
      <c r="I22" s="92" t="s">
        <v>66</v>
      </c>
      <c r="J22" s="1">
        <v>1</v>
      </c>
      <c r="K22" s="1">
        <v>1</v>
      </c>
      <c r="M22" s="1">
        <v>0</v>
      </c>
      <c r="N22" s="1">
        <v>1</v>
      </c>
      <c r="P22" s="1">
        <v>0</v>
      </c>
      <c r="Q22" s="92"/>
      <c r="R22" s="92"/>
      <c r="S22" s="92"/>
      <c r="T22" s="92"/>
      <c r="X22" s="1">
        <v>0</v>
      </c>
      <c r="Y22" s="1">
        <v>1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7.4074000000000001E-2</v>
      </c>
      <c r="AF22" s="1">
        <v>0</v>
      </c>
      <c r="AG22" s="1">
        <v>0</v>
      </c>
      <c r="AH22" s="1">
        <v>1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1</v>
      </c>
      <c r="AO22" s="1">
        <v>0</v>
      </c>
      <c r="AP22" s="1">
        <v>0</v>
      </c>
    </row>
    <row r="23" spans="1:42" x14ac:dyDescent="0.35">
      <c r="A23">
        <v>22</v>
      </c>
      <c r="B23" s="83">
        <v>43466</v>
      </c>
      <c r="C23" s="92" t="s">
        <v>32</v>
      </c>
      <c r="D23" s="92" t="s">
        <v>106</v>
      </c>
      <c r="E23" s="92" t="s">
        <v>263</v>
      </c>
      <c r="F23" s="92" t="s">
        <v>33</v>
      </c>
      <c r="G23" s="92" t="s">
        <v>45</v>
      </c>
      <c r="H23" s="92" t="s">
        <v>290</v>
      </c>
      <c r="I23" s="92" t="s">
        <v>39</v>
      </c>
      <c r="J23" s="1">
        <v>1</v>
      </c>
      <c r="K23" s="1">
        <v>1</v>
      </c>
      <c r="M23" s="1">
        <v>0</v>
      </c>
      <c r="N23" s="1">
        <v>1</v>
      </c>
      <c r="P23" s="1">
        <v>0</v>
      </c>
      <c r="Q23" s="92"/>
      <c r="R23" s="92"/>
      <c r="S23" s="92"/>
      <c r="T23" s="92"/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7.4074000000000001E-2</v>
      </c>
      <c r="AF23" s="1">
        <v>0</v>
      </c>
      <c r="AG23" s="1">
        <v>0</v>
      </c>
      <c r="AH23" s="1">
        <v>1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1</v>
      </c>
      <c r="AO23" s="1">
        <v>0</v>
      </c>
      <c r="AP23" s="1">
        <v>0</v>
      </c>
    </row>
    <row r="24" spans="1:42" x14ac:dyDescent="0.35">
      <c r="A24">
        <v>23</v>
      </c>
      <c r="B24" s="83">
        <v>43466</v>
      </c>
      <c r="C24" s="92" t="s">
        <v>32</v>
      </c>
      <c r="D24" s="92" t="s">
        <v>106</v>
      </c>
      <c r="E24" s="92" t="s">
        <v>263</v>
      </c>
      <c r="F24" s="92" t="s">
        <v>33</v>
      </c>
      <c r="G24" s="92" t="s">
        <v>45</v>
      </c>
      <c r="H24" s="92" t="s">
        <v>290</v>
      </c>
      <c r="I24" s="92" t="s">
        <v>43</v>
      </c>
      <c r="J24" s="1">
        <v>1</v>
      </c>
      <c r="K24" s="1">
        <v>1</v>
      </c>
      <c r="M24" s="1">
        <v>0</v>
      </c>
      <c r="N24" s="1">
        <v>1</v>
      </c>
      <c r="P24" s="1">
        <v>0</v>
      </c>
      <c r="Q24" s="92"/>
      <c r="R24" s="92"/>
      <c r="S24" s="92"/>
      <c r="T24" s="92"/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7.4074000000000001E-2</v>
      </c>
      <c r="AF24" s="1">
        <v>0</v>
      </c>
      <c r="AG24" s="1">
        <v>0</v>
      </c>
      <c r="AH24" s="1">
        <v>1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1</v>
      </c>
      <c r="AO24" s="1">
        <v>0</v>
      </c>
      <c r="AP24" s="1">
        <v>0</v>
      </c>
    </row>
    <row r="25" spans="1:42" x14ac:dyDescent="0.35">
      <c r="A25">
        <v>24</v>
      </c>
      <c r="B25" s="83">
        <v>43466</v>
      </c>
      <c r="C25" s="92" t="s">
        <v>32</v>
      </c>
      <c r="D25" s="92" t="s">
        <v>106</v>
      </c>
      <c r="E25" s="92" t="s">
        <v>263</v>
      </c>
      <c r="F25" s="92" t="s">
        <v>33</v>
      </c>
      <c r="G25" s="92" t="s">
        <v>45</v>
      </c>
      <c r="H25" s="92" t="s">
        <v>290</v>
      </c>
      <c r="I25" s="92" t="s">
        <v>52</v>
      </c>
      <c r="J25" s="1">
        <v>1</v>
      </c>
      <c r="K25" s="1">
        <v>1</v>
      </c>
      <c r="M25" s="1">
        <v>0</v>
      </c>
      <c r="N25" s="1">
        <v>1</v>
      </c>
      <c r="P25" s="1">
        <v>0</v>
      </c>
      <c r="Q25" s="92"/>
      <c r="R25" s="92"/>
      <c r="S25" s="92"/>
      <c r="T25" s="92"/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7.4074000000000001E-2</v>
      </c>
      <c r="AF25" s="1">
        <v>0</v>
      </c>
      <c r="AG25" s="1">
        <v>0</v>
      </c>
      <c r="AH25" s="1">
        <v>1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1</v>
      </c>
      <c r="AO25" s="1">
        <v>0</v>
      </c>
      <c r="AP25" s="1">
        <v>0</v>
      </c>
    </row>
    <row r="26" spans="1:42" x14ac:dyDescent="0.35">
      <c r="A26">
        <v>25</v>
      </c>
      <c r="B26" s="83">
        <v>43466</v>
      </c>
      <c r="C26" s="92" t="s">
        <v>32</v>
      </c>
      <c r="D26" s="92" t="s">
        <v>106</v>
      </c>
      <c r="E26" s="92" t="s">
        <v>263</v>
      </c>
      <c r="F26" s="92" t="s">
        <v>33</v>
      </c>
      <c r="G26" s="92" t="s">
        <v>45</v>
      </c>
      <c r="H26" s="92" t="s">
        <v>290</v>
      </c>
      <c r="I26" s="92" t="s">
        <v>58</v>
      </c>
      <c r="J26" s="1">
        <v>1</v>
      </c>
      <c r="K26" s="1">
        <v>1</v>
      </c>
      <c r="M26" s="1">
        <v>0</v>
      </c>
      <c r="N26" s="1">
        <v>1</v>
      </c>
      <c r="P26" s="1">
        <v>0</v>
      </c>
      <c r="Q26" s="92"/>
      <c r="R26" s="92"/>
      <c r="S26" s="92"/>
      <c r="T26" s="92"/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7.4074000000000001E-2</v>
      </c>
      <c r="AF26" s="1">
        <v>0</v>
      </c>
      <c r="AG26" s="1">
        <v>0</v>
      </c>
      <c r="AH26" s="1">
        <v>1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1</v>
      </c>
      <c r="AO26" s="1">
        <v>0</v>
      </c>
      <c r="AP26" s="1">
        <v>0</v>
      </c>
    </row>
    <row r="27" spans="1:42" x14ac:dyDescent="0.35">
      <c r="A27">
        <v>26</v>
      </c>
      <c r="B27" s="83">
        <v>43466</v>
      </c>
      <c r="C27" s="92" t="s">
        <v>32</v>
      </c>
      <c r="D27" s="92" t="s">
        <v>106</v>
      </c>
      <c r="E27" s="92" t="s">
        <v>263</v>
      </c>
      <c r="F27" s="92" t="s">
        <v>33</v>
      </c>
      <c r="G27" s="92" t="s">
        <v>45</v>
      </c>
      <c r="H27" s="92" t="s">
        <v>30</v>
      </c>
      <c r="I27" s="92" t="s">
        <v>40</v>
      </c>
      <c r="J27" s="1">
        <v>1</v>
      </c>
      <c r="K27" s="1">
        <v>1</v>
      </c>
      <c r="M27" s="1">
        <v>0</v>
      </c>
      <c r="N27" s="1">
        <v>1</v>
      </c>
      <c r="P27" s="1">
        <v>0</v>
      </c>
      <c r="Q27" s="92"/>
      <c r="R27" s="92"/>
      <c r="S27" s="92"/>
      <c r="T27" s="92"/>
      <c r="X27" s="1">
        <v>0</v>
      </c>
      <c r="Y27" s="1">
        <v>0</v>
      </c>
      <c r="Z27" s="1">
        <v>0</v>
      </c>
      <c r="AA27" s="1">
        <v>1</v>
      </c>
      <c r="AB27" s="1">
        <v>0</v>
      </c>
      <c r="AC27" s="1">
        <v>0</v>
      </c>
      <c r="AD27" s="1">
        <v>0</v>
      </c>
      <c r="AE27" s="1">
        <v>7.4074000000000001E-2</v>
      </c>
      <c r="AF27" s="1">
        <v>0</v>
      </c>
      <c r="AG27" s="1">
        <v>0</v>
      </c>
      <c r="AH27" s="1">
        <v>1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1</v>
      </c>
      <c r="AO27" s="1">
        <v>0</v>
      </c>
      <c r="AP27" s="1">
        <v>0</v>
      </c>
    </row>
    <row r="28" spans="1:42" x14ac:dyDescent="0.35">
      <c r="A28">
        <v>27</v>
      </c>
      <c r="B28" s="83">
        <v>43466</v>
      </c>
      <c r="C28" s="92" t="s">
        <v>32</v>
      </c>
      <c r="D28" s="92" t="s">
        <v>106</v>
      </c>
      <c r="E28" s="92" t="s">
        <v>263</v>
      </c>
      <c r="F28" s="92" t="s">
        <v>33</v>
      </c>
      <c r="G28" s="92" t="s">
        <v>45</v>
      </c>
      <c r="H28" s="92" t="s">
        <v>30</v>
      </c>
      <c r="I28" s="92" t="s">
        <v>50</v>
      </c>
      <c r="J28" s="1">
        <v>1</v>
      </c>
      <c r="K28" s="1">
        <v>1</v>
      </c>
      <c r="M28" s="1">
        <v>0</v>
      </c>
      <c r="N28" s="1">
        <v>1</v>
      </c>
      <c r="P28" s="1">
        <v>0</v>
      </c>
      <c r="Q28" s="92"/>
      <c r="R28" s="92"/>
      <c r="S28" s="92"/>
      <c r="T28" s="92"/>
      <c r="X28" s="1">
        <v>0</v>
      </c>
      <c r="Y28" s="1">
        <v>0</v>
      </c>
      <c r="Z28" s="1">
        <v>0</v>
      </c>
      <c r="AA28" s="1">
        <v>1</v>
      </c>
      <c r="AB28" s="1">
        <v>0</v>
      </c>
      <c r="AC28" s="1">
        <v>0</v>
      </c>
      <c r="AD28" s="1">
        <v>0</v>
      </c>
      <c r="AE28" s="1">
        <v>7.4074000000000001E-2</v>
      </c>
      <c r="AF28" s="1">
        <v>0</v>
      </c>
      <c r="AG28" s="1">
        <v>0</v>
      </c>
      <c r="AH28" s="1">
        <v>1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1</v>
      </c>
      <c r="AO28" s="1">
        <v>0</v>
      </c>
      <c r="AP28" s="1">
        <v>0</v>
      </c>
    </row>
    <row r="29" spans="1:42" x14ac:dyDescent="0.35">
      <c r="A29">
        <v>28</v>
      </c>
      <c r="B29" s="83">
        <v>43466</v>
      </c>
      <c r="C29" s="92" t="s">
        <v>32</v>
      </c>
      <c r="D29" s="92" t="s">
        <v>106</v>
      </c>
      <c r="E29" s="92" t="s">
        <v>263</v>
      </c>
      <c r="F29" s="92" t="s">
        <v>33</v>
      </c>
      <c r="G29" s="92" t="s">
        <v>45</v>
      </c>
      <c r="H29" s="92" t="s">
        <v>72</v>
      </c>
      <c r="I29" s="92" t="s">
        <v>41</v>
      </c>
      <c r="J29" s="1">
        <v>1</v>
      </c>
      <c r="K29" s="1">
        <v>1</v>
      </c>
      <c r="M29" s="1">
        <v>0</v>
      </c>
      <c r="N29" s="1">
        <v>1</v>
      </c>
      <c r="P29" s="1">
        <v>0</v>
      </c>
      <c r="Q29" s="92"/>
      <c r="R29" s="92"/>
      <c r="S29" s="92"/>
      <c r="T29" s="92"/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1</v>
      </c>
      <c r="AD29" s="1">
        <v>0</v>
      </c>
      <c r="AE29" s="1">
        <v>7.4074000000000001E-2</v>
      </c>
      <c r="AF29" s="1">
        <v>0</v>
      </c>
      <c r="AG29" s="1">
        <v>0</v>
      </c>
      <c r="AH29" s="1">
        <v>1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1</v>
      </c>
      <c r="AO29" s="1">
        <v>0</v>
      </c>
      <c r="AP29" s="1">
        <v>0</v>
      </c>
    </row>
    <row r="30" spans="1:42" x14ac:dyDescent="0.35">
      <c r="A30">
        <v>29</v>
      </c>
      <c r="B30" s="83">
        <v>43466</v>
      </c>
      <c r="C30" s="92" t="s">
        <v>32</v>
      </c>
      <c r="D30" s="92" t="s">
        <v>106</v>
      </c>
      <c r="E30" s="92" t="s">
        <v>263</v>
      </c>
      <c r="F30" s="92" t="s">
        <v>33</v>
      </c>
      <c r="G30" s="92" t="s">
        <v>45</v>
      </c>
      <c r="H30" s="92" t="s">
        <v>72</v>
      </c>
      <c r="I30" s="92" t="s">
        <v>51</v>
      </c>
      <c r="J30" s="1">
        <v>1</v>
      </c>
      <c r="K30" s="1">
        <v>1</v>
      </c>
      <c r="M30" s="1">
        <v>0</v>
      </c>
      <c r="N30" s="1">
        <v>1</v>
      </c>
      <c r="P30" s="1">
        <v>0</v>
      </c>
      <c r="Q30" s="92"/>
      <c r="R30" s="92"/>
      <c r="S30" s="92"/>
      <c r="T30" s="92"/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1</v>
      </c>
      <c r="AD30" s="1">
        <v>0</v>
      </c>
      <c r="AE30" s="1">
        <v>7.4074000000000001E-2</v>
      </c>
      <c r="AF30" s="1">
        <v>0</v>
      </c>
      <c r="AG30" s="1">
        <v>0</v>
      </c>
      <c r="AH30" s="1">
        <v>1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1</v>
      </c>
      <c r="AO30" s="1">
        <v>0</v>
      </c>
      <c r="AP30" s="1">
        <v>0</v>
      </c>
    </row>
    <row r="31" spans="1:42" x14ac:dyDescent="0.35">
      <c r="A31">
        <v>30</v>
      </c>
      <c r="B31" s="83">
        <v>43466</v>
      </c>
      <c r="C31" s="92" t="s">
        <v>32</v>
      </c>
      <c r="D31" s="92" t="s">
        <v>109</v>
      </c>
      <c r="E31" s="92" t="s">
        <v>108</v>
      </c>
      <c r="F31" s="92" t="s">
        <v>69</v>
      </c>
      <c r="G31" s="92" t="s">
        <v>22</v>
      </c>
      <c r="H31" s="92" t="s">
        <v>29</v>
      </c>
      <c r="I31" s="92" t="s">
        <v>77</v>
      </c>
      <c r="J31" s="1">
        <v>1</v>
      </c>
      <c r="K31" s="1">
        <v>1</v>
      </c>
      <c r="L31" s="1">
        <v>1</v>
      </c>
      <c r="N31" s="1">
        <v>1</v>
      </c>
      <c r="O31" s="1">
        <v>1</v>
      </c>
      <c r="Q31" s="92"/>
      <c r="R31" s="92"/>
      <c r="S31" s="92"/>
      <c r="T31" s="92"/>
      <c r="X31" s="1">
        <v>0</v>
      </c>
      <c r="Y31" s="1">
        <v>1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</row>
    <row r="32" spans="1:42" x14ac:dyDescent="0.35">
      <c r="A32">
        <v>31</v>
      </c>
      <c r="B32" s="83">
        <v>43466</v>
      </c>
      <c r="C32" s="92" t="s">
        <v>32</v>
      </c>
      <c r="D32" s="92" t="s">
        <v>109</v>
      </c>
      <c r="E32" s="92" t="s">
        <v>108</v>
      </c>
      <c r="F32" s="92" t="s">
        <v>69</v>
      </c>
      <c r="G32" s="92" t="s">
        <v>22</v>
      </c>
      <c r="H32" s="92" t="s">
        <v>30</v>
      </c>
      <c r="I32" s="92" t="s">
        <v>30</v>
      </c>
      <c r="J32" s="1">
        <v>1</v>
      </c>
      <c r="K32" s="1">
        <v>1</v>
      </c>
      <c r="L32" s="1">
        <v>1</v>
      </c>
      <c r="N32" s="1">
        <v>1</v>
      </c>
      <c r="O32" s="1">
        <v>1</v>
      </c>
      <c r="Q32" s="92"/>
      <c r="R32" s="92"/>
      <c r="S32" s="92"/>
      <c r="T32" s="92"/>
      <c r="X32" s="1">
        <v>0</v>
      </c>
      <c r="Y32" s="1">
        <v>0</v>
      </c>
      <c r="Z32" s="1">
        <v>0</v>
      </c>
      <c r="AA32" s="1">
        <v>1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</row>
    <row r="33" spans="1:42" x14ac:dyDescent="0.35">
      <c r="A33">
        <v>32</v>
      </c>
      <c r="B33" s="83">
        <v>43466</v>
      </c>
      <c r="C33" s="92" t="s">
        <v>32</v>
      </c>
      <c r="D33" s="92" t="s">
        <v>109</v>
      </c>
      <c r="E33" s="92" t="s">
        <v>108</v>
      </c>
      <c r="F33" s="92" t="s">
        <v>69</v>
      </c>
      <c r="G33" s="92" t="s">
        <v>22</v>
      </c>
      <c r="H33" s="92" t="s">
        <v>30</v>
      </c>
      <c r="I33" s="92" t="s">
        <v>30</v>
      </c>
      <c r="J33" s="1">
        <v>1</v>
      </c>
      <c r="K33" s="1">
        <v>1</v>
      </c>
      <c r="L33" s="1">
        <v>1</v>
      </c>
      <c r="N33" s="1">
        <v>1</v>
      </c>
      <c r="O33" s="1">
        <v>1</v>
      </c>
      <c r="Q33" s="92"/>
      <c r="R33" s="92"/>
      <c r="S33" s="92"/>
      <c r="T33" s="92"/>
      <c r="X33" s="1">
        <v>0</v>
      </c>
      <c r="Y33" s="1">
        <v>0</v>
      </c>
      <c r="Z33" s="1">
        <v>0</v>
      </c>
      <c r="AA33" s="1">
        <v>1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</row>
    <row r="34" spans="1:42" x14ac:dyDescent="0.35">
      <c r="A34">
        <v>33</v>
      </c>
      <c r="B34" s="83">
        <v>43466</v>
      </c>
      <c r="C34" s="92" t="s">
        <v>32</v>
      </c>
      <c r="D34" s="92" t="s">
        <v>109</v>
      </c>
      <c r="E34" s="92" t="s">
        <v>108</v>
      </c>
      <c r="F34" s="92" t="s">
        <v>69</v>
      </c>
      <c r="G34" s="92" t="s">
        <v>22</v>
      </c>
      <c r="H34" s="92" t="s">
        <v>290</v>
      </c>
      <c r="I34" s="92" t="s">
        <v>43</v>
      </c>
      <c r="J34" s="1">
        <v>1</v>
      </c>
      <c r="K34" s="1">
        <v>1</v>
      </c>
      <c r="L34" s="1">
        <v>1</v>
      </c>
      <c r="N34" s="1">
        <v>1</v>
      </c>
      <c r="O34" s="1">
        <v>1</v>
      </c>
      <c r="Q34" s="92"/>
      <c r="R34" s="92"/>
      <c r="S34" s="92"/>
      <c r="T34" s="92"/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</row>
    <row r="35" spans="1:42" x14ac:dyDescent="0.35">
      <c r="A35">
        <v>34</v>
      </c>
      <c r="B35" s="83">
        <v>43466</v>
      </c>
      <c r="C35" s="92" t="s">
        <v>32</v>
      </c>
      <c r="D35" s="92" t="s">
        <v>109</v>
      </c>
      <c r="E35" s="92" t="s">
        <v>108</v>
      </c>
      <c r="F35" s="92" t="s">
        <v>69</v>
      </c>
      <c r="G35" s="92" t="s">
        <v>22</v>
      </c>
      <c r="H35" s="92" t="s">
        <v>290</v>
      </c>
      <c r="I35" s="92" t="s">
        <v>78</v>
      </c>
      <c r="J35" s="1">
        <v>1</v>
      </c>
      <c r="K35" s="1">
        <v>1</v>
      </c>
      <c r="L35" s="1">
        <v>1</v>
      </c>
      <c r="N35" s="1">
        <v>1</v>
      </c>
      <c r="O35" s="1">
        <v>1</v>
      </c>
      <c r="Q35" s="92"/>
      <c r="R35" s="92"/>
      <c r="S35" s="92"/>
      <c r="T35" s="92"/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</row>
    <row r="36" spans="1:42" x14ac:dyDescent="0.35">
      <c r="A36">
        <v>35</v>
      </c>
      <c r="B36" s="83">
        <v>43466</v>
      </c>
      <c r="C36" s="92" t="s">
        <v>32</v>
      </c>
      <c r="D36" s="92" t="s">
        <v>109</v>
      </c>
      <c r="E36" s="92" t="s">
        <v>108</v>
      </c>
      <c r="F36" s="92" t="s">
        <v>69</v>
      </c>
      <c r="G36" s="92" t="s">
        <v>22</v>
      </c>
      <c r="H36" s="92" t="s">
        <v>290</v>
      </c>
      <c r="I36" s="92" t="s">
        <v>79</v>
      </c>
      <c r="J36" s="1">
        <v>1</v>
      </c>
      <c r="K36" s="1">
        <v>1</v>
      </c>
      <c r="L36" s="1">
        <v>1</v>
      </c>
      <c r="N36" s="1">
        <v>1</v>
      </c>
      <c r="O36" s="1">
        <v>1</v>
      </c>
      <c r="Q36" s="92"/>
      <c r="R36" s="92"/>
      <c r="S36" s="92"/>
      <c r="T36" s="92"/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</row>
    <row r="37" spans="1:42" x14ac:dyDescent="0.35">
      <c r="A37">
        <v>36</v>
      </c>
      <c r="B37" s="83">
        <v>43466</v>
      </c>
      <c r="C37" s="92" t="s">
        <v>32</v>
      </c>
      <c r="D37" s="92" t="s">
        <v>109</v>
      </c>
      <c r="E37" s="92" t="s">
        <v>108</v>
      </c>
      <c r="F37" s="92" t="s">
        <v>69</v>
      </c>
      <c r="G37" s="92" t="s">
        <v>22</v>
      </c>
      <c r="H37" s="92" t="s">
        <v>31</v>
      </c>
      <c r="I37" s="92" t="s">
        <v>73</v>
      </c>
      <c r="J37" s="1">
        <v>1</v>
      </c>
      <c r="K37" s="1">
        <v>1</v>
      </c>
      <c r="L37" s="1">
        <v>1</v>
      </c>
      <c r="N37" s="1">
        <v>1</v>
      </c>
      <c r="O37" s="1">
        <v>1.2</v>
      </c>
      <c r="Q37" s="92"/>
      <c r="R37" s="92"/>
      <c r="S37" s="92"/>
      <c r="T37" s="92"/>
      <c r="X37" s="1">
        <v>0</v>
      </c>
      <c r="Y37" s="1">
        <v>0</v>
      </c>
      <c r="Z37" s="1">
        <v>0</v>
      </c>
      <c r="AA37" s="1">
        <v>0</v>
      </c>
      <c r="AB37" s="1">
        <v>1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</row>
    <row r="38" spans="1:42" x14ac:dyDescent="0.35">
      <c r="A38">
        <v>37</v>
      </c>
      <c r="B38" s="83">
        <v>43466</v>
      </c>
      <c r="C38" s="92" t="s">
        <v>32</v>
      </c>
      <c r="D38" s="92" t="s">
        <v>109</v>
      </c>
      <c r="E38" s="92" t="s">
        <v>108</v>
      </c>
      <c r="F38" s="92" t="s">
        <v>69</v>
      </c>
      <c r="G38" s="92" t="s">
        <v>22</v>
      </c>
      <c r="H38" s="92" t="s">
        <v>31</v>
      </c>
      <c r="I38" s="92" t="s">
        <v>76</v>
      </c>
      <c r="J38" s="1">
        <v>1</v>
      </c>
      <c r="K38" s="1">
        <v>1</v>
      </c>
      <c r="L38" s="1">
        <v>1</v>
      </c>
      <c r="N38" s="1">
        <v>1</v>
      </c>
      <c r="O38" s="1">
        <v>1</v>
      </c>
      <c r="Q38" s="92"/>
      <c r="R38" s="92"/>
      <c r="S38" s="92"/>
      <c r="T38" s="92"/>
      <c r="X38" s="1">
        <v>0</v>
      </c>
      <c r="Y38" s="1">
        <v>0</v>
      </c>
      <c r="Z38" s="1">
        <v>0</v>
      </c>
      <c r="AA38" s="1">
        <v>0</v>
      </c>
      <c r="AB38" s="1">
        <v>1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</row>
    <row r="39" spans="1:42" x14ac:dyDescent="0.35">
      <c r="A39">
        <v>38</v>
      </c>
      <c r="B39" s="83">
        <v>43466</v>
      </c>
      <c r="C39" s="92" t="s">
        <v>32</v>
      </c>
      <c r="D39" s="92" t="s">
        <v>109</v>
      </c>
      <c r="E39" s="92" t="s">
        <v>107</v>
      </c>
      <c r="F39" s="92" t="s">
        <v>69</v>
      </c>
      <c r="G39" s="92" t="s">
        <v>22</v>
      </c>
      <c r="H39" s="92" t="s">
        <v>31</v>
      </c>
      <c r="I39" s="92" t="s">
        <v>73</v>
      </c>
      <c r="J39" s="1">
        <v>1</v>
      </c>
      <c r="K39" s="1">
        <v>1</v>
      </c>
      <c r="L39" s="1">
        <v>1</v>
      </c>
      <c r="N39" s="1">
        <v>1</v>
      </c>
      <c r="O39" s="1">
        <v>1.2</v>
      </c>
      <c r="Q39" s="92"/>
      <c r="R39" s="92"/>
      <c r="S39" s="92"/>
      <c r="T39" s="92"/>
      <c r="X39" s="1">
        <v>0</v>
      </c>
      <c r="Y39" s="1">
        <v>0</v>
      </c>
      <c r="Z39" s="1">
        <v>0</v>
      </c>
      <c r="AA39" s="1">
        <v>0</v>
      </c>
      <c r="AB39" s="1">
        <v>1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</row>
    <row r="40" spans="1:42" x14ac:dyDescent="0.35">
      <c r="A40">
        <v>39</v>
      </c>
      <c r="B40" s="83">
        <v>43466</v>
      </c>
      <c r="C40" s="92" t="s">
        <v>32</v>
      </c>
      <c r="D40" s="92" t="s">
        <v>109</v>
      </c>
      <c r="E40" s="92" t="s">
        <v>107</v>
      </c>
      <c r="F40" s="92" t="s">
        <v>69</v>
      </c>
      <c r="G40" s="92" t="s">
        <v>22</v>
      </c>
      <c r="H40" s="92" t="s">
        <v>42</v>
      </c>
      <c r="I40" s="92" t="s">
        <v>76</v>
      </c>
      <c r="J40" s="1">
        <v>1</v>
      </c>
      <c r="K40" s="1">
        <v>1</v>
      </c>
      <c r="L40" s="1">
        <v>0.4</v>
      </c>
      <c r="N40" s="1">
        <v>1</v>
      </c>
      <c r="O40" s="1">
        <v>0.4</v>
      </c>
      <c r="Q40" s="92"/>
      <c r="R40" s="92"/>
      <c r="S40" s="92"/>
      <c r="T40" s="92"/>
      <c r="X40" s="1">
        <v>0</v>
      </c>
      <c r="Y40" s="1">
        <v>0</v>
      </c>
      <c r="Z40" s="1">
        <v>0</v>
      </c>
      <c r="AA40" s="1">
        <v>0</v>
      </c>
      <c r="AB40" s="1">
        <v>1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</row>
    <row r="41" spans="1:42" x14ac:dyDescent="0.35">
      <c r="A41">
        <v>40</v>
      </c>
      <c r="B41" s="83">
        <v>43466</v>
      </c>
      <c r="C41" s="92" t="s">
        <v>32</v>
      </c>
      <c r="D41" s="92" t="s">
        <v>106</v>
      </c>
      <c r="E41" s="92" t="s">
        <v>19</v>
      </c>
      <c r="F41" s="92" t="s">
        <v>115</v>
      </c>
      <c r="G41" s="92" t="s">
        <v>21</v>
      </c>
      <c r="H41" s="92" t="s">
        <v>23</v>
      </c>
      <c r="I41" s="92" t="s">
        <v>35</v>
      </c>
      <c r="J41" s="1">
        <v>1</v>
      </c>
      <c r="K41" s="1">
        <v>1</v>
      </c>
      <c r="M41" s="1">
        <v>0</v>
      </c>
      <c r="N41" s="1">
        <v>1</v>
      </c>
      <c r="Q41" s="92"/>
      <c r="R41" s="92"/>
      <c r="S41" s="92"/>
      <c r="T41" s="92"/>
      <c r="X41" s="1">
        <v>1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7.4074000000000001E-2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</row>
    <row r="42" spans="1:42" x14ac:dyDescent="0.35">
      <c r="A42">
        <v>41</v>
      </c>
      <c r="B42" s="83">
        <v>43466</v>
      </c>
      <c r="C42" s="92" t="s">
        <v>32</v>
      </c>
      <c r="D42" s="92" t="s">
        <v>106</v>
      </c>
      <c r="E42" s="92" t="s">
        <v>20</v>
      </c>
      <c r="F42" s="92" t="s">
        <v>395</v>
      </c>
      <c r="G42" s="92" t="s">
        <v>21</v>
      </c>
      <c r="H42" s="92" t="s">
        <v>24</v>
      </c>
      <c r="I42" s="92" t="s">
        <v>387</v>
      </c>
      <c r="J42" s="1">
        <v>1</v>
      </c>
      <c r="K42" s="1">
        <v>1</v>
      </c>
      <c r="M42" s="1">
        <v>0</v>
      </c>
      <c r="N42" s="1">
        <v>1</v>
      </c>
      <c r="Q42" s="92"/>
      <c r="R42" s="92"/>
      <c r="S42" s="92"/>
      <c r="T42" s="92"/>
      <c r="X42" s="1">
        <v>0</v>
      </c>
      <c r="Y42" s="1">
        <v>1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1</v>
      </c>
      <c r="AI42" s="1">
        <v>1</v>
      </c>
      <c r="AJ42" s="1">
        <v>1</v>
      </c>
      <c r="AK42" s="1">
        <v>0</v>
      </c>
      <c r="AL42" s="1">
        <v>0</v>
      </c>
      <c r="AM42" s="1">
        <v>0</v>
      </c>
      <c r="AN42" s="1">
        <v>0</v>
      </c>
      <c r="AO42" s="1">
        <v>1</v>
      </c>
      <c r="AP42" s="1">
        <v>0</v>
      </c>
    </row>
    <row r="43" spans="1:42" x14ac:dyDescent="0.35">
      <c r="A43">
        <v>42</v>
      </c>
      <c r="B43" s="83">
        <v>43466</v>
      </c>
      <c r="C43" s="92" t="s">
        <v>32</v>
      </c>
      <c r="D43" s="92" t="s">
        <v>106</v>
      </c>
      <c r="E43" s="92" t="s">
        <v>20</v>
      </c>
      <c r="F43" s="92" t="s">
        <v>395</v>
      </c>
      <c r="G43" s="92" t="s">
        <v>21</v>
      </c>
      <c r="H43" s="92" t="s">
        <v>25</v>
      </c>
      <c r="I43" s="92" t="s">
        <v>36</v>
      </c>
      <c r="J43" s="1">
        <v>1</v>
      </c>
      <c r="K43" s="1">
        <v>1</v>
      </c>
      <c r="M43" s="1">
        <v>0</v>
      </c>
      <c r="N43" s="1">
        <v>1</v>
      </c>
      <c r="Q43" s="92"/>
      <c r="R43" s="92"/>
      <c r="S43" s="92"/>
      <c r="T43" s="92"/>
      <c r="X43" s="1">
        <v>0</v>
      </c>
      <c r="Y43" s="1">
        <v>0</v>
      </c>
      <c r="Z43" s="1">
        <v>1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1</v>
      </c>
      <c r="AI43" s="1">
        <v>1</v>
      </c>
      <c r="AJ43" s="1">
        <v>1</v>
      </c>
      <c r="AK43" s="1">
        <v>0</v>
      </c>
      <c r="AL43" s="1">
        <v>0</v>
      </c>
      <c r="AM43" s="1">
        <v>0</v>
      </c>
      <c r="AN43" s="1">
        <v>0</v>
      </c>
      <c r="AO43" s="1">
        <v>1</v>
      </c>
      <c r="AP43" s="1">
        <v>0</v>
      </c>
    </row>
    <row r="44" spans="1:42" x14ac:dyDescent="0.35">
      <c r="A44">
        <v>43</v>
      </c>
      <c r="B44" s="83">
        <v>43466</v>
      </c>
      <c r="C44" s="92" t="s">
        <v>32</v>
      </c>
      <c r="D44" s="92" t="s">
        <v>106</v>
      </c>
      <c r="E44" s="92" t="s">
        <v>20</v>
      </c>
      <c r="F44" s="92" t="s">
        <v>395</v>
      </c>
      <c r="G44" s="92" t="s">
        <v>21</v>
      </c>
      <c r="H44" s="92" t="s">
        <v>25</v>
      </c>
      <c r="I44" s="92" t="s">
        <v>47</v>
      </c>
      <c r="J44" s="1">
        <v>1</v>
      </c>
      <c r="K44" s="1">
        <v>1</v>
      </c>
      <c r="M44" s="1">
        <v>0</v>
      </c>
      <c r="N44" s="1">
        <v>1</v>
      </c>
      <c r="Q44" s="92"/>
      <c r="R44" s="92"/>
      <c r="S44" s="92"/>
      <c r="T44" s="92"/>
      <c r="X44" s="1">
        <v>0</v>
      </c>
      <c r="Y44" s="1">
        <v>0</v>
      </c>
      <c r="Z44" s="1">
        <v>1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1</v>
      </c>
      <c r="AI44" s="1">
        <v>1</v>
      </c>
      <c r="AJ44" s="1">
        <v>1</v>
      </c>
      <c r="AK44" s="1">
        <v>0</v>
      </c>
      <c r="AL44" s="1">
        <v>0</v>
      </c>
      <c r="AM44" s="1">
        <v>0</v>
      </c>
      <c r="AN44" s="1">
        <v>0</v>
      </c>
      <c r="AO44" s="1">
        <v>1</v>
      </c>
      <c r="AP44" s="1">
        <v>0</v>
      </c>
    </row>
    <row r="45" spans="1:42" x14ac:dyDescent="0.35">
      <c r="A45">
        <v>44</v>
      </c>
      <c r="B45" s="83">
        <v>43466</v>
      </c>
      <c r="C45" s="92" t="s">
        <v>32</v>
      </c>
      <c r="D45" s="92" t="s">
        <v>106</v>
      </c>
      <c r="E45" s="92" t="s">
        <v>20</v>
      </c>
      <c r="F45" s="92" t="s">
        <v>395</v>
      </c>
      <c r="G45" s="92" t="s">
        <v>21</v>
      </c>
      <c r="H45" s="92" t="s">
        <v>25</v>
      </c>
      <c r="I45" s="92" t="s">
        <v>55</v>
      </c>
      <c r="J45" s="1">
        <v>1</v>
      </c>
      <c r="K45" s="1">
        <v>1</v>
      </c>
      <c r="M45" s="1">
        <v>0</v>
      </c>
      <c r="N45" s="1">
        <v>1</v>
      </c>
      <c r="Q45" s="92"/>
      <c r="R45" s="92"/>
      <c r="S45" s="92"/>
      <c r="T45" s="92"/>
      <c r="X45" s="1">
        <v>0</v>
      </c>
      <c r="Y45" s="1">
        <v>0</v>
      </c>
      <c r="Z45" s="1">
        <v>1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1</v>
      </c>
      <c r="AI45" s="1">
        <v>1</v>
      </c>
      <c r="AJ45" s="1">
        <v>1</v>
      </c>
      <c r="AK45" s="1">
        <v>0</v>
      </c>
      <c r="AL45" s="1">
        <v>0</v>
      </c>
      <c r="AM45" s="1">
        <v>0</v>
      </c>
      <c r="AN45" s="1">
        <v>0</v>
      </c>
      <c r="AO45" s="1">
        <v>1</v>
      </c>
      <c r="AP45" s="1">
        <v>0</v>
      </c>
    </row>
    <row r="46" spans="1:42" x14ac:dyDescent="0.35">
      <c r="A46">
        <v>45</v>
      </c>
      <c r="B46" s="83">
        <v>43466</v>
      </c>
      <c r="C46" s="92" t="s">
        <v>32</v>
      </c>
      <c r="D46" s="92" t="s">
        <v>106</v>
      </c>
      <c r="E46" s="92" t="s">
        <v>20</v>
      </c>
      <c r="F46" s="92" t="s">
        <v>395</v>
      </c>
      <c r="G46" s="92" t="s">
        <v>21</v>
      </c>
      <c r="H46" s="92" t="s">
        <v>24</v>
      </c>
      <c r="I46" s="92" t="s">
        <v>389</v>
      </c>
      <c r="J46" s="1">
        <v>1</v>
      </c>
      <c r="K46" s="1">
        <v>1</v>
      </c>
      <c r="M46" s="1">
        <v>0</v>
      </c>
      <c r="N46" s="1">
        <v>1</v>
      </c>
      <c r="Q46" s="92"/>
      <c r="R46" s="92"/>
      <c r="S46" s="92"/>
      <c r="T46" s="92"/>
      <c r="X46" s="1">
        <v>0</v>
      </c>
      <c r="Y46" s="1">
        <v>1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1</v>
      </c>
      <c r="AI46" s="1">
        <v>1</v>
      </c>
      <c r="AJ46" s="1">
        <v>1</v>
      </c>
      <c r="AK46" s="1">
        <v>0</v>
      </c>
      <c r="AL46" s="1">
        <v>0</v>
      </c>
      <c r="AM46" s="1">
        <v>0</v>
      </c>
      <c r="AN46" s="1">
        <v>0</v>
      </c>
      <c r="AO46" s="1">
        <v>1</v>
      </c>
      <c r="AP46" s="1">
        <v>0</v>
      </c>
    </row>
    <row r="47" spans="1:42" x14ac:dyDescent="0.35">
      <c r="A47">
        <v>46</v>
      </c>
      <c r="B47" s="83">
        <v>43466</v>
      </c>
      <c r="C47" s="92" t="s">
        <v>32</v>
      </c>
      <c r="D47" s="92" t="s">
        <v>106</v>
      </c>
      <c r="E47" s="92" t="s">
        <v>20</v>
      </c>
      <c r="F47" s="92" t="s">
        <v>395</v>
      </c>
      <c r="G47" s="92" t="s">
        <v>21</v>
      </c>
      <c r="H47" s="92" t="s">
        <v>24</v>
      </c>
      <c r="I47" s="92" t="s">
        <v>54</v>
      </c>
      <c r="J47" s="1">
        <v>1</v>
      </c>
      <c r="K47" s="1">
        <v>1</v>
      </c>
      <c r="M47" s="1">
        <v>0</v>
      </c>
      <c r="N47" s="1">
        <v>1</v>
      </c>
      <c r="Q47" s="92"/>
      <c r="R47" s="92"/>
      <c r="S47" s="92"/>
      <c r="T47" s="92"/>
      <c r="X47" s="1">
        <v>0</v>
      </c>
      <c r="Y47" s="1">
        <v>1</v>
      </c>
      <c r="Z47" s="1">
        <v>0</v>
      </c>
      <c r="AA47" s="1">
        <v>0</v>
      </c>
      <c r="AB47" s="1">
        <v>0</v>
      </c>
      <c r="AC47" s="1">
        <v>0</v>
      </c>
      <c r="AD47" s="1">
        <v>1</v>
      </c>
      <c r="AE47" s="1">
        <v>0</v>
      </c>
      <c r="AF47" s="1">
        <v>0</v>
      </c>
      <c r="AG47" s="1">
        <v>0</v>
      </c>
      <c r="AH47" s="1">
        <v>1</v>
      </c>
      <c r="AI47" s="1">
        <v>1</v>
      </c>
      <c r="AJ47" s="1">
        <v>1</v>
      </c>
      <c r="AK47" s="1">
        <v>0</v>
      </c>
      <c r="AL47" s="1">
        <v>0</v>
      </c>
      <c r="AM47" s="1">
        <v>0</v>
      </c>
      <c r="AN47" s="1">
        <v>0</v>
      </c>
      <c r="AO47" s="1">
        <v>1</v>
      </c>
      <c r="AP47" s="1">
        <v>0</v>
      </c>
    </row>
    <row r="48" spans="1:42" x14ac:dyDescent="0.35">
      <c r="A48">
        <v>47</v>
      </c>
      <c r="B48" s="83">
        <v>43466</v>
      </c>
      <c r="C48" s="92" t="s">
        <v>32</v>
      </c>
      <c r="D48" s="92" t="s">
        <v>106</v>
      </c>
      <c r="E48" s="92" t="s">
        <v>20</v>
      </c>
      <c r="F48" s="92" t="s">
        <v>395</v>
      </c>
      <c r="G48" s="92" t="s">
        <v>21</v>
      </c>
      <c r="H48" s="92" t="s">
        <v>24</v>
      </c>
      <c r="I48" s="92" t="s">
        <v>60</v>
      </c>
      <c r="J48" s="1">
        <v>1</v>
      </c>
      <c r="K48" s="1">
        <v>1</v>
      </c>
      <c r="M48" s="1">
        <v>0</v>
      </c>
      <c r="N48" s="1">
        <v>1</v>
      </c>
      <c r="Q48" s="92"/>
      <c r="R48" s="92"/>
      <c r="S48" s="92"/>
      <c r="T48" s="92"/>
      <c r="X48" s="1">
        <v>0</v>
      </c>
      <c r="Y48" s="1">
        <v>1</v>
      </c>
      <c r="Z48" s="1">
        <v>0</v>
      </c>
      <c r="AA48" s="1">
        <v>0</v>
      </c>
      <c r="AB48" s="1">
        <v>0</v>
      </c>
      <c r="AC48" s="1">
        <v>0</v>
      </c>
      <c r="AD48" s="1">
        <v>1</v>
      </c>
      <c r="AE48" s="1">
        <v>0</v>
      </c>
      <c r="AF48" s="1">
        <v>0</v>
      </c>
      <c r="AG48" s="1">
        <v>0</v>
      </c>
      <c r="AH48" s="1">
        <v>1</v>
      </c>
      <c r="AI48" s="1">
        <v>1</v>
      </c>
      <c r="AJ48" s="1">
        <v>1</v>
      </c>
      <c r="AK48" s="1">
        <v>0</v>
      </c>
      <c r="AL48" s="1">
        <v>0</v>
      </c>
      <c r="AM48" s="1">
        <v>0</v>
      </c>
      <c r="AN48" s="1">
        <v>0</v>
      </c>
      <c r="AO48" s="1">
        <v>1</v>
      </c>
      <c r="AP48" s="1">
        <v>0</v>
      </c>
    </row>
    <row r="49" spans="1:42" x14ac:dyDescent="0.35">
      <c r="A49">
        <v>48</v>
      </c>
      <c r="B49" s="83">
        <v>43466</v>
      </c>
      <c r="C49" s="92" t="s">
        <v>32</v>
      </c>
      <c r="D49" s="92" t="s">
        <v>106</v>
      </c>
      <c r="E49" s="92" t="s">
        <v>20</v>
      </c>
      <c r="F49" s="92" t="s">
        <v>395</v>
      </c>
      <c r="G49" s="92" t="s">
        <v>21</v>
      </c>
      <c r="H49" s="92" t="s">
        <v>24</v>
      </c>
      <c r="I49" s="92" t="s">
        <v>63</v>
      </c>
      <c r="J49" s="1">
        <v>1</v>
      </c>
      <c r="K49" s="1">
        <v>1</v>
      </c>
      <c r="M49" s="1">
        <v>0</v>
      </c>
      <c r="N49" s="1">
        <v>1</v>
      </c>
      <c r="Q49" s="92"/>
      <c r="R49" s="92"/>
      <c r="S49" s="92"/>
      <c r="T49" s="92"/>
      <c r="X49" s="1">
        <v>0</v>
      </c>
      <c r="Y49" s="1">
        <v>1</v>
      </c>
      <c r="Z49" s="1">
        <v>0</v>
      </c>
      <c r="AA49" s="1">
        <v>0</v>
      </c>
      <c r="AB49" s="1">
        <v>0</v>
      </c>
      <c r="AC49" s="1">
        <v>0</v>
      </c>
      <c r="AD49" s="1">
        <v>1</v>
      </c>
      <c r="AE49" s="1">
        <v>0</v>
      </c>
      <c r="AF49" s="1">
        <v>0</v>
      </c>
      <c r="AG49" s="1">
        <v>0</v>
      </c>
      <c r="AH49" s="1">
        <v>1</v>
      </c>
      <c r="AI49" s="1">
        <v>1</v>
      </c>
      <c r="AJ49" s="1">
        <v>1</v>
      </c>
      <c r="AK49" s="1">
        <v>1</v>
      </c>
      <c r="AL49" s="1">
        <v>0</v>
      </c>
      <c r="AM49" s="1">
        <v>0</v>
      </c>
      <c r="AN49" s="1">
        <v>0</v>
      </c>
      <c r="AO49" s="1">
        <v>1</v>
      </c>
      <c r="AP49" s="1">
        <v>0</v>
      </c>
    </row>
    <row r="50" spans="1:42" x14ac:dyDescent="0.35">
      <c r="A50">
        <v>49</v>
      </c>
      <c r="B50" s="83">
        <v>43466</v>
      </c>
      <c r="C50" s="92" t="s">
        <v>32</v>
      </c>
      <c r="D50" s="92" t="s">
        <v>106</v>
      </c>
      <c r="E50" s="92" t="s">
        <v>20</v>
      </c>
      <c r="F50" s="92" t="s">
        <v>395</v>
      </c>
      <c r="G50" s="92" t="s">
        <v>21</v>
      </c>
      <c r="H50" s="92" t="s">
        <v>24</v>
      </c>
      <c r="I50" s="92" t="s">
        <v>65</v>
      </c>
      <c r="J50" s="1">
        <v>1</v>
      </c>
      <c r="K50" s="1">
        <v>1</v>
      </c>
      <c r="M50" s="1">
        <v>0</v>
      </c>
      <c r="N50" s="1">
        <v>1</v>
      </c>
      <c r="Q50" s="92"/>
      <c r="R50" s="92"/>
      <c r="S50" s="92"/>
      <c r="T50" s="92"/>
      <c r="X50" s="1">
        <v>0</v>
      </c>
      <c r="Y50" s="1">
        <v>1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1</v>
      </c>
      <c r="AI50" s="1">
        <v>1</v>
      </c>
      <c r="AJ50" s="1">
        <v>1</v>
      </c>
      <c r="AK50" s="1">
        <v>0</v>
      </c>
      <c r="AL50" s="1">
        <v>0</v>
      </c>
      <c r="AM50" s="1">
        <v>0</v>
      </c>
      <c r="AN50" s="1">
        <v>0</v>
      </c>
      <c r="AO50" s="1">
        <v>1</v>
      </c>
      <c r="AP50" s="1">
        <v>0</v>
      </c>
    </row>
    <row r="51" spans="1:42" x14ac:dyDescent="0.35">
      <c r="A51">
        <v>50</v>
      </c>
      <c r="B51" s="83">
        <v>43466</v>
      </c>
      <c r="C51" s="92" t="s">
        <v>32</v>
      </c>
      <c r="D51" s="92" t="s">
        <v>106</v>
      </c>
      <c r="E51" s="92" t="s">
        <v>20</v>
      </c>
      <c r="F51" s="92" t="s">
        <v>395</v>
      </c>
      <c r="G51" s="92" t="s">
        <v>21</v>
      </c>
      <c r="H51" s="92" t="s">
        <v>24</v>
      </c>
      <c r="I51" s="92" t="s">
        <v>67</v>
      </c>
      <c r="J51" s="1">
        <v>1</v>
      </c>
      <c r="K51" s="1">
        <v>1</v>
      </c>
      <c r="M51" s="1">
        <v>0</v>
      </c>
      <c r="N51" s="1">
        <v>1</v>
      </c>
      <c r="Q51" s="92"/>
      <c r="R51" s="92"/>
      <c r="S51" s="92"/>
      <c r="T51" s="92"/>
      <c r="X51" s="1">
        <v>0</v>
      </c>
      <c r="Y51" s="1">
        <v>1</v>
      </c>
      <c r="Z51" s="1">
        <v>0</v>
      </c>
      <c r="AA51" s="1">
        <v>0</v>
      </c>
      <c r="AB51" s="1">
        <v>0</v>
      </c>
      <c r="AC51" s="1">
        <v>0</v>
      </c>
      <c r="AD51" s="1">
        <v>1</v>
      </c>
      <c r="AE51" s="1">
        <v>0</v>
      </c>
      <c r="AF51" s="1">
        <v>0</v>
      </c>
      <c r="AG51" s="1">
        <v>0</v>
      </c>
      <c r="AH51" s="1">
        <v>1</v>
      </c>
      <c r="AI51" s="1">
        <v>1</v>
      </c>
      <c r="AJ51" s="1">
        <v>1</v>
      </c>
      <c r="AK51" s="1">
        <v>0</v>
      </c>
      <c r="AL51" s="1">
        <v>0</v>
      </c>
      <c r="AM51" s="1">
        <v>0</v>
      </c>
      <c r="AN51" s="1">
        <v>0</v>
      </c>
      <c r="AO51" s="1">
        <v>1</v>
      </c>
      <c r="AP51" s="1">
        <v>0</v>
      </c>
    </row>
    <row r="52" spans="1:42" x14ac:dyDescent="0.35">
      <c r="A52">
        <v>51</v>
      </c>
      <c r="B52" s="83">
        <v>43466</v>
      </c>
      <c r="C52" s="92" t="s">
        <v>32</v>
      </c>
      <c r="D52" s="92" t="s">
        <v>106</v>
      </c>
      <c r="E52" s="92" t="s">
        <v>20</v>
      </c>
      <c r="F52" s="92" t="s">
        <v>395</v>
      </c>
      <c r="G52" s="92" t="s">
        <v>21</v>
      </c>
      <c r="H52" s="92" t="s">
        <v>24</v>
      </c>
      <c r="I52" s="92" t="s">
        <v>68</v>
      </c>
      <c r="J52" s="1">
        <v>1</v>
      </c>
      <c r="K52" s="1">
        <v>1</v>
      </c>
      <c r="M52" s="1">
        <v>0</v>
      </c>
      <c r="N52" s="1">
        <v>1</v>
      </c>
      <c r="Q52" s="92"/>
      <c r="R52" s="92"/>
      <c r="S52" s="92"/>
      <c r="T52" s="92"/>
      <c r="X52" s="1">
        <v>0</v>
      </c>
      <c r="Y52" s="1">
        <v>1</v>
      </c>
      <c r="Z52" s="1">
        <v>0</v>
      </c>
      <c r="AA52" s="1">
        <v>0</v>
      </c>
      <c r="AB52" s="1">
        <v>0</v>
      </c>
      <c r="AC52" s="1">
        <v>0</v>
      </c>
      <c r="AD52" s="1">
        <v>1</v>
      </c>
      <c r="AE52" s="1">
        <v>0</v>
      </c>
      <c r="AF52" s="1">
        <v>0</v>
      </c>
      <c r="AG52" s="1">
        <v>0</v>
      </c>
      <c r="AH52" s="1">
        <v>1</v>
      </c>
      <c r="AI52" s="1">
        <v>1</v>
      </c>
      <c r="AJ52" s="1">
        <v>1</v>
      </c>
      <c r="AK52" s="1">
        <v>0</v>
      </c>
      <c r="AL52" s="1">
        <v>0</v>
      </c>
      <c r="AM52" s="1">
        <v>0</v>
      </c>
      <c r="AN52" s="1">
        <v>0</v>
      </c>
      <c r="AO52" s="1">
        <v>1</v>
      </c>
      <c r="AP52" s="1">
        <v>0</v>
      </c>
    </row>
    <row r="53" spans="1:42" x14ac:dyDescent="0.35">
      <c r="A53">
        <v>52</v>
      </c>
      <c r="B53" s="83">
        <v>43466</v>
      </c>
      <c r="C53" s="92" t="s">
        <v>32</v>
      </c>
      <c r="D53" s="92" t="s">
        <v>106</v>
      </c>
      <c r="E53" s="92" t="s">
        <v>20</v>
      </c>
      <c r="F53" s="92" t="s">
        <v>395</v>
      </c>
      <c r="G53" s="92" t="s">
        <v>21</v>
      </c>
      <c r="H53" s="92" t="s">
        <v>23</v>
      </c>
      <c r="I53" s="92" t="s">
        <v>46</v>
      </c>
      <c r="J53" s="1">
        <v>1</v>
      </c>
      <c r="K53" s="1">
        <v>1</v>
      </c>
      <c r="M53" s="1">
        <v>0</v>
      </c>
      <c r="N53" s="1">
        <v>1</v>
      </c>
      <c r="Q53" s="92"/>
      <c r="R53" s="92"/>
      <c r="S53" s="92"/>
      <c r="T53" s="92"/>
      <c r="X53" s="1">
        <v>1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1</v>
      </c>
      <c r="AI53" s="1">
        <v>1</v>
      </c>
      <c r="AJ53" s="1">
        <v>1</v>
      </c>
      <c r="AK53" s="1">
        <v>1</v>
      </c>
      <c r="AL53" s="1">
        <v>0</v>
      </c>
      <c r="AM53" s="1">
        <v>0</v>
      </c>
      <c r="AN53" s="1">
        <v>0</v>
      </c>
      <c r="AO53" s="1">
        <v>1</v>
      </c>
      <c r="AP53" s="1">
        <v>0</v>
      </c>
    </row>
    <row r="54" spans="1:42" x14ac:dyDescent="0.35">
      <c r="A54">
        <v>53</v>
      </c>
      <c r="B54" s="83">
        <v>43466</v>
      </c>
      <c r="C54" s="92" t="s">
        <v>32</v>
      </c>
      <c r="D54" s="92" t="s">
        <v>106</v>
      </c>
      <c r="E54" s="92" t="s">
        <v>20</v>
      </c>
      <c r="F54" s="92" t="s">
        <v>395</v>
      </c>
      <c r="G54" s="92" t="s">
        <v>21</v>
      </c>
      <c r="H54" s="92" t="s">
        <v>23</v>
      </c>
      <c r="I54" s="92" t="s">
        <v>53</v>
      </c>
      <c r="J54" s="1">
        <v>1</v>
      </c>
      <c r="K54" s="1">
        <v>1</v>
      </c>
      <c r="M54" s="1">
        <v>0</v>
      </c>
      <c r="N54" s="1">
        <v>1</v>
      </c>
      <c r="Q54" s="92"/>
      <c r="R54" s="92"/>
      <c r="S54" s="92"/>
      <c r="T54" s="92"/>
      <c r="X54" s="1">
        <v>1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1</v>
      </c>
      <c r="AI54" s="1">
        <v>1</v>
      </c>
      <c r="AJ54" s="1">
        <v>1</v>
      </c>
      <c r="AK54" s="1">
        <v>0</v>
      </c>
      <c r="AL54" s="1">
        <v>0</v>
      </c>
      <c r="AM54" s="1">
        <v>0</v>
      </c>
      <c r="AN54" s="1">
        <v>0</v>
      </c>
      <c r="AO54" s="1">
        <v>1</v>
      </c>
      <c r="AP54" s="1">
        <v>0</v>
      </c>
    </row>
    <row r="55" spans="1:42" x14ac:dyDescent="0.35">
      <c r="A55">
        <v>54</v>
      </c>
      <c r="B55" s="83">
        <v>43466</v>
      </c>
      <c r="C55" s="92" t="s">
        <v>32</v>
      </c>
      <c r="D55" s="92" t="s">
        <v>106</v>
      </c>
      <c r="E55" s="92" t="s">
        <v>20</v>
      </c>
      <c r="F55" s="92" t="s">
        <v>395</v>
      </c>
      <c r="G55" s="92" t="s">
        <v>21</v>
      </c>
      <c r="H55" s="92" t="s">
        <v>23</v>
      </c>
      <c r="I55" s="92" t="s">
        <v>59</v>
      </c>
      <c r="J55" s="1">
        <v>1</v>
      </c>
      <c r="K55" s="1">
        <v>1</v>
      </c>
      <c r="M55" s="1">
        <v>0</v>
      </c>
      <c r="N55" s="1">
        <v>1</v>
      </c>
      <c r="Q55" s="92"/>
      <c r="R55" s="92"/>
      <c r="S55" s="92"/>
      <c r="T55" s="92"/>
      <c r="X55" s="1">
        <v>1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1</v>
      </c>
      <c r="AI55" s="1">
        <v>1</v>
      </c>
      <c r="AJ55" s="1">
        <v>1</v>
      </c>
      <c r="AK55" s="1">
        <v>0</v>
      </c>
      <c r="AL55" s="1">
        <v>0</v>
      </c>
      <c r="AM55" s="1">
        <v>0</v>
      </c>
      <c r="AN55" s="1">
        <v>0</v>
      </c>
      <c r="AO55" s="1">
        <v>1</v>
      </c>
      <c r="AP55" s="1">
        <v>0</v>
      </c>
    </row>
    <row r="56" spans="1:42" x14ac:dyDescent="0.35">
      <c r="A56">
        <v>55</v>
      </c>
      <c r="B56" s="83">
        <v>43466</v>
      </c>
      <c r="C56" s="92" t="s">
        <v>32</v>
      </c>
      <c r="D56" s="92" t="s">
        <v>106</v>
      </c>
      <c r="E56" s="92" t="s">
        <v>20</v>
      </c>
      <c r="F56" s="92" t="s">
        <v>395</v>
      </c>
      <c r="G56" s="92" t="s">
        <v>21</v>
      </c>
      <c r="H56" s="92" t="s">
        <v>25</v>
      </c>
      <c r="I56" s="92" t="s">
        <v>36</v>
      </c>
      <c r="J56" s="1">
        <v>1</v>
      </c>
      <c r="K56" s="1">
        <v>1</v>
      </c>
      <c r="M56" s="1">
        <v>0</v>
      </c>
      <c r="N56" s="1">
        <v>1</v>
      </c>
      <c r="Q56" s="92"/>
      <c r="R56" s="92"/>
      <c r="S56" s="92"/>
      <c r="T56" s="92"/>
      <c r="X56" s="1">
        <v>0</v>
      </c>
      <c r="Y56" s="1">
        <v>0</v>
      </c>
      <c r="Z56" s="1">
        <v>1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1</v>
      </c>
      <c r="AI56" s="1">
        <v>1</v>
      </c>
      <c r="AJ56" s="1">
        <v>1</v>
      </c>
      <c r="AK56" s="1">
        <v>0</v>
      </c>
      <c r="AL56" s="1">
        <v>0</v>
      </c>
      <c r="AM56" s="1">
        <v>0</v>
      </c>
      <c r="AN56" s="1">
        <v>0</v>
      </c>
      <c r="AO56" s="1">
        <v>1</v>
      </c>
      <c r="AP56" s="1">
        <v>0</v>
      </c>
    </row>
    <row r="57" spans="1:42" x14ac:dyDescent="0.35">
      <c r="A57">
        <v>56</v>
      </c>
      <c r="B57" s="83">
        <v>43466</v>
      </c>
      <c r="C57" s="92" t="s">
        <v>32</v>
      </c>
      <c r="D57" s="92" t="s">
        <v>106</v>
      </c>
      <c r="E57" s="92" t="s">
        <v>20</v>
      </c>
      <c r="F57" s="92" t="s">
        <v>395</v>
      </c>
      <c r="G57" s="92" t="s">
        <v>21</v>
      </c>
      <c r="H57" s="92" t="s">
        <v>25</v>
      </c>
      <c r="I57" s="92" t="s">
        <v>47</v>
      </c>
      <c r="J57" s="1">
        <v>1</v>
      </c>
      <c r="K57" s="1">
        <v>1</v>
      </c>
      <c r="M57" s="1">
        <v>0</v>
      </c>
      <c r="N57" s="1">
        <v>1</v>
      </c>
      <c r="Q57" s="92"/>
      <c r="R57" s="92"/>
      <c r="S57" s="92"/>
      <c r="T57" s="92"/>
      <c r="X57" s="1">
        <v>0</v>
      </c>
      <c r="Y57" s="1">
        <v>0</v>
      </c>
      <c r="Z57" s="1">
        <v>1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1</v>
      </c>
      <c r="AI57" s="1">
        <v>1</v>
      </c>
      <c r="AJ57" s="1">
        <v>1</v>
      </c>
      <c r="AK57" s="1">
        <v>0</v>
      </c>
      <c r="AL57" s="1">
        <v>0</v>
      </c>
      <c r="AM57" s="1">
        <v>0</v>
      </c>
      <c r="AN57" s="1">
        <v>0</v>
      </c>
      <c r="AO57" s="1">
        <v>1</v>
      </c>
      <c r="AP57" s="1">
        <v>0</v>
      </c>
    </row>
    <row r="58" spans="1:42" x14ac:dyDescent="0.35">
      <c r="A58">
        <v>57</v>
      </c>
      <c r="B58" s="83">
        <v>43466</v>
      </c>
      <c r="C58" s="92" t="s">
        <v>32</v>
      </c>
      <c r="D58" s="92" t="s">
        <v>106</v>
      </c>
      <c r="E58" s="92" t="s">
        <v>20</v>
      </c>
      <c r="F58" s="92" t="s">
        <v>395</v>
      </c>
      <c r="G58" s="92" t="s">
        <v>21</v>
      </c>
      <c r="H58" s="92" t="s">
        <v>25</v>
      </c>
      <c r="I58" s="92" t="s">
        <v>55</v>
      </c>
      <c r="J58" s="1">
        <v>1</v>
      </c>
      <c r="K58" s="1">
        <v>1</v>
      </c>
      <c r="M58" s="1">
        <v>0</v>
      </c>
      <c r="N58" s="1">
        <v>1</v>
      </c>
      <c r="Q58" s="92"/>
      <c r="R58" s="92"/>
      <c r="S58" s="92"/>
      <c r="T58" s="92"/>
      <c r="X58" s="1">
        <v>0</v>
      </c>
      <c r="Y58" s="1">
        <v>0</v>
      </c>
      <c r="Z58" s="1">
        <v>1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1</v>
      </c>
      <c r="AI58" s="1">
        <v>1</v>
      </c>
      <c r="AJ58" s="1">
        <v>1</v>
      </c>
      <c r="AK58" s="1">
        <v>0</v>
      </c>
      <c r="AL58" s="1">
        <v>0</v>
      </c>
      <c r="AM58" s="1">
        <v>0</v>
      </c>
      <c r="AN58" s="1">
        <v>0</v>
      </c>
      <c r="AO58" s="1">
        <v>1</v>
      </c>
      <c r="AP58" s="1">
        <v>0</v>
      </c>
    </row>
    <row r="59" spans="1:42" x14ac:dyDescent="0.35">
      <c r="A59">
        <v>58</v>
      </c>
      <c r="B59" s="83">
        <v>43466</v>
      </c>
      <c r="C59" s="92" t="s">
        <v>32</v>
      </c>
      <c r="D59" s="92" t="s">
        <v>106</v>
      </c>
      <c r="E59" s="92" t="s">
        <v>20</v>
      </c>
      <c r="F59" s="92" t="s">
        <v>395</v>
      </c>
      <c r="G59" s="92" t="s">
        <v>21</v>
      </c>
      <c r="H59" s="92" t="s">
        <v>26</v>
      </c>
      <c r="I59" s="92" t="s">
        <v>388</v>
      </c>
      <c r="J59" s="1">
        <v>1</v>
      </c>
      <c r="K59" s="1">
        <v>1</v>
      </c>
      <c r="M59" s="1">
        <v>0</v>
      </c>
      <c r="N59" s="1">
        <v>1</v>
      </c>
      <c r="Q59" s="92"/>
      <c r="R59" s="92"/>
      <c r="S59" s="92"/>
      <c r="T59" s="92"/>
      <c r="X59" s="1">
        <v>0</v>
      </c>
      <c r="Y59" s="1">
        <v>0</v>
      </c>
      <c r="Z59" s="1">
        <v>0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1</v>
      </c>
      <c r="AI59" s="1">
        <v>1</v>
      </c>
      <c r="AJ59" s="1">
        <v>1</v>
      </c>
      <c r="AK59" s="1">
        <v>0</v>
      </c>
      <c r="AL59" s="1">
        <v>0</v>
      </c>
      <c r="AM59" s="1">
        <v>0</v>
      </c>
      <c r="AN59" s="1">
        <v>0</v>
      </c>
      <c r="AO59" s="1">
        <v>1</v>
      </c>
      <c r="AP59" s="1">
        <v>0</v>
      </c>
    </row>
    <row r="60" spans="1:42" x14ac:dyDescent="0.35">
      <c r="A60">
        <v>59</v>
      </c>
      <c r="B60" s="83">
        <v>43466</v>
      </c>
      <c r="C60" s="92" t="s">
        <v>32</v>
      </c>
      <c r="D60" s="92" t="s">
        <v>106</v>
      </c>
      <c r="E60" s="92" t="s">
        <v>20</v>
      </c>
      <c r="F60" s="92" t="s">
        <v>395</v>
      </c>
      <c r="G60" s="92" t="s">
        <v>21</v>
      </c>
      <c r="H60" s="92" t="s">
        <v>27</v>
      </c>
      <c r="I60" s="92" t="s">
        <v>27</v>
      </c>
      <c r="J60" s="1">
        <v>1</v>
      </c>
      <c r="K60" s="1">
        <v>1</v>
      </c>
      <c r="M60" s="1">
        <v>0</v>
      </c>
      <c r="N60" s="1">
        <v>1</v>
      </c>
      <c r="Q60" s="92"/>
      <c r="R60" s="92"/>
      <c r="S60" s="92"/>
      <c r="T60" s="92"/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1</v>
      </c>
      <c r="AD60" s="1">
        <v>0</v>
      </c>
      <c r="AE60" s="1">
        <v>0</v>
      </c>
      <c r="AF60" s="1">
        <v>0</v>
      </c>
      <c r="AG60" s="1">
        <v>0</v>
      </c>
      <c r="AH60" s="1">
        <v>1</v>
      </c>
      <c r="AI60" s="1">
        <v>1</v>
      </c>
      <c r="AJ60" s="1">
        <v>1</v>
      </c>
      <c r="AK60" s="1">
        <v>0</v>
      </c>
      <c r="AL60" s="1">
        <v>0</v>
      </c>
      <c r="AM60" s="1">
        <v>0</v>
      </c>
      <c r="AN60" s="1">
        <v>0</v>
      </c>
      <c r="AO60" s="1">
        <v>1</v>
      </c>
      <c r="AP60" s="1">
        <v>0</v>
      </c>
    </row>
    <row r="61" spans="1:42" x14ac:dyDescent="0.35">
      <c r="A61">
        <v>60</v>
      </c>
      <c r="B61" s="83">
        <v>43466</v>
      </c>
      <c r="C61" s="92" t="s">
        <v>32</v>
      </c>
      <c r="D61" s="92" t="s">
        <v>106</v>
      </c>
      <c r="E61" s="92" t="s">
        <v>20</v>
      </c>
      <c r="F61" s="92" t="s">
        <v>395</v>
      </c>
      <c r="G61" s="92" t="s">
        <v>21</v>
      </c>
      <c r="H61" s="92" t="s">
        <v>42</v>
      </c>
      <c r="I61" s="92" t="s">
        <v>42</v>
      </c>
      <c r="J61" s="1">
        <v>1</v>
      </c>
      <c r="K61" s="1">
        <v>1</v>
      </c>
      <c r="M61" s="1">
        <v>0</v>
      </c>
      <c r="N61" s="1">
        <v>1</v>
      </c>
      <c r="Q61" s="92"/>
      <c r="R61" s="92"/>
      <c r="S61" s="92"/>
      <c r="T61" s="92"/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1</v>
      </c>
      <c r="AI61" s="1">
        <v>1</v>
      </c>
      <c r="AJ61" s="1">
        <v>1</v>
      </c>
      <c r="AK61" s="1">
        <v>0</v>
      </c>
      <c r="AL61" s="1">
        <v>0</v>
      </c>
      <c r="AM61" s="1">
        <v>0</v>
      </c>
      <c r="AN61" s="1">
        <v>0</v>
      </c>
      <c r="AO61" s="1">
        <v>1</v>
      </c>
      <c r="AP61" s="1">
        <v>0</v>
      </c>
    </row>
    <row r="62" spans="1:42" x14ac:dyDescent="0.35">
      <c r="A62">
        <v>61</v>
      </c>
      <c r="B62" s="83">
        <v>43466</v>
      </c>
      <c r="C62" s="92" t="s">
        <v>32</v>
      </c>
      <c r="D62" s="92" t="s">
        <v>106</v>
      </c>
      <c r="E62" s="92" t="s">
        <v>20</v>
      </c>
      <c r="F62" s="92" t="s">
        <v>395</v>
      </c>
      <c r="G62" s="92" t="s">
        <v>45</v>
      </c>
      <c r="H62" s="92" t="s">
        <v>28</v>
      </c>
      <c r="I62" s="92" t="s">
        <v>37</v>
      </c>
      <c r="J62" s="1">
        <v>1</v>
      </c>
      <c r="K62" s="1">
        <v>1</v>
      </c>
      <c r="M62" s="1">
        <v>0</v>
      </c>
      <c r="N62" s="1">
        <v>1</v>
      </c>
      <c r="Q62" s="92"/>
      <c r="R62" s="92"/>
      <c r="S62" s="92"/>
      <c r="T62" s="92"/>
      <c r="X62" s="1">
        <v>1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1</v>
      </c>
      <c r="AI62" s="1">
        <v>1</v>
      </c>
      <c r="AJ62" s="1">
        <v>1</v>
      </c>
      <c r="AK62" s="1">
        <v>0</v>
      </c>
      <c r="AL62" s="1">
        <v>0</v>
      </c>
      <c r="AM62" s="1">
        <v>0</v>
      </c>
      <c r="AN62" s="1">
        <v>0</v>
      </c>
      <c r="AO62" s="1">
        <v>1</v>
      </c>
      <c r="AP62" s="1">
        <v>0</v>
      </c>
    </row>
    <row r="63" spans="1:42" x14ac:dyDescent="0.35">
      <c r="A63">
        <v>62</v>
      </c>
      <c r="B63" s="83">
        <v>43466</v>
      </c>
      <c r="C63" s="92" t="s">
        <v>32</v>
      </c>
      <c r="D63" s="92" t="s">
        <v>106</v>
      </c>
      <c r="E63" s="92" t="s">
        <v>20</v>
      </c>
      <c r="F63" s="92" t="s">
        <v>395</v>
      </c>
      <c r="G63" s="92" t="s">
        <v>45</v>
      </c>
      <c r="H63" s="92" t="s">
        <v>28</v>
      </c>
      <c r="I63" s="92" t="s">
        <v>48</v>
      </c>
      <c r="J63" s="1">
        <v>1</v>
      </c>
      <c r="K63" s="1">
        <v>1</v>
      </c>
      <c r="M63" s="1">
        <v>0</v>
      </c>
      <c r="N63" s="1">
        <v>1</v>
      </c>
      <c r="Q63" s="92"/>
      <c r="R63" s="92"/>
      <c r="S63" s="92"/>
      <c r="T63" s="92"/>
      <c r="X63" s="1">
        <v>1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1</v>
      </c>
      <c r="AI63" s="1">
        <v>1</v>
      </c>
      <c r="AJ63" s="1">
        <v>1</v>
      </c>
      <c r="AK63" s="1">
        <v>0</v>
      </c>
      <c r="AL63" s="1">
        <v>0</v>
      </c>
      <c r="AM63" s="1">
        <v>0</v>
      </c>
      <c r="AN63" s="1">
        <v>0</v>
      </c>
      <c r="AO63" s="1">
        <v>1</v>
      </c>
      <c r="AP63" s="1">
        <v>0</v>
      </c>
    </row>
    <row r="64" spans="1:42" x14ac:dyDescent="0.35">
      <c r="A64">
        <v>63</v>
      </c>
      <c r="B64" s="83">
        <v>43466</v>
      </c>
      <c r="C64" s="92" t="s">
        <v>32</v>
      </c>
      <c r="D64" s="92" t="s">
        <v>106</v>
      </c>
      <c r="E64" s="92" t="s">
        <v>20</v>
      </c>
      <c r="F64" s="92" t="s">
        <v>395</v>
      </c>
      <c r="G64" s="92" t="s">
        <v>45</v>
      </c>
      <c r="H64" s="92" t="s">
        <v>28</v>
      </c>
      <c r="I64" s="92" t="s">
        <v>56</v>
      </c>
      <c r="J64" s="1">
        <v>1</v>
      </c>
      <c r="K64" s="1">
        <v>1</v>
      </c>
      <c r="M64" s="1">
        <v>0</v>
      </c>
      <c r="N64" s="1">
        <v>1</v>
      </c>
      <c r="Q64" s="92"/>
      <c r="R64" s="92"/>
      <c r="S64" s="92"/>
      <c r="T64" s="92"/>
      <c r="X64" s="1">
        <v>1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1</v>
      </c>
      <c r="AI64" s="1">
        <v>1</v>
      </c>
      <c r="AJ64" s="1">
        <v>1</v>
      </c>
      <c r="AK64" s="1">
        <v>0</v>
      </c>
      <c r="AL64" s="1">
        <v>0</v>
      </c>
      <c r="AM64" s="1">
        <v>0</v>
      </c>
      <c r="AN64" s="1">
        <v>0</v>
      </c>
      <c r="AO64" s="1">
        <v>1</v>
      </c>
      <c r="AP64" s="1">
        <v>0</v>
      </c>
    </row>
    <row r="65" spans="1:42" x14ac:dyDescent="0.35">
      <c r="A65">
        <v>64</v>
      </c>
      <c r="B65" s="83">
        <v>43466</v>
      </c>
      <c r="C65" s="92" t="s">
        <v>32</v>
      </c>
      <c r="D65" s="92" t="s">
        <v>106</v>
      </c>
      <c r="E65" s="92" t="s">
        <v>20</v>
      </c>
      <c r="F65" s="92" t="s">
        <v>395</v>
      </c>
      <c r="G65" s="92" t="s">
        <v>45</v>
      </c>
      <c r="H65" s="92" t="s">
        <v>28</v>
      </c>
      <c r="I65" s="92" t="s">
        <v>381</v>
      </c>
      <c r="J65" s="1">
        <v>1</v>
      </c>
      <c r="K65" s="1">
        <v>1</v>
      </c>
      <c r="M65" s="1">
        <v>0</v>
      </c>
      <c r="N65" s="1">
        <v>1</v>
      </c>
      <c r="Q65" s="92"/>
      <c r="R65" s="92"/>
      <c r="S65" s="92"/>
      <c r="T65" s="92"/>
      <c r="X65" s="1">
        <v>1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1</v>
      </c>
      <c r="AI65" s="1">
        <v>1</v>
      </c>
      <c r="AJ65" s="1">
        <v>1</v>
      </c>
      <c r="AK65" s="1">
        <v>0</v>
      </c>
      <c r="AL65" s="1">
        <v>0</v>
      </c>
      <c r="AM65" s="1">
        <v>0</v>
      </c>
      <c r="AN65" s="1">
        <v>0</v>
      </c>
      <c r="AO65" s="1">
        <v>1</v>
      </c>
      <c r="AP65" s="1">
        <v>0</v>
      </c>
    </row>
    <row r="66" spans="1:42" x14ac:dyDescent="0.35">
      <c r="A66">
        <v>65</v>
      </c>
      <c r="B66" s="83">
        <v>43466</v>
      </c>
      <c r="C66" s="92" t="s">
        <v>32</v>
      </c>
      <c r="D66" s="92" t="s">
        <v>106</v>
      </c>
      <c r="E66" s="92" t="s">
        <v>20</v>
      </c>
      <c r="F66" s="92" t="s">
        <v>395</v>
      </c>
      <c r="G66" s="92" t="s">
        <v>45</v>
      </c>
      <c r="H66" s="92" t="s">
        <v>29</v>
      </c>
      <c r="I66" s="92" t="s">
        <v>38</v>
      </c>
      <c r="J66" s="1">
        <v>1</v>
      </c>
      <c r="K66" s="1">
        <v>1</v>
      </c>
      <c r="M66" s="1">
        <v>0</v>
      </c>
      <c r="N66" s="1">
        <v>1</v>
      </c>
      <c r="Q66" s="92"/>
      <c r="R66" s="92"/>
      <c r="S66" s="92"/>
      <c r="T66" s="92"/>
      <c r="X66" s="1">
        <v>0</v>
      </c>
      <c r="Y66" s="1">
        <v>1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1</v>
      </c>
      <c r="AI66" s="1">
        <v>1</v>
      </c>
      <c r="AJ66" s="1">
        <v>1</v>
      </c>
      <c r="AK66" s="1">
        <v>0</v>
      </c>
      <c r="AL66" s="1">
        <v>0</v>
      </c>
      <c r="AM66" s="1">
        <v>0</v>
      </c>
      <c r="AN66" s="1">
        <v>0</v>
      </c>
      <c r="AO66" s="1">
        <v>1</v>
      </c>
      <c r="AP66" s="1">
        <v>0</v>
      </c>
    </row>
    <row r="67" spans="1:42" x14ac:dyDescent="0.35">
      <c r="A67">
        <v>66</v>
      </c>
      <c r="B67" s="83">
        <v>43466</v>
      </c>
      <c r="C67" s="92" t="s">
        <v>32</v>
      </c>
      <c r="D67" s="92" t="s">
        <v>106</v>
      </c>
      <c r="E67" s="92" t="s">
        <v>20</v>
      </c>
      <c r="F67" s="92" t="s">
        <v>395</v>
      </c>
      <c r="G67" s="92" t="s">
        <v>45</v>
      </c>
      <c r="H67" s="92" t="s">
        <v>29</v>
      </c>
      <c r="I67" s="92" t="s">
        <v>49</v>
      </c>
      <c r="J67" s="1">
        <v>1</v>
      </c>
      <c r="K67" s="1">
        <v>1</v>
      </c>
      <c r="M67" s="1">
        <v>0</v>
      </c>
      <c r="N67" s="1">
        <v>1</v>
      </c>
      <c r="Q67" s="92"/>
      <c r="R67" s="92"/>
      <c r="S67" s="92"/>
      <c r="T67" s="92"/>
      <c r="X67" s="1">
        <v>0</v>
      </c>
      <c r="Y67" s="1">
        <v>1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1</v>
      </c>
      <c r="AI67" s="1">
        <v>1</v>
      </c>
      <c r="AJ67" s="1">
        <v>1</v>
      </c>
      <c r="AK67" s="1">
        <v>0</v>
      </c>
      <c r="AL67" s="1">
        <v>0</v>
      </c>
      <c r="AM67" s="1">
        <v>0</v>
      </c>
      <c r="AN67" s="1">
        <v>0</v>
      </c>
      <c r="AO67" s="1">
        <v>1</v>
      </c>
      <c r="AP67" s="1">
        <v>0</v>
      </c>
    </row>
    <row r="68" spans="1:42" x14ac:dyDescent="0.35">
      <c r="A68">
        <v>67</v>
      </c>
      <c r="B68" s="83">
        <v>43466</v>
      </c>
      <c r="C68" s="92" t="s">
        <v>32</v>
      </c>
      <c r="D68" s="92" t="s">
        <v>106</v>
      </c>
      <c r="E68" s="92" t="s">
        <v>20</v>
      </c>
      <c r="F68" s="92" t="s">
        <v>395</v>
      </c>
      <c r="G68" s="92" t="s">
        <v>45</v>
      </c>
      <c r="H68" s="92" t="s">
        <v>29</v>
      </c>
      <c r="I68" s="92" t="s">
        <v>57</v>
      </c>
      <c r="J68" s="1">
        <v>1</v>
      </c>
      <c r="K68" s="1">
        <v>1</v>
      </c>
      <c r="M68" s="1">
        <v>0</v>
      </c>
      <c r="N68" s="1">
        <v>1</v>
      </c>
      <c r="Q68" s="92"/>
      <c r="R68" s="92"/>
      <c r="S68" s="92"/>
      <c r="T68" s="92"/>
      <c r="X68" s="1">
        <v>0</v>
      </c>
      <c r="Y68" s="1">
        <v>1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1</v>
      </c>
      <c r="AI68" s="1">
        <v>1</v>
      </c>
      <c r="AJ68" s="1">
        <v>1</v>
      </c>
      <c r="AK68" s="1">
        <v>0</v>
      </c>
      <c r="AL68" s="1">
        <v>0</v>
      </c>
      <c r="AM68" s="1">
        <v>0</v>
      </c>
      <c r="AN68" s="1">
        <v>0</v>
      </c>
      <c r="AO68" s="1">
        <v>1</v>
      </c>
      <c r="AP68" s="1">
        <v>0</v>
      </c>
    </row>
    <row r="69" spans="1:42" x14ac:dyDescent="0.35">
      <c r="A69">
        <v>68</v>
      </c>
      <c r="B69" s="83">
        <v>43466</v>
      </c>
      <c r="C69" s="92" t="s">
        <v>32</v>
      </c>
      <c r="D69" s="92" t="s">
        <v>106</v>
      </c>
      <c r="E69" s="92" t="s">
        <v>20</v>
      </c>
      <c r="F69" s="92" t="s">
        <v>395</v>
      </c>
      <c r="G69" s="92" t="s">
        <v>45</v>
      </c>
      <c r="H69" s="92" t="s">
        <v>29</v>
      </c>
      <c r="I69" s="92" t="s">
        <v>62</v>
      </c>
      <c r="J69" s="1">
        <v>1</v>
      </c>
      <c r="K69" s="1">
        <v>1</v>
      </c>
      <c r="M69" s="1">
        <v>0</v>
      </c>
      <c r="N69" s="1">
        <v>1</v>
      </c>
      <c r="Q69" s="92"/>
      <c r="R69" s="92"/>
      <c r="S69" s="92"/>
      <c r="T69" s="92"/>
      <c r="X69" s="1">
        <v>0</v>
      </c>
      <c r="Y69" s="1">
        <v>1</v>
      </c>
      <c r="Z69" s="1">
        <v>0</v>
      </c>
      <c r="AA69" s="1">
        <v>0</v>
      </c>
      <c r="AB69" s="1">
        <v>0</v>
      </c>
      <c r="AC69" s="1">
        <v>0</v>
      </c>
      <c r="AD69" s="1">
        <v>1</v>
      </c>
      <c r="AE69" s="1">
        <v>0</v>
      </c>
      <c r="AF69" s="1">
        <v>0</v>
      </c>
      <c r="AG69" s="1">
        <v>0</v>
      </c>
      <c r="AH69" s="1">
        <v>1</v>
      </c>
      <c r="AI69" s="1">
        <v>1</v>
      </c>
      <c r="AJ69" s="1">
        <v>1</v>
      </c>
      <c r="AK69" s="1">
        <v>0</v>
      </c>
      <c r="AL69" s="1">
        <v>0</v>
      </c>
      <c r="AM69" s="1">
        <v>0</v>
      </c>
      <c r="AN69" s="1">
        <v>0</v>
      </c>
      <c r="AO69" s="1">
        <v>1</v>
      </c>
      <c r="AP69" s="1">
        <v>0</v>
      </c>
    </row>
    <row r="70" spans="1:42" x14ac:dyDescent="0.35">
      <c r="A70">
        <v>69</v>
      </c>
      <c r="B70" s="83">
        <v>43466</v>
      </c>
      <c r="C70" s="92" t="s">
        <v>32</v>
      </c>
      <c r="D70" s="92" t="s">
        <v>106</v>
      </c>
      <c r="E70" s="92" t="s">
        <v>20</v>
      </c>
      <c r="F70" s="92" t="s">
        <v>395</v>
      </c>
      <c r="G70" s="92" t="s">
        <v>45</v>
      </c>
      <c r="H70" s="92" t="s">
        <v>29</v>
      </c>
      <c r="I70" s="92" t="s">
        <v>64</v>
      </c>
      <c r="J70" s="1">
        <v>1</v>
      </c>
      <c r="K70" s="1">
        <v>1</v>
      </c>
      <c r="M70" s="1">
        <v>0</v>
      </c>
      <c r="N70" s="1">
        <v>1</v>
      </c>
      <c r="Q70" s="92"/>
      <c r="R70" s="92"/>
      <c r="S70" s="92"/>
      <c r="T70" s="92"/>
      <c r="X70" s="1">
        <v>0</v>
      </c>
      <c r="Y70" s="1">
        <v>1</v>
      </c>
      <c r="Z70" s="1">
        <v>0</v>
      </c>
      <c r="AA70" s="1">
        <v>0</v>
      </c>
      <c r="AB70" s="1">
        <v>0</v>
      </c>
      <c r="AC70" s="1">
        <v>0</v>
      </c>
      <c r="AD70" s="1">
        <v>1</v>
      </c>
      <c r="AE70" s="1">
        <v>0</v>
      </c>
      <c r="AF70" s="1">
        <v>0</v>
      </c>
      <c r="AG70" s="1">
        <v>0</v>
      </c>
      <c r="AH70" s="1">
        <v>1</v>
      </c>
      <c r="AI70" s="1">
        <v>1</v>
      </c>
      <c r="AJ70" s="1">
        <v>1</v>
      </c>
      <c r="AK70" s="1">
        <v>0</v>
      </c>
      <c r="AL70" s="1">
        <v>0</v>
      </c>
      <c r="AM70" s="1">
        <v>0</v>
      </c>
      <c r="AN70" s="1">
        <v>0</v>
      </c>
      <c r="AO70" s="1">
        <v>1</v>
      </c>
      <c r="AP70" s="1">
        <v>0</v>
      </c>
    </row>
    <row r="71" spans="1:42" x14ac:dyDescent="0.35">
      <c r="A71">
        <v>70</v>
      </c>
      <c r="B71" s="83">
        <v>43466</v>
      </c>
      <c r="C71" s="92" t="s">
        <v>32</v>
      </c>
      <c r="D71" s="92" t="s">
        <v>106</v>
      </c>
      <c r="E71" s="92" t="s">
        <v>20</v>
      </c>
      <c r="F71" s="92" t="s">
        <v>395</v>
      </c>
      <c r="G71" s="92" t="s">
        <v>45</v>
      </c>
      <c r="H71" s="92" t="s">
        <v>29</v>
      </c>
      <c r="I71" s="92" t="s">
        <v>66</v>
      </c>
      <c r="J71" s="1">
        <v>1</v>
      </c>
      <c r="K71" s="1">
        <v>1</v>
      </c>
      <c r="M71" s="1">
        <v>0</v>
      </c>
      <c r="N71" s="1">
        <v>1</v>
      </c>
      <c r="Q71" s="92"/>
      <c r="R71" s="92"/>
      <c r="S71" s="92"/>
      <c r="T71" s="92"/>
      <c r="X71" s="1">
        <v>0</v>
      </c>
      <c r="Y71" s="1">
        <v>1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0</v>
      </c>
      <c r="AG71" s="1">
        <v>0</v>
      </c>
      <c r="AH71" s="1">
        <v>1</v>
      </c>
      <c r="AI71" s="1">
        <v>1</v>
      </c>
      <c r="AJ71" s="1">
        <v>1</v>
      </c>
      <c r="AK71" s="1">
        <v>0</v>
      </c>
      <c r="AL71" s="1">
        <v>0</v>
      </c>
      <c r="AM71" s="1">
        <v>0</v>
      </c>
      <c r="AN71" s="1">
        <v>0</v>
      </c>
      <c r="AO71" s="1">
        <v>1</v>
      </c>
      <c r="AP71" s="1">
        <v>0</v>
      </c>
    </row>
    <row r="72" spans="1:42" x14ac:dyDescent="0.35">
      <c r="A72">
        <v>71</v>
      </c>
      <c r="B72" s="83">
        <v>43466</v>
      </c>
      <c r="C72" s="92" t="s">
        <v>32</v>
      </c>
      <c r="D72" s="92" t="s">
        <v>106</v>
      </c>
      <c r="E72" s="92" t="s">
        <v>20</v>
      </c>
      <c r="F72" s="92" t="s">
        <v>395</v>
      </c>
      <c r="G72" s="92" t="s">
        <v>45</v>
      </c>
      <c r="H72" s="92" t="s">
        <v>290</v>
      </c>
      <c r="I72" s="92" t="s">
        <v>290</v>
      </c>
      <c r="J72" s="1">
        <v>1</v>
      </c>
      <c r="K72" s="1">
        <v>1</v>
      </c>
      <c r="M72" s="1">
        <v>0</v>
      </c>
      <c r="N72" s="1">
        <v>1</v>
      </c>
      <c r="Q72" s="92"/>
      <c r="R72" s="92"/>
      <c r="S72" s="92"/>
      <c r="T72" s="92"/>
      <c r="X72" s="1">
        <v>0</v>
      </c>
      <c r="Y72" s="1">
        <v>0</v>
      </c>
      <c r="Z72" s="1">
        <v>1</v>
      </c>
      <c r="AA72" s="1">
        <v>0</v>
      </c>
      <c r="AB72" s="1">
        <v>0</v>
      </c>
      <c r="AC72" s="1">
        <v>0</v>
      </c>
      <c r="AD72" s="1">
        <v>0</v>
      </c>
      <c r="AE72" s="1">
        <v>0</v>
      </c>
      <c r="AF72" s="1">
        <v>0</v>
      </c>
      <c r="AG72" s="1">
        <v>0</v>
      </c>
      <c r="AH72" s="1">
        <v>1</v>
      </c>
      <c r="AI72" s="1">
        <v>1</v>
      </c>
      <c r="AJ72" s="1">
        <v>1</v>
      </c>
      <c r="AK72" s="1">
        <v>0</v>
      </c>
      <c r="AL72" s="1">
        <v>0</v>
      </c>
      <c r="AM72" s="1">
        <v>0</v>
      </c>
      <c r="AN72" s="1">
        <v>0</v>
      </c>
      <c r="AO72" s="1">
        <v>1</v>
      </c>
      <c r="AP72" s="1">
        <v>0</v>
      </c>
    </row>
    <row r="73" spans="1:42" x14ac:dyDescent="0.35">
      <c r="A73">
        <v>72</v>
      </c>
      <c r="B73" s="83">
        <v>43466</v>
      </c>
      <c r="C73" s="92" t="s">
        <v>32</v>
      </c>
      <c r="D73" s="92" t="s">
        <v>106</v>
      </c>
      <c r="E73" s="92" t="s">
        <v>20</v>
      </c>
      <c r="F73" s="92" t="s">
        <v>395</v>
      </c>
      <c r="G73" s="92" t="s">
        <v>45</v>
      </c>
      <c r="H73" s="92" t="s">
        <v>30</v>
      </c>
      <c r="I73" s="92" t="s">
        <v>40</v>
      </c>
      <c r="J73" s="1">
        <v>1</v>
      </c>
      <c r="K73" s="1">
        <v>1</v>
      </c>
      <c r="M73" s="1">
        <v>0</v>
      </c>
      <c r="N73" s="1">
        <v>1</v>
      </c>
      <c r="Q73" s="92"/>
      <c r="R73" s="92"/>
      <c r="S73" s="92"/>
      <c r="T73" s="92"/>
      <c r="X73" s="1">
        <v>0</v>
      </c>
      <c r="Y73" s="1">
        <v>0</v>
      </c>
      <c r="Z73" s="1">
        <v>0</v>
      </c>
      <c r="AA73" s="1">
        <v>1</v>
      </c>
      <c r="AB73" s="1">
        <v>0</v>
      </c>
      <c r="AC73" s="1">
        <v>0</v>
      </c>
      <c r="AD73" s="1">
        <v>0</v>
      </c>
      <c r="AE73" s="1">
        <v>0</v>
      </c>
      <c r="AF73" s="1">
        <v>0</v>
      </c>
      <c r="AG73" s="1">
        <v>0</v>
      </c>
      <c r="AH73" s="1">
        <v>1</v>
      </c>
      <c r="AI73" s="1">
        <v>1</v>
      </c>
      <c r="AJ73" s="1">
        <v>1</v>
      </c>
      <c r="AK73" s="1">
        <v>0</v>
      </c>
      <c r="AL73" s="1">
        <v>0</v>
      </c>
      <c r="AM73" s="1">
        <v>0</v>
      </c>
      <c r="AN73" s="1">
        <v>0</v>
      </c>
      <c r="AO73" s="1">
        <v>1</v>
      </c>
      <c r="AP73" s="1">
        <v>0</v>
      </c>
    </row>
    <row r="74" spans="1:42" x14ac:dyDescent="0.35">
      <c r="A74">
        <v>73</v>
      </c>
      <c r="B74" s="83">
        <v>43466</v>
      </c>
      <c r="C74" s="92" t="s">
        <v>32</v>
      </c>
      <c r="D74" s="92" t="s">
        <v>106</v>
      </c>
      <c r="E74" s="92" t="s">
        <v>20</v>
      </c>
      <c r="F74" s="92" t="s">
        <v>395</v>
      </c>
      <c r="G74" s="92" t="s">
        <v>45</v>
      </c>
      <c r="H74" s="92" t="s">
        <v>30</v>
      </c>
      <c r="I74" s="92" t="s">
        <v>50</v>
      </c>
      <c r="J74" s="1">
        <v>1</v>
      </c>
      <c r="K74" s="1">
        <v>1</v>
      </c>
      <c r="M74" s="1">
        <v>0</v>
      </c>
      <c r="N74" s="1">
        <v>1</v>
      </c>
      <c r="Q74" s="92"/>
      <c r="R74" s="92"/>
      <c r="S74" s="92"/>
      <c r="T74" s="92"/>
      <c r="X74" s="1">
        <v>0</v>
      </c>
      <c r="Y74" s="1">
        <v>0</v>
      </c>
      <c r="Z74" s="1">
        <v>0</v>
      </c>
      <c r="AA74" s="1">
        <v>1</v>
      </c>
      <c r="AB74" s="1">
        <v>0</v>
      </c>
      <c r="AC74" s="1">
        <v>0</v>
      </c>
      <c r="AD74" s="1">
        <v>0</v>
      </c>
      <c r="AE74" s="1">
        <v>0</v>
      </c>
      <c r="AF74" s="1">
        <v>0</v>
      </c>
      <c r="AG74" s="1">
        <v>0</v>
      </c>
      <c r="AH74" s="1">
        <v>1</v>
      </c>
      <c r="AI74" s="1">
        <v>1</v>
      </c>
      <c r="AJ74" s="1">
        <v>1</v>
      </c>
      <c r="AK74" s="1">
        <v>0</v>
      </c>
      <c r="AL74" s="1">
        <v>0</v>
      </c>
      <c r="AM74" s="1">
        <v>0</v>
      </c>
      <c r="AN74" s="1">
        <v>0</v>
      </c>
      <c r="AO74" s="1">
        <v>1</v>
      </c>
      <c r="AP74" s="1">
        <v>0</v>
      </c>
    </row>
    <row r="75" spans="1:42" x14ac:dyDescent="0.35">
      <c r="A75">
        <v>74</v>
      </c>
      <c r="B75" s="83">
        <v>43466</v>
      </c>
      <c r="C75" s="92" t="s">
        <v>32</v>
      </c>
      <c r="D75" s="92" t="s">
        <v>106</v>
      </c>
      <c r="E75" s="92" t="s">
        <v>20</v>
      </c>
      <c r="F75" s="92" t="s">
        <v>395</v>
      </c>
      <c r="G75" s="92" t="s">
        <v>45</v>
      </c>
      <c r="H75" s="92" t="s">
        <v>72</v>
      </c>
      <c r="I75" s="92" t="s">
        <v>41</v>
      </c>
      <c r="J75" s="1">
        <v>1</v>
      </c>
      <c r="K75" s="1">
        <v>1</v>
      </c>
      <c r="M75" s="1">
        <v>0</v>
      </c>
      <c r="N75" s="1">
        <v>1</v>
      </c>
      <c r="Q75" s="92"/>
      <c r="R75" s="92"/>
      <c r="S75" s="92"/>
      <c r="T75" s="92"/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0</v>
      </c>
      <c r="AE75" s="1">
        <v>0</v>
      </c>
      <c r="AF75" s="1">
        <v>0</v>
      </c>
      <c r="AG75" s="1">
        <v>0</v>
      </c>
      <c r="AH75" s="1">
        <v>1</v>
      </c>
      <c r="AI75" s="1">
        <v>1</v>
      </c>
      <c r="AJ75" s="1">
        <v>1</v>
      </c>
      <c r="AK75" s="1">
        <v>0</v>
      </c>
      <c r="AL75" s="1">
        <v>0</v>
      </c>
      <c r="AM75" s="1">
        <v>0</v>
      </c>
      <c r="AN75" s="1">
        <v>0</v>
      </c>
      <c r="AO75" s="1">
        <v>1</v>
      </c>
      <c r="AP75" s="1">
        <v>0</v>
      </c>
    </row>
    <row r="76" spans="1:42" x14ac:dyDescent="0.35">
      <c r="A76">
        <v>75</v>
      </c>
      <c r="B76" s="83">
        <v>43466</v>
      </c>
      <c r="C76" s="92" t="s">
        <v>32</v>
      </c>
      <c r="D76" s="92" t="s">
        <v>106</v>
      </c>
      <c r="E76" s="92" t="s">
        <v>20</v>
      </c>
      <c r="F76" s="92" t="s">
        <v>395</v>
      </c>
      <c r="G76" s="92" t="s">
        <v>45</v>
      </c>
      <c r="H76" s="92" t="s">
        <v>72</v>
      </c>
      <c r="I76" s="92" t="s">
        <v>51</v>
      </c>
      <c r="J76" s="1">
        <v>1</v>
      </c>
      <c r="K76" s="1">
        <v>1</v>
      </c>
      <c r="M76" s="1">
        <v>0</v>
      </c>
      <c r="N76" s="1">
        <v>1</v>
      </c>
      <c r="Q76" s="92"/>
      <c r="R76" s="92"/>
      <c r="S76" s="92"/>
      <c r="T76" s="92"/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0</v>
      </c>
      <c r="AE76" s="1">
        <v>0</v>
      </c>
      <c r="AF76" s="1">
        <v>0</v>
      </c>
      <c r="AG76" s="1">
        <v>0</v>
      </c>
      <c r="AH76" s="1">
        <v>1</v>
      </c>
      <c r="AI76" s="1">
        <v>1</v>
      </c>
      <c r="AJ76" s="1">
        <v>1</v>
      </c>
      <c r="AK76" s="1">
        <v>0</v>
      </c>
      <c r="AL76" s="1">
        <v>0</v>
      </c>
      <c r="AM76" s="1">
        <v>0</v>
      </c>
      <c r="AN76" s="1">
        <v>0</v>
      </c>
      <c r="AO76" s="1">
        <v>1</v>
      </c>
      <c r="AP76" s="1">
        <v>0</v>
      </c>
    </row>
    <row r="77" spans="1:42" x14ac:dyDescent="0.35">
      <c r="A77">
        <v>76</v>
      </c>
      <c r="B77" s="83">
        <v>43466</v>
      </c>
      <c r="C77" s="92" t="s">
        <v>32</v>
      </c>
      <c r="D77" s="92" t="s">
        <v>106</v>
      </c>
      <c r="E77" s="92" t="s">
        <v>20</v>
      </c>
      <c r="F77" s="92" t="s">
        <v>395</v>
      </c>
      <c r="G77" s="92" t="s">
        <v>45</v>
      </c>
      <c r="H77" s="92" t="s">
        <v>31</v>
      </c>
      <c r="I77" s="92" t="s">
        <v>31</v>
      </c>
      <c r="J77" s="1">
        <v>1</v>
      </c>
      <c r="K77" s="1">
        <v>1</v>
      </c>
      <c r="M77" s="1">
        <v>0</v>
      </c>
      <c r="N77" s="1">
        <v>1</v>
      </c>
      <c r="Q77" s="92"/>
      <c r="R77" s="92"/>
      <c r="S77" s="92"/>
      <c r="T77" s="92"/>
      <c r="X77" s="1">
        <v>0</v>
      </c>
      <c r="Y77" s="1">
        <v>0</v>
      </c>
      <c r="Z77" s="1">
        <v>0</v>
      </c>
      <c r="AA77" s="1">
        <v>0</v>
      </c>
      <c r="AB77" s="1">
        <v>1</v>
      </c>
      <c r="AC77" s="1">
        <v>0</v>
      </c>
      <c r="AD77" s="1">
        <v>0</v>
      </c>
      <c r="AE77" s="1">
        <v>0</v>
      </c>
      <c r="AF77" s="1">
        <v>0</v>
      </c>
      <c r="AG77" s="1">
        <v>0</v>
      </c>
      <c r="AH77" s="1">
        <v>1</v>
      </c>
      <c r="AI77" s="1">
        <v>1</v>
      </c>
      <c r="AJ77" s="1">
        <v>1</v>
      </c>
      <c r="AK77" s="1">
        <v>0</v>
      </c>
      <c r="AL77" s="1">
        <v>0</v>
      </c>
      <c r="AM77" s="1">
        <v>0</v>
      </c>
      <c r="AN77" s="1">
        <v>0</v>
      </c>
      <c r="AO77" s="1">
        <v>1</v>
      </c>
      <c r="AP77" s="1">
        <v>0</v>
      </c>
    </row>
    <row r="78" spans="1:42" x14ac:dyDescent="0.35">
      <c r="A78">
        <v>77</v>
      </c>
      <c r="B78" s="83">
        <v>43466</v>
      </c>
      <c r="C78" s="92" t="s">
        <v>32</v>
      </c>
      <c r="D78" s="92" t="s">
        <v>106</v>
      </c>
      <c r="E78" s="92" t="s">
        <v>20</v>
      </c>
      <c r="F78" s="92" t="s">
        <v>395</v>
      </c>
      <c r="G78" s="92" t="s">
        <v>22</v>
      </c>
      <c r="H78" s="92" t="s">
        <v>101</v>
      </c>
      <c r="I78" s="92" t="s">
        <v>104</v>
      </c>
      <c r="J78" s="1">
        <v>1</v>
      </c>
      <c r="K78" s="1">
        <v>1</v>
      </c>
      <c r="M78" s="1">
        <v>0</v>
      </c>
      <c r="N78" s="1">
        <v>1</v>
      </c>
      <c r="Q78" s="92"/>
      <c r="R78" s="92"/>
      <c r="S78" s="92"/>
      <c r="T78" s="92"/>
      <c r="X78" s="1">
        <v>1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">
        <v>1</v>
      </c>
      <c r="AI78" s="1">
        <v>1</v>
      </c>
      <c r="AJ78" s="1">
        <v>1</v>
      </c>
      <c r="AK78" s="1">
        <v>0</v>
      </c>
      <c r="AL78" s="1">
        <v>0</v>
      </c>
      <c r="AM78" s="1">
        <v>0</v>
      </c>
      <c r="AN78" s="1">
        <v>0</v>
      </c>
      <c r="AO78" s="1">
        <v>1</v>
      </c>
      <c r="AP78" s="1">
        <v>0</v>
      </c>
    </row>
    <row r="79" spans="1:42" x14ac:dyDescent="0.35">
      <c r="A79">
        <v>78</v>
      </c>
      <c r="B79" s="83">
        <v>43466</v>
      </c>
      <c r="C79" s="92" t="s">
        <v>32</v>
      </c>
      <c r="D79" s="92" t="s">
        <v>106</v>
      </c>
      <c r="E79" s="92" t="s">
        <v>20</v>
      </c>
      <c r="F79" s="92" t="s">
        <v>395</v>
      </c>
      <c r="G79" s="92" t="s">
        <v>22</v>
      </c>
      <c r="H79" s="92" t="s">
        <v>101</v>
      </c>
      <c r="I79" s="92" t="s">
        <v>56</v>
      </c>
      <c r="J79" s="1">
        <v>1</v>
      </c>
      <c r="K79" s="1">
        <v>1</v>
      </c>
      <c r="M79" s="1">
        <v>0</v>
      </c>
      <c r="N79" s="1">
        <v>1</v>
      </c>
      <c r="Q79" s="92"/>
      <c r="R79" s="92"/>
      <c r="S79" s="92"/>
      <c r="T79" s="92"/>
      <c r="X79" s="1">
        <v>1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1</v>
      </c>
      <c r="AI79" s="1">
        <v>1</v>
      </c>
      <c r="AJ79" s="1">
        <v>1</v>
      </c>
      <c r="AK79" s="1">
        <v>0</v>
      </c>
      <c r="AL79" s="1">
        <v>0</v>
      </c>
      <c r="AM79" s="1">
        <v>0</v>
      </c>
      <c r="AN79" s="1">
        <v>0</v>
      </c>
      <c r="AO79" s="1">
        <v>1</v>
      </c>
      <c r="AP79" s="1">
        <v>0</v>
      </c>
    </row>
    <row r="80" spans="1:42" x14ac:dyDescent="0.35">
      <c r="A80">
        <v>79</v>
      </c>
      <c r="B80" s="83">
        <v>43466</v>
      </c>
      <c r="C80" s="92" t="s">
        <v>32</v>
      </c>
      <c r="D80" s="92" t="s">
        <v>106</v>
      </c>
      <c r="E80" s="92" t="s">
        <v>20</v>
      </c>
      <c r="F80" s="92" t="s">
        <v>395</v>
      </c>
      <c r="G80" s="92" t="s">
        <v>22</v>
      </c>
      <c r="H80" s="92" t="s">
        <v>101</v>
      </c>
      <c r="I80" s="92" t="s">
        <v>105</v>
      </c>
      <c r="J80" s="1">
        <v>1</v>
      </c>
      <c r="K80" s="1">
        <v>1</v>
      </c>
      <c r="M80" s="1">
        <v>0</v>
      </c>
      <c r="N80" s="1">
        <v>1</v>
      </c>
      <c r="Q80" s="92"/>
      <c r="R80" s="92"/>
      <c r="S80" s="92"/>
      <c r="T80" s="92"/>
      <c r="X80" s="1">
        <v>1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1</v>
      </c>
      <c r="AI80" s="1">
        <v>1</v>
      </c>
      <c r="AJ80" s="1">
        <v>1</v>
      </c>
      <c r="AK80" s="1">
        <v>0</v>
      </c>
      <c r="AL80" s="1">
        <v>0</v>
      </c>
      <c r="AM80" s="1">
        <v>0</v>
      </c>
      <c r="AN80" s="1">
        <v>0</v>
      </c>
      <c r="AO80" s="1">
        <v>1</v>
      </c>
      <c r="AP80" s="1">
        <v>0</v>
      </c>
    </row>
    <row r="81" spans="1:42" x14ac:dyDescent="0.35">
      <c r="A81">
        <v>80</v>
      </c>
      <c r="B81" s="83">
        <v>43466</v>
      </c>
      <c r="C81" s="92" t="s">
        <v>32</v>
      </c>
      <c r="D81" s="92" t="s">
        <v>109</v>
      </c>
      <c r="E81" s="92" t="s">
        <v>108</v>
      </c>
      <c r="F81" s="92" t="s">
        <v>395</v>
      </c>
      <c r="G81" s="92"/>
      <c r="H81" s="92" t="s">
        <v>28</v>
      </c>
      <c r="I81" s="92" t="s">
        <v>104</v>
      </c>
      <c r="J81" s="1">
        <v>1</v>
      </c>
      <c r="K81" s="1">
        <v>1</v>
      </c>
      <c r="L81" s="1">
        <v>1</v>
      </c>
      <c r="N81" s="1">
        <v>1</v>
      </c>
      <c r="O81" s="1">
        <v>1</v>
      </c>
      <c r="Q81" s="92"/>
      <c r="R81" s="92"/>
      <c r="S81" s="92"/>
      <c r="T81" s="92"/>
      <c r="X81" s="1">
        <v>1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</row>
    <row r="82" spans="1:42" x14ac:dyDescent="0.35">
      <c r="A82">
        <v>81</v>
      </c>
      <c r="B82" s="83">
        <v>43466</v>
      </c>
      <c r="C82" s="92" t="s">
        <v>32</v>
      </c>
      <c r="D82" s="92" t="s">
        <v>109</v>
      </c>
      <c r="E82" s="92" t="s">
        <v>108</v>
      </c>
      <c r="F82" s="92" t="s">
        <v>395</v>
      </c>
      <c r="G82" s="92"/>
      <c r="H82" s="92" t="s">
        <v>28</v>
      </c>
      <c r="I82" s="92" t="s">
        <v>56</v>
      </c>
      <c r="J82" s="1">
        <v>1</v>
      </c>
      <c r="K82" s="1">
        <v>1</v>
      </c>
      <c r="L82" s="1">
        <v>1</v>
      </c>
      <c r="N82" s="1">
        <v>1</v>
      </c>
      <c r="O82" s="1">
        <v>1</v>
      </c>
      <c r="Q82" s="92"/>
      <c r="R82" s="92"/>
      <c r="S82" s="92"/>
      <c r="T82" s="92"/>
      <c r="X82" s="1">
        <v>1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</row>
    <row r="83" spans="1:42" x14ac:dyDescent="0.35">
      <c r="A83">
        <v>82</v>
      </c>
      <c r="B83" s="83">
        <v>43466</v>
      </c>
      <c r="C83" s="92" t="s">
        <v>32</v>
      </c>
      <c r="D83" s="92" t="s">
        <v>109</v>
      </c>
      <c r="E83" s="92" t="s">
        <v>108</v>
      </c>
      <c r="F83" s="92" t="s">
        <v>395</v>
      </c>
      <c r="G83" s="92"/>
      <c r="H83" s="92" t="s">
        <v>28</v>
      </c>
      <c r="I83" s="92" t="s">
        <v>48</v>
      </c>
      <c r="J83" s="1">
        <v>1</v>
      </c>
      <c r="K83" s="1">
        <v>1</v>
      </c>
      <c r="L83" s="1">
        <v>1</v>
      </c>
      <c r="N83" s="1">
        <v>1</v>
      </c>
      <c r="O83" s="1">
        <v>1</v>
      </c>
      <c r="Q83" s="92"/>
      <c r="R83" s="92"/>
      <c r="S83" s="92"/>
      <c r="T83" s="92"/>
      <c r="X83" s="1">
        <v>1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</row>
    <row r="84" spans="1:42" x14ac:dyDescent="0.35">
      <c r="A84">
        <v>83</v>
      </c>
      <c r="B84" s="83">
        <v>43466</v>
      </c>
      <c r="C84" s="92" t="s">
        <v>32</v>
      </c>
      <c r="D84" s="92" t="s">
        <v>109</v>
      </c>
      <c r="E84" s="92" t="s">
        <v>108</v>
      </c>
      <c r="F84" s="92" t="s">
        <v>395</v>
      </c>
      <c r="G84" s="92"/>
      <c r="H84" s="92" t="s">
        <v>28</v>
      </c>
      <c r="I84" s="92" t="s">
        <v>37</v>
      </c>
      <c r="J84" s="1">
        <v>1</v>
      </c>
      <c r="K84" s="1">
        <v>1</v>
      </c>
      <c r="L84" s="1">
        <v>1</v>
      </c>
      <c r="N84" s="1">
        <v>1</v>
      </c>
      <c r="O84" s="1">
        <v>1</v>
      </c>
      <c r="Q84" s="92"/>
      <c r="R84" s="92"/>
      <c r="S84" s="92"/>
      <c r="T84" s="92"/>
      <c r="X84" s="1">
        <v>1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</row>
    <row r="85" spans="1:42" x14ac:dyDescent="0.35">
      <c r="A85">
        <v>84</v>
      </c>
      <c r="B85" s="83">
        <v>43466</v>
      </c>
      <c r="C85" s="92" t="s">
        <v>32</v>
      </c>
      <c r="D85" s="92" t="s">
        <v>109</v>
      </c>
      <c r="E85" s="92" t="s">
        <v>108</v>
      </c>
      <c r="F85" s="92" t="s">
        <v>395</v>
      </c>
      <c r="G85" s="92"/>
      <c r="H85" s="92" t="s">
        <v>29</v>
      </c>
      <c r="I85" s="92" t="s">
        <v>77</v>
      </c>
      <c r="J85" s="1">
        <v>1</v>
      </c>
      <c r="K85" s="1">
        <v>1</v>
      </c>
      <c r="L85" s="1">
        <v>1</v>
      </c>
      <c r="N85" s="1">
        <v>1</v>
      </c>
      <c r="O85" s="1">
        <v>1</v>
      </c>
      <c r="Q85" s="92"/>
      <c r="R85" s="92"/>
      <c r="S85" s="92"/>
      <c r="T85" s="92"/>
      <c r="X85" s="1">
        <v>0</v>
      </c>
      <c r="Y85" s="1">
        <v>1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</row>
    <row r="86" spans="1:42" x14ac:dyDescent="0.35">
      <c r="A86">
        <v>85</v>
      </c>
      <c r="B86" s="83">
        <v>43466</v>
      </c>
      <c r="C86" s="92" t="s">
        <v>32</v>
      </c>
      <c r="D86" s="92" t="s">
        <v>109</v>
      </c>
      <c r="E86" s="92" t="s">
        <v>108</v>
      </c>
      <c r="F86" s="92" t="s">
        <v>395</v>
      </c>
      <c r="G86" s="92"/>
      <c r="H86" s="92" t="s">
        <v>29</v>
      </c>
      <c r="I86" s="92" t="s">
        <v>71</v>
      </c>
      <c r="J86" s="1">
        <v>1</v>
      </c>
      <c r="K86" s="1">
        <v>1</v>
      </c>
      <c r="L86" s="1">
        <v>1</v>
      </c>
      <c r="N86" s="1">
        <v>1</v>
      </c>
      <c r="O86" s="1">
        <v>1</v>
      </c>
      <c r="Q86" s="92"/>
      <c r="R86" s="92"/>
      <c r="S86" s="92"/>
      <c r="T86" s="92"/>
      <c r="X86" s="1">
        <v>0</v>
      </c>
      <c r="Y86" s="1">
        <v>1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</row>
    <row r="87" spans="1:42" x14ac:dyDescent="0.35">
      <c r="A87">
        <v>86</v>
      </c>
      <c r="B87" s="83">
        <v>43466</v>
      </c>
      <c r="C87" s="92" t="s">
        <v>32</v>
      </c>
      <c r="D87" s="92" t="s">
        <v>109</v>
      </c>
      <c r="E87" s="92" t="s">
        <v>108</v>
      </c>
      <c r="F87" s="92" t="s">
        <v>395</v>
      </c>
      <c r="G87" s="92"/>
      <c r="H87" s="92" t="s">
        <v>29</v>
      </c>
      <c r="I87" s="92" t="s">
        <v>80</v>
      </c>
      <c r="J87" s="1">
        <v>1</v>
      </c>
      <c r="K87" s="1">
        <v>1</v>
      </c>
      <c r="L87" s="1">
        <v>1</v>
      </c>
      <c r="N87" s="1">
        <v>1</v>
      </c>
      <c r="O87" s="1">
        <v>1</v>
      </c>
      <c r="Q87" s="92"/>
      <c r="R87" s="92"/>
      <c r="S87" s="92"/>
      <c r="T87" s="92"/>
      <c r="X87" s="1">
        <v>0</v>
      </c>
      <c r="Y87" s="1">
        <v>1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</row>
    <row r="88" spans="1:42" x14ac:dyDescent="0.35">
      <c r="A88">
        <v>87</v>
      </c>
      <c r="B88" s="83">
        <v>43466</v>
      </c>
      <c r="C88" s="92" t="s">
        <v>32</v>
      </c>
      <c r="D88" s="92" t="s">
        <v>109</v>
      </c>
      <c r="E88" s="92" t="s">
        <v>108</v>
      </c>
      <c r="F88" s="92" t="s">
        <v>395</v>
      </c>
      <c r="G88" s="92"/>
      <c r="H88" s="92" t="s">
        <v>290</v>
      </c>
      <c r="I88" s="92" t="s">
        <v>43</v>
      </c>
      <c r="J88" s="1">
        <v>1</v>
      </c>
      <c r="K88" s="1">
        <v>1</v>
      </c>
      <c r="L88" s="1">
        <v>1</v>
      </c>
      <c r="N88" s="1">
        <v>1</v>
      </c>
      <c r="O88" s="1">
        <v>1</v>
      </c>
      <c r="Q88" s="92"/>
      <c r="R88" s="92"/>
      <c r="S88" s="92"/>
      <c r="T88" s="92"/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</row>
    <row r="89" spans="1:42" x14ac:dyDescent="0.35">
      <c r="A89">
        <v>88</v>
      </c>
      <c r="B89" s="83">
        <v>43466</v>
      </c>
      <c r="C89" s="92" t="s">
        <v>32</v>
      </c>
      <c r="D89" s="92" t="s">
        <v>109</v>
      </c>
      <c r="E89" s="92" t="s">
        <v>108</v>
      </c>
      <c r="F89" s="92" t="s">
        <v>395</v>
      </c>
      <c r="G89" s="92"/>
      <c r="H89" s="92" t="s">
        <v>290</v>
      </c>
      <c r="I89" s="92" t="s">
        <v>78</v>
      </c>
      <c r="J89" s="1">
        <v>1</v>
      </c>
      <c r="K89" s="1">
        <v>1</v>
      </c>
      <c r="L89" s="1">
        <v>1</v>
      </c>
      <c r="N89" s="1">
        <v>1</v>
      </c>
      <c r="O89" s="1">
        <v>1</v>
      </c>
      <c r="Q89" s="92"/>
      <c r="R89" s="92"/>
      <c r="S89" s="92"/>
      <c r="T89" s="92"/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</row>
    <row r="90" spans="1:42" x14ac:dyDescent="0.35">
      <c r="A90">
        <v>89</v>
      </c>
      <c r="B90" s="83">
        <v>43466</v>
      </c>
      <c r="C90" s="92" t="s">
        <v>32</v>
      </c>
      <c r="D90" s="92" t="s">
        <v>109</v>
      </c>
      <c r="E90" s="92" t="s">
        <v>108</v>
      </c>
      <c r="F90" s="92" t="s">
        <v>395</v>
      </c>
      <c r="G90" s="92"/>
      <c r="H90" s="92" t="s">
        <v>290</v>
      </c>
      <c r="I90" s="92" t="s">
        <v>79</v>
      </c>
      <c r="J90" s="1">
        <v>1</v>
      </c>
      <c r="K90" s="1">
        <v>1</v>
      </c>
      <c r="L90" s="1">
        <v>1</v>
      </c>
      <c r="N90" s="1">
        <v>1</v>
      </c>
      <c r="O90" s="1">
        <v>1</v>
      </c>
      <c r="Q90" s="92"/>
      <c r="R90" s="92"/>
      <c r="S90" s="92"/>
      <c r="T90" s="92"/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</row>
    <row r="91" spans="1:42" x14ac:dyDescent="0.35">
      <c r="A91">
        <v>90</v>
      </c>
      <c r="B91" s="83">
        <v>43466</v>
      </c>
      <c r="C91" s="92" t="s">
        <v>32</v>
      </c>
      <c r="D91" s="92" t="s">
        <v>109</v>
      </c>
      <c r="E91" s="92" t="s">
        <v>108</v>
      </c>
      <c r="F91" s="92" t="s">
        <v>395</v>
      </c>
      <c r="G91" s="92"/>
      <c r="H91" s="92" t="s">
        <v>290</v>
      </c>
      <c r="I91" s="92" t="s">
        <v>39</v>
      </c>
      <c r="J91" s="1">
        <v>1</v>
      </c>
      <c r="K91" s="1">
        <v>1</v>
      </c>
      <c r="L91" s="1">
        <v>1</v>
      </c>
      <c r="N91" s="1">
        <v>1</v>
      </c>
      <c r="O91" s="1">
        <v>1</v>
      </c>
      <c r="Q91" s="92"/>
      <c r="R91" s="92"/>
      <c r="S91" s="92"/>
      <c r="T91" s="92"/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</row>
    <row r="92" spans="1:42" x14ac:dyDescent="0.35">
      <c r="A92">
        <v>91</v>
      </c>
      <c r="B92" s="83">
        <v>43466</v>
      </c>
      <c r="C92" s="92" t="s">
        <v>32</v>
      </c>
      <c r="D92" s="92" t="s">
        <v>109</v>
      </c>
      <c r="E92" s="92" t="s">
        <v>108</v>
      </c>
      <c r="F92" s="92" t="s">
        <v>395</v>
      </c>
      <c r="G92" s="92"/>
      <c r="H92" s="92" t="s">
        <v>290</v>
      </c>
      <c r="I92" s="92" t="s">
        <v>81</v>
      </c>
      <c r="J92" s="1">
        <v>1</v>
      </c>
      <c r="K92" s="1">
        <v>1</v>
      </c>
      <c r="L92" s="1">
        <v>1</v>
      </c>
      <c r="N92" s="1">
        <v>1</v>
      </c>
      <c r="O92" s="1">
        <v>1</v>
      </c>
      <c r="Q92" s="92"/>
      <c r="R92" s="92"/>
      <c r="S92" s="92"/>
      <c r="T92" s="92"/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1">
        <v>0</v>
      </c>
    </row>
    <row r="93" spans="1:42" x14ac:dyDescent="0.35">
      <c r="A93">
        <v>92</v>
      </c>
      <c r="B93" s="83">
        <v>43466</v>
      </c>
      <c r="C93" s="92" t="s">
        <v>32</v>
      </c>
      <c r="D93" s="92" t="s">
        <v>109</v>
      </c>
      <c r="E93" s="92" t="s">
        <v>108</v>
      </c>
      <c r="F93" s="92" t="s">
        <v>395</v>
      </c>
      <c r="G93" s="92"/>
      <c r="H93" s="92" t="s">
        <v>30</v>
      </c>
      <c r="I93" s="92" t="s">
        <v>30</v>
      </c>
      <c r="J93" s="1">
        <v>1</v>
      </c>
      <c r="K93" s="1">
        <v>1</v>
      </c>
      <c r="L93" s="1">
        <v>1</v>
      </c>
      <c r="N93" s="1">
        <v>1</v>
      </c>
      <c r="O93" s="1">
        <v>1</v>
      </c>
      <c r="Q93" s="92"/>
      <c r="R93" s="92"/>
      <c r="S93" s="92"/>
      <c r="T93" s="92"/>
      <c r="X93" s="1">
        <v>0</v>
      </c>
      <c r="Y93" s="1">
        <v>0</v>
      </c>
      <c r="Z93" s="1">
        <v>0</v>
      </c>
      <c r="AA93" s="1">
        <v>1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0</v>
      </c>
      <c r="AH93" s="1">
        <v>0</v>
      </c>
      <c r="AI93" s="1">
        <v>0</v>
      </c>
      <c r="AJ93" s="1">
        <v>0</v>
      </c>
      <c r="AK93" s="1">
        <v>0</v>
      </c>
      <c r="AL93" s="1">
        <v>0</v>
      </c>
      <c r="AM93" s="1">
        <v>0</v>
      </c>
      <c r="AN93" s="1">
        <v>0</v>
      </c>
      <c r="AO93" s="1">
        <v>0</v>
      </c>
      <c r="AP93" s="1">
        <v>0</v>
      </c>
    </row>
    <row r="94" spans="1:42" x14ac:dyDescent="0.35">
      <c r="A94">
        <v>93</v>
      </c>
      <c r="B94" s="83">
        <v>43466</v>
      </c>
      <c r="C94" s="92" t="s">
        <v>32</v>
      </c>
      <c r="D94" s="92" t="s">
        <v>109</v>
      </c>
      <c r="E94" s="92" t="s">
        <v>108</v>
      </c>
      <c r="F94" s="92" t="s">
        <v>395</v>
      </c>
      <c r="G94" s="92"/>
      <c r="H94" s="92" t="s">
        <v>30</v>
      </c>
      <c r="I94" s="92" t="s">
        <v>50</v>
      </c>
      <c r="J94" s="1">
        <v>1</v>
      </c>
      <c r="K94" s="1">
        <v>1</v>
      </c>
      <c r="L94" s="1">
        <v>1</v>
      </c>
      <c r="N94" s="1">
        <v>1</v>
      </c>
      <c r="O94" s="1">
        <v>1</v>
      </c>
      <c r="Q94" s="92"/>
      <c r="R94" s="92"/>
      <c r="S94" s="92"/>
      <c r="T94" s="92"/>
      <c r="X94" s="1">
        <v>0</v>
      </c>
      <c r="Y94" s="1">
        <v>0</v>
      </c>
      <c r="Z94" s="1">
        <v>0</v>
      </c>
      <c r="AA94" s="1">
        <v>1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1">
        <v>0</v>
      </c>
      <c r="AN94" s="1">
        <v>0</v>
      </c>
      <c r="AO94" s="1">
        <v>0</v>
      </c>
      <c r="AP94" s="1">
        <v>0</v>
      </c>
    </row>
    <row r="95" spans="1:42" x14ac:dyDescent="0.35">
      <c r="A95">
        <v>94</v>
      </c>
      <c r="B95" s="83">
        <v>43466</v>
      </c>
      <c r="C95" s="92" t="s">
        <v>32</v>
      </c>
      <c r="D95" s="92" t="s">
        <v>109</v>
      </c>
      <c r="E95" s="92" t="s">
        <v>108</v>
      </c>
      <c r="F95" s="92" t="s">
        <v>395</v>
      </c>
      <c r="G95" s="92"/>
      <c r="H95" s="92" t="s">
        <v>72</v>
      </c>
      <c r="I95" s="92" t="s">
        <v>72</v>
      </c>
      <c r="J95" s="1">
        <v>1</v>
      </c>
      <c r="K95" s="1">
        <v>1</v>
      </c>
      <c r="L95" s="1">
        <v>1</v>
      </c>
      <c r="N95" s="1">
        <v>1</v>
      </c>
      <c r="O95" s="1">
        <v>1</v>
      </c>
      <c r="Q95" s="92"/>
      <c r="R95" s="92"/>
      <c r="S95" s="92"/>
      <c r="T95" s="92"/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1</v>
      </c>
      <c r="AD95" s="1">
        <v>0</v>
      </c>
      <c r="AE95" s="1">
        <v>0</v>
      </c>
      <c r="AF95" s="1">
        <v>0</v>
      </c>
      <c r="AG95" s="1">
        <v>0</v>
      </c>
      <c r="AH95" s="1">
        <v>0</v>
      </c>
      <c r="AI95" s="1">
        <v>0</v>
      </c>
      <c r="AJ95" s="1">
        <v>0</v>
      </c>
      <c r="AK95" s="1">
        <v>0</v>
      </c>
      <c r="AL95" s="1">
        <v>0</v>
      </c>
      <c r="AM95" s="1">
        <v>0</v>
      </c>
      <c r="AN95" s="1">
        <v>0</v>
      </c>
      <c r="AO95" s="1">
        <v>0</v>
      </c>
      <c r="AP95" s="1">
        <v>0</v>
      </c>
    </row>
    <row r="96" spans="1:42" x14ac:dyDescent="0.35">
      <c r="A96">
        <v>95</v>
      </c>
      <c r="B96" s="83">
        <v>43466</v>
      </c>
      <c r="C96" s="92" t="s">
        <v>32</v>
      </c>
      <c r="D96" s="92" t="s">
        <v>109</v>
      </c>
      <c r="E96" s="92" t="s">
        <v>108</v>
      </c>
      <c r="F96" s="92" t="s">
        <v>395</v>
      </c>
      <c r="G96" s="92"/>
      <c r="H96" s="92" t="s">
        <v>72</v>
      </c>
      <c r="I96" s="92" t="s">
        <v>75</v>
      </c>
      <c r="J96" s="1">
        <v>1</v>
      </c>
      <c r="K96" s="1">
        <v>1</v>
      </c>
      <c r="L96" s="1">
        <v>1</v>
      </c>
      <c r="N96" s="1">
        <v>1</v>
      </c>
      <c r="O96" s="1">
        <v>1</v>
      </c>
      <c r="Q96" s="92"/>
      <c r="R96" s="92"/>
      <c r="S96" s="92"/>
      <c r="T96" s="92"/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1</v>
      </c>
      <c r="AD96" s="1">
        <v>0</v>
      </c>
      <c r="AE96" s="1">
        <v>0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0</v>
      </c>
      <c r="AL96" s="1">
        <v>0</v>
      </c>
      <c r="AM96" s="1">
        <v>0</v>
      </c>
      <c r="AN96" s="1">
        <v>0</v>
      </c>
      <c r="AO96" s="1">
        <v>0</v>
      </c>
      <c r="AP96" s="1">
        <v>0</v>
      </c>
    </row>
    <row r="97" spans="1:43" x14ac:dyDescent="0.35">
      <c r="A97">
        <v>96</v>
      </c>
      <c r="B97" s="83">
        <v>43466</v>
      </c>
      <c r="C97" s="92" t="s">
        <v>32</v>
      </c>
      <c r="D97" s="92" t="s">
        <v>109</v>
      </c>
      <c r="E97" s="92" t="s">
        <v>108</v>
      </c>
      <c r="F97" s="92" t="s">
        <v>395</v>
      </c>
      <c r="G97" s="92"/>
      <c r="H97" s="92" t="s">
        <v>31</v>
      </c>
      <c r="I97" s="92" t="s">
        <v>73</v>
      </c>
      <c r="J97" s="1">
        <v>1</v>
      </c>
      <c r="K97" s="1">
        <v>1</v>
      </c>
      <c r="L97" s="1">
        <v>1</v>
      </c>
      <c r="N97" s="1">
        <v>1</v>
      </c>
      <c r="O97" s="1">
        <v>1</v>
      </c>
      <c r="Q97" s="92"/>
      <c r="R97" s="92"/>
      <c r="S97" s="92"/>
      <c r="T97" s="92"/>
      <c r="X97" s="1">
        <v>0</v>
      </c>
      <c r="Y97" s="1">
        <v>0</v>
      </c>
      <c r="Z97" s="1">
        <v>0</v>
      </c>
      <c r="AA97" s="1">
        <v>0</v>
      </c>
      <c r="AB97" s="1">
        <v>1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0</v>
      </c>
      <c r="AL97" s="1">
        <v>0</v>
      </c>
      <c r="AM97" s="1">
        <v>0</v>
      </c>
      <c r="AN97" s="1">
        <v>0</v>
      </c>
      <c r="AO97" s="1">
        <v>0</v>
      </c>
      <c r="AP97" s="1">
        <v>0</v>
      </c>
    </row>
    <row r="98" spans="1:43" x14ac:dyDescent="0.35">
      <c r="A98">
        <v>97</v>
      </c>
      <c r="B98" s="83">
        <v>43466</v>
      </c>
      <c r="C98" s="92" t="s">
        <v>32</v>
      </c>
      <c r="D98" s="92" t="s">
        <v>109</v>
      </c>
      <c r="E98" s="92" t="s">
        <v>108</v>
      </c>
      <c r="F98" s="92" t="s">
        <v>395</v>
      </c>
      <c r="G98" s="92"/>
      <c r="H98" s="92" t="s">
        <v>31</v>
      </c>
      <c r="I98" s="92" t="s">
        <v>76</v>
      </c>
      <c r="J98" s="1">
        <v>1</v>
      </c>
      <c r="K98" s="1">
        <v>1</v>
      </c>
      <c r="L98" s="1">
        <v>1</v>
      </c>
      <c r="N98" s="1">
        <v>1</v>
      </c>
      <c r="O98" s="1">
        <v>1</v>
      </c>
      <c r="Q98" s="92"/>
      <c r="R98" s="92"/>
      <c r="S98" s="92"/>
      <c r="T98" s="92"/>
      <c r="X98" s="1">
        <v>0</v>
      </c>
      <c r="Y98" s="1">
        <v>0</v>
      </c>
      <c r="Z98" s="1">
        <v>0</v>
      </c>
      <c r="AA98" s="1">
        <v>0</v>
      </c>
      <c r="AB98" s="1">
        <v>1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0</v>
      </c>
      <c r="AL98" s="1">
        <v>0</v>
      </c>
      <c r="AM98" s="1">
        <v>0</v>
      </c>
      <c r="AN98" s="1">
        <v>0</v>
      </c>
      <c r="AO98" s="1">
        <v>0</v>
      </c>
      <c r="AP98" s="1">
        <v>0</v>
      </c>
    </row>
    <row r="99" spans="1:43" x14ac:dyDescent="0.35">
      <c r="A99">
        <v>98</v>
      </c>
      <c r="B99" s="83">
        <v>43466</v>
      </c>
      <c r="C99" s="92" t="s">
        <v>32</v>
      </c>
      <c r="D99" s="92" t="s">
        <v>267</v>
      </c>
      <c r="E99" s="92"/>
      <c r="F99" s="92"/>
      <c r="G99" s="92"/>
      <c r="H99" s="92"/>
      <c r="I99" s="92"/>
      <c r="Q99" s="92"/>
      <c r="R99" s="92" t="s">
        <v>88</v>
      </c>
      <c r="S99" s="92" t="s">
        <v>83</v>
      </c>
      <c r="T99" s="92" t="s">
        <v>89</v>
      </c>
      <c r="U99" s="1">
        <v>1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">
        <v>0</v>
      </c>
      <c r="AM99" s="1">
        <v>0</v>
      </c>
      <c r="AN99" s="1">
        <v>0</v>
      </c>
      <c r="AO99" s="1">
        <v>0</v>
      </c>
      <c r="AP99" s="1">
        <v>0</v>
      </c>
    </row>
    <row r="100" spans="1:43" x14ac:dyDescent="0.35">
      <c r="A100">
        <v>99</v>
      </c>
      <c r="B100" s="83">
        <v>43466</v>
      </c>
      <c r="C100" s="92" t="s">
        <v>32</v>
      </c>
      <c r="D100" s="92" t="s">
        <v>267</v>
      </c>
      <c r="E100" s="92"/>
      <c r="F100" s="92"/>
      <c r="G100" s="92"/>
      <c r="H100" s="92"/>
      <c r="I100" s="92"/>
      <c r="Q100" s="92"/>
      <c r="R100" s="92" t="s">
        <v>88</v>
      </c>
      <c r="S100" s="92" t="s">
        <v>286</v>
      </c>
      <c r="T100" s="92" t="s">
        <v>90</v>
      </c>
      <c r="U100" s="1">
        <v>1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">
        <v>0</v>
      </c>
      <c r="AM100" s="1">
        <v>0</v>
      </c>
      <c r="AN100" s="1">
        <v>0</v>
      </c>
      <c r="AO100" s="1">
        <v>0</v>
      </c>
      <c r="AP100" s="1">
        <v>0</v>
      </c>
    </row>
    <row r="101" spans="1:43" x14ac:dyDescent="0.35">
      <c r="A101">
        <v>100</v>
      </c>
      <c r="B101" s="83">
        <v>43466</v>
      </c>
      <c r="C101" s="92" t="s">
        <v>32</v>
      </c>
      <c r="D101" s="92" t="s">
        <v>267</v>
      </c>
      <c r="E101" s="92"/>
      <c r="F101" s="92"/>
      <c r="G101" s="92"/>
      <c r="H101" s="92"/>
      <c r="I101" s="92"/>
      <c r="Q101" s="92"/>
      <c r="R101" s="92" t="s">
        <v>88</v>
      </c>
      <c r="S101" s="92" t="s">
        <v>84</v>
      </c>
      <c r="T101" s="92" t="s">
        <v>91</v>
      </c>
      <c r="U101" s="1">
        <v>1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">
        <v>0</v>
      </c>
      <c r="AM101" s="1">
        <v>0</v>
      </c>
      <c r="AN101" s="1">
        <v>0</v>
      </c>
      <c r="AO101" s="1">
        <v>0</v>
      </c>
      <c r="AP101" s="1">
        <v>0</v>
      </c>
    </row>
    <row r="102" spans="1:43" x14ac:dyDescent="0.35">
      <c r="A102">
        <v>101</v>
      </c>
      <c r="B102" s="83">
        <v>43466</v>
      </c>
      <c r="C102" s="92" t="s">
        <v>32</v>
      </c>
      <c r="D102" s="92" t="s">
        <v>267</v>
      </c>
      <c r="E102" s="92"/>
      <c r="F102" s="92"/>
      <c r="G102" s="92"/>
      <c r="H102" s="92"/>
      <c r="I102" s="92"/>
      <c r="Q102" s="92"/>
      <c r="R102" s="92" t="s">
        <v>88</v>
      </c>
      <c r="S102" s="92" t="s">
        <v>85</v>
      </c>
      <c r="T102" s="92" t="s">
        <v>92</v>
      </c>
      <c r="U102" s="1">
        <v>1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P102" s="1">
        <v>0</v>
      </c>
    </row>
    <row r="103" spans="1:43" x14ac:dyDescent="0.35">
      <c r="A103">
        <v>102</v>
      </c>
      <c r="B103" s="83">
        <v>43466</v>
      </c>
      <c r="C103" s="92" t="s">
        <v>32</v>
      </c>
      <c r="D103" s="92" t="s">
        <v>267</v>
      </c>
      <c r="E103" s="92"/>
      <c r="F103" s="92"/>
      <c r="G103" s="92"/>
      <c r="H103" s="92"/>
      <c r="I103" s="92"/>
      <c r="Q103" s="92"/>
      <c r="R103" s="92" t="s">
        <v>88</v>
      </c>
      <c r="S103" s="92" t="s">
        <v>110</v>
      </c>
      <c r="T103" s="92" t="s">
        <v>93</v>
      </c>
      <c r="U103" s="1">
        <v>1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">
        <v>0</v>
      </c>
      <c r="AM103" s="1">
        <v>0</v>
      </c>
      <c r="AN103" s="1">
        <v>0</v>
      </c>
      <c r="AO103" s="1">
        <v>0</v>
      </c>
      <c r="AP103" s="1">
        <v>0</v>
      </c>
    </row>
    <row r="104" spans="1:43" x14ac:dyDescent="0.35">
      <c r="A104">
        <v>103</v>
      </c>
      <c r="B104" s="83">
        <v>43466</v>
      </c>
      <c r="C104" s="92" t="s">
        <v>32</v>
      </c>
      <c r="D104" s="92" t="s">
        <v>267</v>
      </c>
      <c r="E104" s="92"/>
      <c r="F104" s="92"/>
      <c r="G104" s="92"/>
      <c r="H104" s="92"/>
      <c r="I104" s="92"/>
      <c r="Q104" s="92"/>
      <c r="R104" s="92" t="s">
        <v>88</v>
      </c>
      <c r="S104" s="92" t="s">
        <v>86</v>
      </c>
      <c r="T104" s="92" t="s">
        <v>94</v>
      </c>
      <c r="U104" s="1">
        <v>1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">
        <v>0</v>
      </c>
      <c r="AM104" s="1">
        <v>0</v>
      </c>
      <c r="AN104" s="1">
        <v>0</v>
      </c>
      <c r="AO104" s="1">
        <v>0</v>
      </c>
      <c r="AP104" s="1">
        <v>0</v>
      </c>
    </row>
    <row r="105" spans="1:43" x14ac:dyDescent="0.35">
      <c r="A105">
        <v>104</v>
      </c>
      <c r="B105" s="83">
        <v>43466</v>
      </c>
      <c r="C105" s="92" t="s">
        <v>32</v>
      </c>
      <c r="D105" s="92" t="s">
        <v>267</v>
      </c>
      <c r="E105" s="92"/>
      <c r="F105" s="92"/>
      <c r="G105" s="92"/>
      <c r="H105" s="92"/>
      <c r="I105" s="92"/>
      <c r="Q105" s="92"/>
      <c r="R105" s="92" t="s">
        <v>88</v>
      </c>
      <c r="S105" s="92" t="s">
        <v>87</v>
      </c>
      <c r="T105" s="92" t="s">
        <v>95</v>
      </c>
      <c r="U105" s="1">
        <v>1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">
        <v>0</v>
      </c>
      <c r="AM105" s="1">
        <v>0</v>
      </c>
      <c r="AN105" s="1">
        <v>0</v>
      </c>
      <c r="AO105" s="1">
        <v>0</v>
      </c>
      <c r="AP105" s="1">
        <v>0</v>
      </c>
    </row>
    <row r="106" spans="1:43" x14ac:dyDescent="0.35">
      <c r="A106">
        <v>105</v>
      </c>
      <c r="B106" s="83">
        <v>43466</v>
      </c>
      <c r="C106" s="92" t="s">
        <v>32</v>
      </c>
      <c r="D106" s="92" t="s">
        <v>267</v>
      </c>
      <c r="E106" s="92"/>
      <c r="F106" s="92"/>
      <c r="G106" s="92"/>
      <c r="H106" s="92"/>
      <c r="I106" s="92"/>
      <c r="Q106" s="92"/>
      <c r="R106" s="92" t="s">
        <v>88</v>
      </c>
      <c r="S106" s="92" t="s">
        <v>384</v>
      </c>
      <c r="T106" s="92" t="s">
        <v>385</v>
      </c>
      <c r="U106" s="1">
        <v>1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0</v>
      </c>
      <c r="AK106" s="1">
        <v>0</v>
      </c>
      <c r="AL106" s="1">
        <v>0</v>
      </c>
      <c r="AM106" s="1">
        <v>0</v>
      </c>
      <c r="AN106" s="1">
        <v>0</v>
      </c>
      <c r="AO106" s="1">
        <v>0</v>
      </c>
      <c r="AP106" s="1">
        <v>0</v>
      </c>
    </row>
    <row r="107" spans="1:43" x14ac:dyDescent="0.35">
      <c r="A107">
        <v>106</v>
      </c>
      <c r="B107" s="83">
        <v>43466</v>
      </c>
      <c r="C107" s="92"/>
      <c r="D107" s="92" t="s">
        <v>393</v>
      </c>
      <c r="E107" s="92" t="s">
        <v>108</v>
      </c>
      <c r="F107" s="92" t="s">
        <v>395</v>
      </c>
      <c r="G107" s="92"/>
      <c r="H107" s="92" t="s">
        <v>28</v>
      </c>
      <c r="I107" s="92" t="s">
        <v>104</v>
      </c>
      <c r="K107" s="1">
        <v>1</v>
      </c>
      <c r="L107" s="1">
        <v>1</v>
      </c>
      <c r="Q107" s="92"/>
      <c r="R107" s="92"/>
      <c r="S107" s="92"/>
      <c r="T107" s="92"/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0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0</v>
      </c>
      <c r="AQ107" s="1">
        <v>1</v>
      </c>
    </row>
    <row r="108" spans="1:43" x14ac:dyDescent="0.35">
      <c r="A108">
        <v>107</v>
      </c>
      <c r="B108" s="83">
        <v>43466</v>
      </c>
      <c r="C108" s="92"/>
      <c r="D108" s="92" t="s">
        <v>393</v>
      </c>
      <c r="E108" s="92" t="s">
        <v>108</v>
      </c>
      <c r="F108" s="92" t="s">
        <v>395</v>
      </c>
      <c r="G108" s="92"/>
      <c r="H108" s="92" t="s">
        <v>29</v>
      </c>
      <c r="I108" s="92" t="s">
        <v>77</v>
      </c>
      <c r="K108" s="1">
        <v>1</v>
      </c>
      <c r="L108" s="1">
        <v>1</v>
      </c>
      <c r="Q108" s="92"/>
      <c r="R108" s="92"/>
      <c r="S108" s="92"/>
      <c r="T108" s="92"/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0</v>
      </c>
      <c r="AK108" s="1">
        <v>0</v>
      </c>
      <c r="AL108" s="1">
        <v>0</v>
      </c>
      <c r="AM108" s="1">
        <v>0</v>
      </c>
      <c r="AN108" s="1">
        <v>0</v>
      </c>
      <c r="AO108" s="1">
        <v>0</v>
      </c>
      <c r="AP108" s="1">
        <v>0</v>
      </c>
      <c r="AQ108" s="1">
        <v>1</v>
      </c>
    </row>
    <row r="109" spans="1:43" x14ac:dyDescent="0.35">
      <c r="A109">
        <v>108</v>
      </c>
      <c r="B109" s="83">
        <v>43466</v>
      </c>
      <c r="C109" s="92"/>
      <c r="D109" s="92" t="s">
        <v>393</v>
      </c>
      <c r="E109" s="92" t="s">
        <v>108</v>
      </c>
      <c r="F109" s="92" t="s">
        <v>395</v>
      </c>
      <c r="G109" s="92"/>
      <c r="H109" s="92" t="s">
        <v>290</v>
      </c>
      <c r="I109" s="92" t="s">
        <v>43</v>
      </c>
      <c r="K109" s="1">
        <v>1</v>
      </c>
      <c r="L109" s="1">
        <v>1</v>
      </c>
      <c r="Q109" s="92"/>
      <c r="R109" s="92"/>
      <c r="S109" s="92"/>
      <c r="T109" s="92"/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0</v>
      </c>
      <c r="AK109" s="1">
        <v>0</v>
      </c>
      <c r="AL109" s="1">
        <v>0</v>
      </c>
      <c r="AM109" s="1">
        <v>0</v>
      </c>
      <c r="AN109" s="1">
        <v>0</v>
      </c>
      <c r="AO109" s="1">
        <v>0</v>
      </c>
      <c r="AP109" s="1">
        <v>0</v>
      </c>
      <c r="AQ109" s="1">
        <v>1</v>
      </c>
    </row>
    <row r="110" spans="1:43" x14ac:dyDescent="0.35">
      <c r="A110">
        <v>109</v>
      </c>
      <c r="B110" s="83">
        <v>43466</v>
      </c>
      <c r="C110" s="92"/>
      <c r="D110" s="92" t="s">
        <v>393</v>
      </c>
      <c r="E110" s="92" t="s">
        <v>108</v>
      </c>
      <c r="F110" s="92" t="s">
        <v>395</v>
      </c>
      <c r="G110" s="92"/>
      <c r="H110" s="92" t="s">
        <v>30</v>
      </c>
      <c r="I110" s="92" t="s">
        <v>30</v>
      </c>
      <c r="K110" s="1">
        <v>1</v>
      </c>
      <c r="L110" s="1">
        <v>1</v>
      </c>
      <c r="Q110" s="92"/>
      <c r="R110" s="92"/>
      <c r="S110" s="92"/>
      <c r="T110" s="92"/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>
        <v>0</v>
      </c>
      <c r="AL110" s="1">
        <v>0</v>
      </c>
      <c r="AM110" s="1">
        <v>0</v>
      </c>
      <c r="AN110" s="1">
        <v>0</v>
      </c>
      <c r="AO110" s="1">
        <v>0</v>
      </c>
      <c r="AP110" s="1">
        <v>0</v>
      </c>
      <c r="AQ110" s="1">
        <v>1</v>
      </c>
    </row>
    <row r="111" spans="1:43" x14ac:dyDescent="0.35">
      <c r="A111">
        <v>110</v>
      </c>
      <c r="B111" s="83">
        <v>43466</v>
      </c>
      <c r="C111" s="92"/>
      <c r="D111" s="92" t="s">
        <v>393</v>
      </c>
      <c r="E111" s="92" t="s">
        <v>108</v>
      </c>
      <c r="F111" s="92" t="s">
        <v>395</v>
      </c>
      <c r="G111" s="92"/>
      <c r="H111" s="92" t="s">
        <v>72</v>
      </c>
      <c r="I111" s="92" t="s">
        <v>72</v>
      </c>
      <c r="K111" s="1">
        <v>1</v>
      </c>
      <c r="L111" s="1">
        <v>1</v>
      </c>
      <c r="Q111" s="92"/>
      <c r="R111" s="92"/>
      <c r="S111" s="92"/>
      <c r="T111" s="92"/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>
        <v>0</v>
      </c>
      <c r="AL111" s="1">
        <v>0</v>
      </c>
      <c r="AM111" s="1">
        <v>0</v>
      </c>
      <c r="AN111" s="1">
        <v>0</v>
      </c>
      <c r="AO111" s="1">
        <v>0</v>
      </c>
      <c r="AP111" s="1">
        <v>0</v>
      </c>
      <c r="AQ111" s="1">
        <v>1</v>
      </c>
    </row>
    <row r="112" spans="1:43" x14ac:dyDescent="0.35">
      <c r="A112">
        <v>111</v>
      </c>
      <c r="B112" s="83">
        <v>43466</v>
      </c>
      <c r="C112" s="92"/>
      <c r="D112" s="92" t="s">
        <v>393</v>
      </c>
      <c r="E112" s="92" t="s">
        <v>108</v>
      </c>
      <c r="F112" s="92" t="s">
        <v>395</v>
      </c>
      <c r="G112" s="92"/>
      <c r="H112" s="92" t="s">
        <v>31</v>
      </c>
      <c r="I112" s="92" t="s">
        <v>73</v>
      </c>
      <c r="K112" s="1">
        <v>1</v>
      </c>
      <c r="L112" s="1">
        <v>1</v>
      </c>
      <c r="Q112" s="92"/>
      <c r="R112" s="92"/>
      <c r="S112" s="92"/>
      <c r="T112" s="92"/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0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>
        <v>0</v>
      </c>
      <c r="AJ112" s="1">
        <v>0</v>
      </c>
      <c r="AK112" s="1">
        <v>0</v>
      </c>
      <c r="AL112" s="1">
        <v>0</v>
      </c>
      <c r="AM112" s="1">
        <v>0</v>
      </c>
      <c r="AN112" s="1">
        <v>0</v>
      </c>
      <c r="AO112" s="1">
        <v>0</v>
      </c>
      <c r="AP112" s="1">
        <v>0</v>
      </c>
      <c r="AQ112" s="1">
        <v>1</v>
      </c>
    </row>
    <row r="113" spans="1:42" x14ac:dyDescent="0.35">
      <c r="A113">
        <v>112</v>
      </c>
      <c r="B113" s="83">
        <v>43466</v>
      </c>
      <c r="C113" s="92" t="s">
        <v>32</v>
      </c>
      <c r="D113" s="92" t="s">
        <v>111</v>
      </c>
      <c r="E113" s="92" t="s">
        <v>20</v>
      </c>
      <c r="F113" s="92" t="s">
        <v>395</v>
      </c>
      <c r="G113" s="92"/>
      <c r="H113" s="92"/>
      <c r="I113" s="92"/>
      <c r="P113" s="1">
        <v>1</v>
      </c>
      <c r="Q113" s="92"/>
      <c r="R113" s="92"/>
      <c r="S113" s="92"/>
      <c r="T113" s="92"/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0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>
        <v>0</v>
      </c>
      <c r="AJ113" s="1">
        <v>0</v>
      </c>
      <c r="AK113" s="1">
        <v>0</v>
      </c>
      <c r="AL113" s="1">
        <v>0</v>
      </c>
      <c r="AM113" s="1">
        <v>0</v>
      </c>
      <c r="AN113" s="1">
        <v>0</v>
      </c>
      <c r="AO113" s="1">
        <v>0</v>
      </c>
      <c r="AP113" s="1">
        <v>0</v>
      </c>
    </row>
    <row r="114" spans="1:42" x14ac:dyDescent="0.35">
      <c r="A114">
        <v>113</v>
      </c>
      <c r="B114" s="83">
        <v>43466</v>
      </c>
      <c r="C114" s="92" t="s">
        <v>32</v>
      </c>
      <c r="D114" s="92" t="s">
        <v>392</v>
      </c>
      <c r="E114" s="92" t="s">
        <v>108</v>
      </c>
      <c r="F114" s="92" t="s">
        <v>395</v>
      </c>
      <c r="G114" s="92"/>
      <c r="H114" s="92"/>
      <c r="I114" s="92"/>
      <c r="Q114" s="92"/>
      <c r="R114" s="92"/>
      <c r="S114" s="92"/>
      <c r="T114" s="92"/>
      <c r="V114" s="1">
        <v>1</v>
      </c>
      <c r="W114" s="1">
        <v>1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0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0</v>
      </c>
      <c r="AJ114" s="1">
        <v>0</v>
      </c>
      <c r="AK114" s="1">
        <v>0</v>
      </c>
      <c r="AL114" s="1">
        <v>0</v>
      </c>
      <c r="AM114" s="1">
        <v>0</v>
      </c>
      <c r="AN114" s="1">
        <v>0</v>
      </c>
      <c r="AO114" s="1">
        <v>0</v>
      </c>
      <c r="AP114" s="1">
        <v>0</v>
      </c>
    </row>
    <row r="115" spans="1:42" x14ac:dyDescent="0.35">
      <c r="A115">
        <v>114</v>
      </c>
      <c r="B115" s="83">
        <v>43466</v>
      </c>
      <c r="C115" s="92" t="s">
        <v>32</v>
      </c>
      <c r="D115" s="92" t="s">
        <v>109</v>
      </c>
      <c r="E115" s="92" t="s">
        <v>108</v>
      </c>
      <c r="F115" s="92" t="s">
        <v>395</v>
      </c>
      <c r="G115" s="92"/>
      <c r="H115" s="92" t="s">
        <v>28</v>
      </c>
      <c r="I115" s="92" t="s">
        <v>105</v>
      </c>
      <c r="J115" s="1">
        <v>1</v>
      </c>
      <c r="K115" s="1">
        <v>1</v>
      </c>
      <c r="L115" s="1">
        <v>1</v>
      </c>
      <c r="N115" s="1">
        <v>1</v>
      </c>
      <c r="O115" s="1">
        <v>1</v>
      </c>
      <c r="Q115" s="92"/>
      <c r="R115" s="92"/>
      <c r="S115" s="92"/>
      <c r="T115" s="92"/>
      <c r="X115" s="1">
        <v>1</v>
      </c>
      <c r="Y115" s="1">
        <v>0</v>
      </c>
      <c r="Z115" s="1">
        <v>0</v>
      </c>
      <c r="AA115" s="1">
        <v>0</v>
      </c>
      <c r="AB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>
        <v>0</v>
      </c>
      <c r="AJ115" s="1">
        <v>0</v>
      </c>
      <c r="AK115" s="1">
        <v>0</v>
      </c>
      <c r="AL115" s="1">
        <v>0</v>
      </c>
      <c r="AM115" s="1">
        <v>0</v>
      </c>
      <c r="AN115" s="1">
        <v>0</v>
      </c>
      <c r="AO115" s="1">
        <v>0</v>
      </c>
      <c r="AP115" s="1">
        <v>0</v>
      </c>
    </row>
    <row r="116" spans="1:42" x14ac:dyDescent="0.35">
      <c r="A116">
        <v>115</v>
      </c>
      <c r="B116" s="83">
        <v>43466</v>
      </c>
      <c r="C116" s="92" t="s">
        <v>32</v>
      </c>
      <c r="D116" s="92" t="s">
        <v>109</v>
      </c>
      <c r="E116" s="92" t="s">
        <v>108</v>
      </c>
      <c r="F116" s="92" t="s">
        <v>395</v>
      </c>
      <c r="G116" s="92"/>
      <c r="H116" s="92" t="s">
        <v>29</v>
      </c>
      <c r="I116" s="92" t="s">
        <v>49</v>
      </c>
      <c r="J116" s="1">
        <v>1</v>
      </c>
      <c r="K116" s="1">
        <v>1</v>
      </c>
      <c r="L116" s="1">
        <v>1</v>
      </c>
      <c r="N116" s="1">
        <v>1</v>
      </c>
      <c r="O116" s="1">
        <v>1</v>
      </c>
      <c r="Q116" s="92"/>
      <c r="R116" s="92"/>
      <c r="S116" s="92"/>
      <c r="T116" s="92"/>
      <c r="X116" s="1">
        <v>0</v>
      </c>
      <c r="Y116" s="1">
        <v>1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</row>
    <row r="117" spans="1:42" x14ac:dyDescent="0.35">
      <c r="A117">
        <v>116</v>
      </c>
      <c r="B117" s="83">
        <v>43466</v>
      </c>
      <c r="C117" s="92" t="s">
        <v>32</v>
      </c>
      <c r="D117" s="92" t="s">
        <v>109</v>
      </c>
      <c r="E117" s="92" t="s">
        <v>108</v>
      </c>
      <c r="F117" s="92" t="s">
        <v>395</v>
      </c>
      <c r="G117" s="92"/>
      <c r="H117" s="92" t="s">
        <v>29</v>
      </c>
      <c r="I117" s="92" t="s">
        <v>66</v>
      </c>
      <c r="J117" s="1">
        <v>1</v>
      </c>
      <c r="K117" s="1">
        <v>1</v>
      </c>
      <c r="L117" s="1">
        <v>1</v>
      </c>
      <c r="N117" s="1">
        <v>1</v>
      </c>
      <c r="O117" s="1">
        <v>1</v>
      </c>
      <c r="Q117" s="92"/>
      <c r="R117" s="92"/>
      <c r="S117" s="92"/>
      <c r="T117" s="92"/>
      <c r="X117" s="1">
        <v>0</v>
      </c>
      <c r="Y117" s="1">
        <v>1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</row>
    <row r="118" spans="1:42" x14ac:dyDescent="0.35">
      <c r="A118">
        <v>117</v>
      </c>
      <c r="B118" s="83">
        <v>44197</v>
      </c>
      <c r="C118" s="92" t="s">
        <v>32</v>
      </c>
      <c r="D118" s="92" t="s">
        <v>106</v>
      </c>
      <c r="E118" s="92" t="s">
        <v>263</v>
      </c>
      <c r="F118" s="92" t="s">
        <v>33</v>
      </c>
      <c r="G118" s="92" t="s">
        <v>45</v>
      </c>
      <c r="H118" s="92" t="s">
        <v>28</v>
      </c>
      <c r="I118" s="92" t="s">
        <v>37</v>
      </c>
      <c r="J118" s="1">
        <v>1</v>
      </c>
      <c r="K118" s="1">
        <v>1</v>
      </c>
      <c r="M118" s="1">
        <v>1</v>
      </c>
      <c r="N118" s="1">
        <v>2</v>
      </c>
      <c r="Q118" s="92"/>
      <c r="R118" s="92"/>
      <c r="S118" s="92"/>
      <c r="T118" s="92"/>
      <c r="X118" s="1">
        <v>1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7.4074000000000001E-2</v>
      </c>
      <c r="AF118" s="1">
        <v>0</v>
      </c>
      <c r="AG118" s="1">
        <v>0</v>
      </c>
      <c r="AH118" s="1">
        <v>2</v>
      </c>
      <c r="AI118" s="1">
        <v>1</v>
      </c>
      <c r="AJ118" s="1">
        <v>1</v>
      </c>
      <c r="AK118" s="1">
        <v>0</v>
      </c>
      <c r="AL118" s="1">
        <v>0</v>
      </c>
      <c r="AM118" s="1">
        <v>0</v>
      </c>
      <c r="AN118" s="1">
        <v>2</v>
      </c>
      <c r="AO118" s="1">
        <v>0</v>
      </c>
      <c r="AP118" s="1">
        <v>1</v>
      </c>
    </row>
    <row r="119" spans="1:42" x14ac:dyDescent="0.35">
      <c r="A119">
        <v>118</v>
      </c>
      <c r="B119" s="83">
        <v>44197</v>
      </c>
      <c r="C119" s="92" t="s">
        <v>32</v>
      </c>
      <c r="D119" s="92" t="s">
        <v>106</v>
      </c>
      <c r="E119" s="92" t="s">
        <v>263</v>
      </c>
      <c r="F119" s="92" t="s">
        <v>33</v>
      </c>
      <c r="G119" s="92" t="s">
        <v>45</v>
      </c>
      <c r="H119" s="92" t="s">
        <v>29</v>
      </c>
      <c r="I119" s="92" t="s">
        <v>38</v>
      </c>
      <c r="J119" s="1">
        <v>1</v>
      </c>
      <c r="K119" s="1">
        <v>1</v>
      </c>
      <c r="M119" s="1">
        <v>1</v>
      </c>
      <c r="N119" s="1">
        <v>2</v>
      </c>
      <c r="Q119" s="92"/>
      <c r="R119" s="92"/>
      <c r="S119" s="92"/>
      <c r="T119" s="92"/>
      <c r="X119" s="1">
        <v>0</v>
      </c>
      <c r="Y119" s="1">
        <v>1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7.4074000000000001E-2</v>
      </c>
      <c r="AF119" s="1">
        <v>0</v>
      </c>
      <c r="AG119" s="1">
        <v>0</v>
      </c>
      <c r="AH119" s="1">
        <v>2</v>
      </c>
      <c r="AI119" s="1">
        <v>1</v>
      </c>
      <c r="AJ119" s="1">
        <v>1</v>
      </c>
      <c r="AK119" s="1">
        <v>0</v>
      </c>
      <c r="AL119" s="1">
        <v>0</v>
      </c>
      <c r="AM119" s="1">
        <v>0</v>
      </c>
      <c r="AN119" s="1">
        <v>2</v>
      </c>
      <c r="AO119" s="1">
        <v>0</v>
      </c>
      <c r="AP119" s="1">
        <v>1</v>
      </c>
    </row>
    <row r="120" spans="1:42" x14ac:dyDescent="0.35">
      <c r="A120">
        <v>119</v>
      </c>
      <c r="B120" s="83">
        <v>44197</v>
      </c>
      <c r="C120" s="92" t="s">
        <v>32</v>
      </c>
      <c r="D120" s="92" t="s">
        <v>106</v>
      </c>
      <c r="E120" s="92" t="s">
        <v>263</v>
      </c>
      <c r="F120" s="92" t="s">
        <v>33</v>
      </c>
      <c r="G120" s="92" t="s">
        <v>45</v>
      </c>
      <c r="H120" s="92" t="s">
        <v>290</v>
      </c>
      <c r="I120" s="92" t="s">
        <v>290</v>
      </c>
      <c r="J120" s="1">
        <v>1</v>
      </c>
      <c r="K120" s="1">
        <v>1</v>
      </c>
      <c r="M120" s="1">
        <v>1</v>
      </c>
      <c r="N120" s="1">
        <v>2</v>
      </c>
      <c r="Q120" s="92"/>
      <c r="R120" s="92"/>
      <c r="S120" s="92"/>
      <c r="T120" s="92"/>
      <c r="X120" s="1">
        <v>0</v>
      </c>
      <c r="Y120" s="1">
        <v>0</v>
      </c>
      <c r="Z120" s="1">
        <v>1</v>
      </c>
      <c r="AA120" s="1">
        <v>0</v>
      </c>
      <c r="AB120" s="1">
        <v>0</v>
      </c>
      <c r="AC120" s="1">
        <v>0</v>
      </c>
      <c r="AD120" s="1">
        <v>0</v>
      </c>
      <c r="AE120" s="1">
        <v>7.4074000000000001E-2</v>
      </c>
      <c r="AF120" s="1">
        <v>0</v>
      </c>
      <c r="AG120" s="1">
        <v>0</v>
      </c>
      <c r="AH120" s="1">
        <v>2</v>
      </c>
      <c r="AI120" s="1">
        <v>1</v>
      </c>
      <c r="AJ120" s="1">
        <v>1</v>
      </c>
      <c r="AK120" s="1">
        <v>0</v>
      </c>
      <c r="AL120" s="1">
        <v>0</v>
      </c>
      <c r="AM120" s="1">
        <v>0</v>
      </c>
      <c r="AN120" s="1">
        <v>2</v>
      </c>
      <c r="AO120" s="1">
        <v>0</v>
      </c>
      <c r="AP120" s="1">
        <v>1</v>
      </c>
    </row>
    <row r="121" spans="1:42" x14ac:dyDescent="0.35">
      <c r="A121">
        <v>120</v>
      </c>
      <c r="B121" s="83">
        <v>44197</v>
      </c>
      <c r="C121" s="92" t="s">
        <v>32</v>
      </c>
      <c r="D121" s="92" t="s">
        <v>106</v>
      </c>
      <c r="E121" s="92" t="s">
        <v>263</v>
      </c>
      <c r="F121" s="92" t="s">
        <v>33</v>
      </c>
      <c r="G121" s="92" t="s">
        <v>45</v>
      </c>
      <c r="H121" s="92" t="s">
        <v>30</v>
      </c>
      <c r="I121" s="92" t="s">
        <v>40</v>
      </c>
      <c r="J121" s="1">
        <v>1</v>
      </c>
      <c r="K121" s="1">
        <v>1</v>
      </c>
      <c r="M121" s="1">
        <v>1</v>
      </c>
      <c r="N121" s="1">
        <v>2</v>
      </c>
      <c r="Q121" s="92"/>
      <c r="R121" s="92"/>
      <c r="S121" s="92"/>
      <c r="T121" s="92"/>
      <c r="X121" s="1">
        <v>0</v>
      </c>
      <c r="Y121" s="1">
        <v>0</v>
      </c>
      <c r="Z121" s="1">
        <v>0</v>
      </c>
      <c r="AA121" s="1">
        <v>1</v>
      </c>
      <c r="AB121" s="1">
        <v>0</v>
      </c>
      <c r="AC121" s="1">
        <v>0</v>
      </c>
      <c r="AD121" s="1">
        <v>0</v>
      </c>
      <c r="AE121" s="1">
        <v>7.4074000000000001E-2</v>
      </c>
      <c r="AF121" s="1">
        <v>0</v>
      </c>
      <c r="AG121" s="1">
        <v>0</v>
      </c>
      <c r="AH121" s="1">
        <v>2</v>
      </c>
      <c r="AI121" s="1">
        <v>1</v>
      </c>
      <c r="AJ121" s="1">
        <v>1</v>
      </c>
      <c r="AK121" s="1">
        <v>0</v>
      </c>
      <c r="AL121" s="1">
        <v>0</v>
      </c>
      <c r="AM121" s="1">
        <v>0</v>
      </c>
      <c r="AN121" s="1">
        <v>2</v>
      </c>
      <c r="AO121" s="1">
        <v>0</v>
      </c>
      <c r="AP121" s="1">
        <v>1</v>
      </c>
    </row>
    <row r="122" spans="1:42" x14ac:dyDescent="0.35">
      <c r="A122">
        <v>121</v>
      </c>
      <c r="B122" s="83">
        <v>44197</v>
      </c>
      <c r="C122" s="92" t="s">
        <v>32</v>
      </c>
      <c r="D122" s="92" t="s">
        <v>106</v>
      </c>
      <c r="E122" s="92" t="s">
        <v>263</v>
      </c>
      <c r="F122" s="92" t="s">
        <v>33</v>
      </c>
      <c r="G122" s="92" t="s">
        <v>45</v>
      </c>
      <c r="H122" s="92" t="s">
        <v>72</v>
      </c>
      <c r="I122" s="92" t="s">
        <v>41</v>
      </c>
      <c r="J122" s="1">
        <v>1</v>
      </c>
      <c r="K122" s="1">
        <v>1</v>
      </c>
      <c r="M122" s="1">
        <v>1</v>
      </c>
      <c r="N122" s="1">
        <v>2</v>
      </c>
      <c r="Q122" s="92"/>
      <c r="R122" s="92"/>
      <c r="S122" s="92"/>
      <c r="T122" s="92"/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1</v>
      </c>
      <c r="AD122" s="1">
        <v>0</v>
      </c>
      <c r="AE122" s="1">
        <v>7.4074000000000001E-2</v>
      </c>
      <c r="AF122" s="1">
        <v>0</v>
      </c>
      <c r="AG122" s="1">
        <v>0</v>
      </c>
      <c r="AH122" s="1">
        <v>2</v>
      </c>
      <c r="AI122" s="1">
        <v>1</v>
      </c>
      <c r="AJ122" s="1">
        <v>1</v>
      </c>
      <c r="AK122" s="1">
        <v>0</v>
      </c>
      <c r="AL122" s="1">
        <v>0</v>
      </c>
      <c r="AM122" s="1">
        <v>0</v>
      </c>
      <c r="AN122" s="1">
        <v>2</v>
      </c>
      <c r="AO122" s="1">
        <v>0</v>
      </c>
      <c r="AP122" s="1">
        <v>1</v>
      </c>
    </row>
    <row r="123" spans="1:42" x14ac:dyDescent="0.35">
      <c r="A123">
        <v>122</v>
      </c>
      <c r="B123" s="83">
        <v>44197</v>
      </c>
      <c r="C123" s="92" t="s">
        <v>32</v>
      </c>
      <c r="D123" s="92" t="s">
        <v>106</v>
      </c>
      <c r="E123" s="92" t="s">
        <v>263</v>
      </c>
      <c r="F123" s="92" t="s">
        <v>33</v>
      </c>
      <c r="G123" s="92" t="s">
        <v>45</v>
      </c>
      <c r="H123" s="92" t="s">
        <v>31</v>
      </c>
      <c r="I123" s="92" t="s">
        <v>31</v>
      </c>
      <c r="J123" s="1">
        <v>1</v>
      </c>
      <c r="K123" s="1">
        <v>1</v>
      </c>
      <c r="M123" s="1">
        <v>1</v>
      </c>
      <c r="N123" s="1">
        <v>2</v>
      </c>
      <c r="Q123" s="92"/>
      <c r="R123" s="92"/>
      <c r="S123" s="92"/>
      <c r="T123" s="92"/>
      <c r="X123" s="1">
        <v>0</v>
      </c>
      <c r="Y123" s="1">
        <v>0</v>
      </c>
      <c r="Z123" s="1">
        <v>0</v>
      </c>
      <c r="AA123" s="1">
        <v>0</v>
      </c>
      <c r="AB123" s="1">
        <v>1</v>
      </c>
      <c r="AC123" s="1">
        <v>0</v>
      </c>
      <c r="AD123" s="1">
        <v>0</v>
      </c>
      <c r="AE123" s="1">
        <v>7.4074000000000001E-2</v>
      </c>
      <c r="AF123" s="1">
        <v>0</v>
      </c>
      <c r="AG123" s="1">
        <v>0</v>
      </c>
      <c r="AH123" s="1">
        <v>2</v>
      </c>
      <c r="AI123" s="1">
        <v>1</v>
      </c>
      <c r="AJ123" s="1">
        <v>1</v>
      </c>
      <c r="AK123" s="1">
        <v>0</v>
      </c>
      <c r="AL123" s="1">
        <v>0</v>
      </c>
      <c r="AM123" s="1">
        <v>0</v>
      </c>
      <c r="AN123" s="1">
        <v>2</v>
      </c>
      <c r="AO123" s="1">
        <v>0</v>
      </c>
      <c r="AP123" s="1">
        <v>1</v>
      </c>
    </row>
    <row r="124" spans="1:42" x14ac:dyDescent="0.35">
      <c r="A124">
        <v>123</v>
      </c>
      <c r="B124" s="83">
        <v>44197</v>
      </c>
      <c r="C124" s="92" t="s">
        <v>32</v>
      </c>
      <c r="D124" s="92" t="s">
        <v>106</v>
      </c>
      <c r="E124" s="92" t="s">
        <v>20</v>
      </c>
      <c r="F124" s="92" t="s">
        <v>34</v>
      </c>
      <c r="G124" s="92" t="s">
        <v>396</v>
      </c>
      <c r="H124" s="92" t="s">
        <v>28</v>
      </c>
      <c r="I124" s="92" t="s">
        <v>37</v>
      </c>
      <c r="J124" s="1">
        <v>1</v>
      </c>
      <c r="K124" s="1">
        <v>1</v>
      </c>
      <c r="M124" s="1">
        <v>1</v>
      </c>
      <c r="N124" s="1">
        <v>2</v>
      </c>
      <c r="Q124" s="92"/>
      <c r="R124" s="92"/>
      <c r="S124" s="92"/>
      <c r="T124" s="92"/>
      <c r="X124" s="1">
        <v>1</v>
      </c>
      <c r="Y124" s="1">
        <v>0</v>
      </c>
      <c r="Z124" s="1">
        <v>0</v>
      </c>
      <c r="AA124" s="1">
        <v>0</v>
      </c>
      <c r="AB124" s="1">
        <v>0</v>
      </c>
      <c r="AC124" s="1">
        <v>0</v>
      </c>
      <c r="AD124" s="1">
        <v>0</v>
      </c>
      <c r="AE124" s="1">
        <v>0</v>
      </c>
      <c r="AF124" s="1">
        <v>0</v>
      </c>
      <c r="AG124" s="1">
        <v>0</v>
      </c>
      <c r="AH124" s="1">
        <v>1</v>
      </c>
      <c r="AI124" s="1">
        <v>1</v>
      </c>
      <c r="AJ124" s="1">
        <v>1</v>
      </c>
      <c r="AK124" s="1">
        <v>0</v>
      </c>
      <c r="AL124" s="1">
        <v>0</v>
      </c>
      <c r="AM124" s="1">
        <v>0</v>
      </c>
      <c r="AN124" s="1">
        <v>0</v>
      </c>
      <c r="AO124" s="1">
        <v>1</v>
      </c>
      <c r="AP124" s="1">
        <v>0</v>
      </c>
    </row>
    <row r="125" spans="1:42" x14ac:dyDescent="0.35">
      <c r="A125">
        <v>124</v>
      </c>
      <c r="B125" s="83">
        <v>44197</v>
      </c>
      <c r="C125" s="92" t="s">
        <v>32</v>
      </c>
      <c r="D125" s="92" t="s">
        <v>106</v>
      </c>
      <c r="E125" s="92" t="s">
        <v>20</v>
      </c>
      <c r="F125" s="92" t="s">
        <v>34</v>
      </c>
      <c r="G125" s="92" t="s">
        <v>396</v>
      </c>
      <c r="H125" s="92" t="s">
        <v>29</v>
      </c>
      <c r="I125" s="92" t="s">
        <v>38</v>
      </c>
      <c r="J125" s="1">
        <v>1</v>
      </c>
      <c r="K125" s="1">
        <v>1</v>
      </c>
      <c r="M125" s="1">
        <v>1</v>
      </c>
      <c r="N125" s="1">
        <v>2</v>
      </c>
      <c r="Q125" s="92"/>
      <c r="R125" s="92"/>
      <c r="S125" s="92"/>
      <c r="T125" s="92"/>
      <c r="X125" s="1">
        <v>0</v>
      </c>
      <c r="Y125" s="1">
        <v>1</v>
      </c>
      <c r="Z125" s="1">
        <v>0</v>
      </c>
      <c r="AA125" s="1">
        <v>0</v>
      </c>
      <c r="AB125" s="1">
        <v>0</v>
      </c>
      <c r="AC125" s="1">
        <v>0</v>
      </c>
      <c r="AD125" s="1">
        <v>0</v>
      </c>
      <c r="AE125" s="1">
        <v>0</v>
      </c>
      <c r="AF125" s="1">
        <v>0</v>
      </c>
      <c r="AG125" s="1">
        <v>0</v>
      </c>
      <c r="AH125" s="1">
        <v>1</v>
      </c>
      <c r="AI125" s="1">
        <v>1</v>
      </c>
      <c r="AJ125" s="1">
        <v>1</v>
      </c>
      <c r="AK125" s="1">
        <v>0</v>
      </c>
      <c r="AL125" s="1">
        <v>0</v>
      </c>
      <c r="AM125" s="1">
        <v>0</v>
      </c>
      <c r="AN125" s="1">
        <v>0</v>
      </c>
      <c r="AO125" s="1">
        <v>1</v>
      </c>
      <c r="AP125" s="1">
        <v>0</v>
      </c>
    </row>
    <row r="126" spans="1:42" x14ac:dyDescent="0.35">
      <c r="A126">
        <v>125</v>
      </c>
      <c r="B126" s="83">
        <v>44197</v>
      </c>
      <c r="C126" s="92" t="s">
        <v>32</v>
      </c>
      <c r="D126" s="92" t="s">
        <v>106</v>
      </c>
      <c r="E126" s="92" t="s">
        <v>20</v>
      </c>
      <c r="F126" s="92" t="s">
        <v>34</v>
      </c>
      <c r="G126" s="92" t="s">
        <v>396</v>
      </c>
      <c r="H126" s="92" t="s">
        <v>290</v>
      </c>
      <c r="I126" s="92" t="s">
        <v>290</v>
      </c>
      <c r="J126" s="1">
        <v>1</v>
      </c>
      <c r="K126" s="1">
        <v>1</v>
      </c>
      <c r="M126" s="1">
        <v>1</v>
      </c>
      <c r="N126" s="1">
        <v>2</v>
      </c>
      <c r="Q126" s="92"/>
      <c r="R126" s="92"/>
      <c r="S126" s="92"/>
      <c r="T126" s="92"/>
      <c r="X126" s="1">
        <v>0</v>
      </c>
      <c r="Y126" s="1">
        <v>0</v>
      </c>
      <c r="Z126" s="1">
        <v>1</v>
      </c>
      <c r="AA126" s="1">
        <v>0</v>
      </c>
      <c r="AB126" s="1">
        <v>0</v>
      </c>
      <c r="AC126" s="1">
        <v>0</v>
      </c>
      <c r="AD126" s="1">
        <v>0</v>
      </c>
      <c r="AE126" s="1">
        <v>0</v>
      </c>
      <c r="AF126" s="1">
        <v>0</v>
      </c>
      <c r="AG126" s="1">
        <v>0</v>
      </c>
      <c r="AH126" s="1">
        <v>1</v>
      </c>
      <c r="AI126" s="1">
        <v>1</v>
      </c>
      <c r="AJ126" s="1">
        <v>1</v>
      </c>
      <c r="AK126" s="1">
        <v>0</v>
      </c>
      <c r="AL126" s="1">
        <v>0</v>
      </c>
      <c r="AM126" s="1">
        <v>0</v>
      </c>
      <c r="AN126" s="1">
        <v>0</v>
      </c>
      <c r="AO126" s="1">
        <v>1</v>
      </c>
      <c r="AP126" s="1">
        <v>0</v>
      </c>
    </row>
    <row r="127" spans="1:42" x14ac:dyDescent="0.35">
      <c r="A127">
        <v>126</v>
      </c>
      <c r="B127" s="83">
        <v>44197</v>
      </c>
      <c r="C127" s="92" t="s">
        <v>32</v>
      </c>
      <c r="D127" s="92" t="s">
        <v>106</v>
      </c>
      <c r="E127" s="92" t="s">
        <v>20</v>
      </c>
      <c r="F127" s="92" t="s">
        <v>34</v>
      </c>
      <c r="G127" s="92" t="s">
        <v>396</v>
      </c>
      <c r="H127" s="92" t="s">
        <v>30</v>
      </c>
      <c r="I127" s="92" t="s">
        <v>40</v>
      </c>
      <c r="J127" s="1">
        <v>1</v>
      </c>
      <c r="K127" s="1">
        <v>1</v>
      </c>
      <c r="M127" s="1">
        <v>1</v>
      </c>
      <c r="N127" s="1">
        <v>2</v>
      </c>
      <c r="Q127" s="92"/>
      <c r="R127" s="92"/>
      <c r="S127" s="92"/>
      <c r="T127" s="92"/>
      <c r="X127" s="1">
        <v>0</v>
      </c>
      <c r="Y127" s="1">
        <v>0</v>
      </c>
      <c r="Z127" s="1">
        <v>0</v>
      </c>
      <c r="AA127" s="1">
        <v>1</v>
      </c>
      <c r="AB127" s="1">
        <v>0</v>
      </c>
      <c r="AC127" s="1">
        <v>0</v>
      </c>
      <c r="AD127" s="1">
        <v>0</v>
      </c>
      <c r="AE127" s="1">
        <v>0</v>
      </c>
      <c r="AF127" s="1">
        <v>0</v>
      </c>
      <c r="AG127" s="1">
        <v>0</v>
      </c>
      <c r="AH127" s="1">
        <v>1</v>
      </c>
      <c r="AI127" s="1">
        <v>1</v>
      </c>
      <c r="AJ127" s="1">
        <v>1</v>
      </c>
      <c r="AK127" s="1">
        <v>0</v>
      </c>
      <c r="AL127" s="1">
        <v>0</v>
      </c>
      <c r="AM127" s="1">
        <v>0</v>
      </c>
      <c r="AN127" s="1">
        <v>0</v>
      </c>
      <c r="AO127" s="1">
        <v>1</v>
      </c>
      <c r="AP127" s="1">
        <v>0</v>
      </c>
    </row>
    <row r="128" spans="1:42" x14ac:dyDescent="0.35">
      <c r="A128">
        <v>127</v>
      </c>
      <c r="B128" s="83">
        <v>44197</v>
      </c>
      <c r="C128" s="92" t="s">
        <v>32</v>
      </c>
      <c r="D128" s="92" t="s">
        <v>106</v>
      </c>
      <c r="E128" s="92" t="s">
        <v>20</v>
      </c>
      <c r="F128" s="92" t="s">
        <v>34</v>
      </c>
      <c r="G128" s="92" t="s">
        <v>396</v>
      </c>
      <c r="H128" s="92" t="s">
        <v>72</v>
      </c>
      <c r="I128" s="92" t="s">
        <v>41</v>
      </c>
      <c r="J128" s="1">
        <v>1</v>
      </c>
      <c r="K128" s="1">
        <v>1</v>
      </c>
      <c r="M128" s="1">
        <v>1</v>
      </c>
      <c r="N128" s="1">
        <v>2</v>
      </c>
      <c r="Q128" s="92"/>
      <c r="R128" s="92"/>
      <c r="S128" s="92"/>
      <c r="T128" s="92"/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1</v>
      </c>
      <c r="AD128" s="1">
        <v>0</v>
      </c>
      <c r="AE128" s="1">
        <v>0</v>
      </c>
      <c r="AF128" s="1">
        <v>0</v>
      </c>
      <c r="AG128" s="1">
        <v>0</v>
      </c>
      <c r="AH128" s="1">
        <v>1</v>
      </c>
      <c r="AI128" s="1">
        <v>1</v>
      </c>
      <c r="AJ128" s="1">
        <v>1</v>
      </c>
      <c r="AK128" s="1">
        <v>0</v>
      </c>
      <c r="AL128" s="1">
        <v>0</v>
      </c>
      <c r="AM128" s="1">
        <v>0</v>
      </c>
      <c r="AN128" s="1">
        <v>0</v>
      </c>
      <c r="AO128" s="1">
        <v>1</v>
      </c>
      <c r="AP128" s="1">
        <v>0</v>
      </c>
    </row>
    <row r="129" spans="1:42" x14ac:dyDescent="0.35">
      <c r="A129">
        <v>128</v>
      </c>
      <c r="B129" s="83">
        <v>44197</v>
      </c>
      <c r="C129" s="92" t="s">
        <v>32</v>
      </c>
      <c r="D129" s="92" t="s">
        <v>106</v>
      </c>
      <c r="E129" s="92" t="s">
        <v>20</v>
      </c>
      <c r="F129" s="92" t="s">
        <v>34</v>
      </c>
      <c r="G129" s="92" t="s">
        <v>396</v>
      </c>
      <c r="H129" s="92" t="s">
        <v>31</v>
      </c>
      <c r="I129" s="92" t="s">
        <v>31</v>
      </c>
      <c r="J129" s="1">
        <v>1</v>
      </c>
      <c r="K129" s="1">
        <v>1</v>
      </c>
      <c r="M129" s="1">
        <v>1</v>
      </c>
      <c r="N129" s="1">
        <v>2</v>
      </c>
      <c r="Q129" s="92"/>
      <c r="R129" s="92"/>
      <c r="S129" s="92"/>
      <c r="T129" s="92"/>
      <c r="X129" s="1">
        <v>0</v>
      </c>
      <c r="Y129" s="1">
        <v>0</v>
      </c>
      <c r="Z129" s="1">
        <v>0</v>
      </c>
      <c r="AA129" s="1">
        <v>0</v>
      </c>
      <c r="AB129" s="1">
        <v>1</v>
      </c>
      <c r="AC129" s="1">
        <v>0</v>
      </c>
      <c r="AD129" s="1">
        <v>0</v>
      </c>
      <c r="AE129" s="1">
        <v>0</v>
      </c>
      <c r="AF129" s="1">
        <v>0</v>
      </c>
      <c r="AG129" s="1">
        <v>0</v>
      </c>
      <c r="AH129" s="1">
        <v>1</v>
      </c>
      <c r="AI129" s="1">
        <v>1</v>
      </c>
      <c r="AJ129" s="1">
        <v>1</v>
      </c>
      <c r="AK129" s="1">
        <v>0</v>
      </c>
      <c r="AL129" s="1">
        <v>0</v>
      </c>
      <c r="AM129" s="1">
        <v>0</v>
      </c>
      <c r="AN129" s="1">
        <v>0</v>
      </c>
      <c r="AO129" s="1">
        <v>1</v>
      </c>
      <c r="AP129" s="1">
        <v>0</v>
      </c>
    </row>
    <row r="130" spans="1:42" x14ac:dyDescent="0.35">
      <c r="A130">
        <v>129</v>
      </c>
      <c r="B130" s="83">
        <v>44270</v>
      </c>
      <c r="C130" s="92" t="s">
        <v>32</v>
      </c>
      <c r="D130" s="92" t="s">
        <v>106</v>
      </c>
      <c r="E130" s="92" t="s">
        <v>19</v>
      </c>
      <c r="F130" s="92" t="s">
        <v>401</v>
      </c>
      <c r="G130" s="92" t="s">
        <v>45</v>
      </c>
      <c r="H130" s="92" t="s">
        <v>29</v>
      </c>
      <c r="I130" s="92" t="s">
        <v>62</v>
      </c>
      <c r="J130" s="1">
        <v>1</v>
      </c>
      <c r="K130" s="1">
        <v>1</v>
      </c>
      <c r="M130" s="1">
        <v>1</v>
      </c>
      <c r="N130" s="1">
        <v>2</v>
      </c>
      <c r="Q130" s="92"/>
      <c r="R130" s="92"/>
      <c r="S130" s="92"/>
      <c r="T130" s="92"/>
      <c r="X130" s="1">
        <v>0</v>
      </c>
      <c r="Y130" s="1">
        <v>1</v>
      </c>
      <c r="Z130" s="1">
        <v>0</v>
      </c>
      <c r="AA130" s="1">
        <v>0</v>
      </c>
      <c r="AB130" s="1">
        <v>0</v>
      </c>
      <c r="AC130" s="1">
        <v>0</v>
      </c>
      <c r="AD130" s="1">
        <v>1</v>
      </c>
      <c r="AE130" s="1">
        <v>7.4074000000000001E-2</v>
      </c>
      <c r="AF130" s="1">
        <v>0</v>
      </c>
      <c r="AG130" s="1">
        <v>0</v>
      </c>
      <c r="AH130" s="1">
        <v>1.1000000000000001</v>
      </c>
      <c r="AI130" s="1">
        <v>1</v>
      </c>
      <c r="AJ130" s="1">
        <v>1</v>
      </c>
      <c r="AK130" s="1">
        <v>0</v>
      </c>
      <c r="AL130" s="1">
        <v>0</v>
      </c>
      <c r="AM130" s="1">
        <v>1</v>
      </c>
      <c r="AN130" s="1">
        <v>0</v>
      </c>
      <c r="AO130" s="1">
        <v>0</v>
      </c>
      <c r="AP130" s="1">
        <v>1</v>
      </c>
    </row>
    <row r="131" spans="1:42" x14ac:dyDescent="0.35">
      <c r="A131">
        <v>130</v>
      </c>
      <c r="B131" s="83">
        <v>44270</v>
      </c>
      <c r="C131" s="92" t="s">
        <v>32</v>
      </c>
      <c r="D131" s="92" t="s">
        <v>109</v>
      </c>
      <c r="E131" s="92" t="s">
        <v>107</v>
      </c>
      <c r="F131" s="92" t="s">
        <v>399</v>
      </c>
      <c r="G131" s="92"/>
      <c r="H131" s="92" t="s">
        <v>29</v>
      </c>
      <c r="I131" s="92" t="s">
        <v>408</v>
      </c>
      <c r="J131" s="1">
        <v>1</v>
      </c>
      <c r="K131" s="1">
        <v>1</v>
      </c>
      <c r="L131" s="1">
        <v>1</v>
      </c>
      <c r="N131" s="1">
        <v>1</v>
      </c>
      <c r="O131" s="1">
        <v>1</v>
      </c>
      <c r="Q131" s="92"/>
      <c r="R131" s="92"/>
      <c r="S131" s="92"/>
      <c r="T131" s="92"/>
      <c r="X131" s="1">
        <v>0</v>
      </c>
      <c r="Y131" s="1">
        <v>1</v>
      </c>
      <c r="Z131" s="1">
        <v>0</v>
      </c>
      <c r="AA131" s="1">
        <v>0</v>
      </c>
      <c r="AB131" s="1">
        <v>0</v>
      </c>
      <c r="AC131" s="1">
        <v>0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>
        <v>0</v>
      </c>
      <c r="AJ131" s="1">
        <v>0</v>
      </c>
      <c r="AK131" s="1">
        <v>0</v>
      </c>
      <c r="AL131" s="1">
        <v>0</v>
      </c>
      <c r="AM131" s="1">
        <v>0</v>
      </c>
      <c r="AN131" s="1">
        <v>0</v>
      </c>
      <c r="AO131" s="1">
        <v>0</v>
      </c>
      <c r="AP131" s="1">
        <v>0</v>
      </c>
    </row>
    <row r="132" spans="1:42" x14ac:dyDescent="0.35">
      <c r="A132">
        <v>131</v>
      </c>
      <c r="B132" s="83">
        <v>44690</v>
      </c>
      <c r="C132" s="92" t="s">
        <v>32</v>
      </c>
      <c r="D132" s="92" t="s">
        <v>106</v>
      </c>
      <c r="E132" s="92" t="s">
        <v>263</v>
      </c>
      <c r="F132" s="92" t="s">
        <v>33</v>
      </c>
      <c r="G132" s="92" t="s">
        <v>21</v>
      </c>
      <c r="H132" s="92" t="s">
        <v>23</v>
      </c>
      <c r="I132" s="92" t="s">
        <v>35</v>
      </c>
      <c r="J132" s="1">
        <v>1</v>
      </c>
      <c r="K132" s="1">
        <v>1</v>
      </c>
      <c r="M132" s="1">
        <v>1</v>
      </c>
      <c r="N132" s="1">
        <v>2</v>
      </c>
      <c r="Q132" s="92"/>
      <c r="R132" s="92"/>
      <c r="S132" s="92"/>
      <c r="T132" s="92"/>
      <c r="X132" s="1">
        <v>1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7.4074000000000001E-2</v>
      </c>
      <c r="AF132" s="1">
        <v>0</v>
      </c>
      <c r="AG132" s="1">
        <v>0</v>
      </c>
      <c r="AH132" s="1">
        <v>2</v>
      </c>
      <c r="AI132" s="1">
        <v>1</v>
      </c>
      <c r="AJ132" s="1">
        <v>1</v>
      </c>
      <c r="AK132" s="1">
        <v>0</v>
      </c>
      <c r="AL132" s="1">
        <v>0</v>
      </c>
      <c r="AM132" s="1">
        <v>0</v>
      </c>
      <c r="AN132" s="1">
        <v>2</v>
      </c>
      <c r="AO132" s="1">
        <v>0</v>
      </c>
      <c r="AP132" s="1">
        <v>1</v>
      </c>
    </row>
    <row r="133" spans="1:42" x14ac:dyDescent="0.35">
      <c r="A133">
        <v>132</v>
      </c>
      <c r="B133" s="83">
        <v>44690</v>
      </c>
      <c r="C133" s="92" t="s">
        <v>32</v>
      </c>
      <c r="D133" s="92" t="s">
        <v>109</v>
      </c>
      <c r="E133" s="92" t="s">
        <v>107</v>
      </c>
      <c r="F133" s="92" t="s">
        <v>399</v>
      </c>
      <c r="G133" s="92"/>
      <c r="H133" s="92" t="s">
        <v>28</v>
      </c>
      <c r="I133" s="92" t="s">
        <v>104</v>
      </c>
      <c r="J133" s="1">
        <v>1</v>
      </c>
      <c r="K133" s="1">
        <v>1</v>
      </c>
      <c r="L133" s="1">
        <v>1</v>
      </c>
      <c r="N133" s="1">
        <v>1</v>
      </c>
      <c r="O133" s="1">
        <v>1</v>
      </c>
      <c r="Q133" s="92" t="s">
        <v>423</v>
      </c>
      <c r="R133" s="92"/>
      <c r="S133" s="92"/>
      <c r="T133" s="92"/>
      <c r="X133" s="1">
        <v>1</v>
      </c>
      <c r="Y133" s="1">
        <v>0</v>
      </c>
      <c r="Z133" s="1">
        <v>0</v>
      </c>
      <c r="AA133" s="1">
        <v>0</v>
      </c>
      <c r="AB133" s="1">
        <v>0</v>
      </c>
      <c r="AC133" s="1">
        <v>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>
        <v>0</v>
      </c>
      <c r="AJ133" s="1">
        <v>0</v>
      </c>
      <c r="AK133" s="1">
        <v>0</v>
      </c>
      <c r="AL133" s="1">
        <v>0</v>
      </c>
      <c r="AM133" s="1">
        <v>0</v>
      </c>
      <c r="AN133" s="1">
        <v>0</v>
      </c>
      <c r="AO133" s="1">
        <v>0</v>
      </c>
      <c r="AP133" s="1">
        <v>0</v>
      </c>
    </row>
    <row r="134" spans="1:42" x14ac:dyDescent="0.35">
      <c r="A134">
        <v>133</v>
      </c>
      <c r="B134" s="83">
        <v>44690</v>
      </c>
      <c r="C134" s="92" t="s">
        <v>32</v>
      </c>
      <c r="D134" s="92" t="s">
        <v>267</v>
      </c>
      <c r="E134" s="92"/>
      <c r="F134" s="92"/>
      <c r="G134" s="92"/>
      <c r="H134" s="92"/>
      <c r="I134" s="92"/>
      <c r="Q134" s="92"/>
      <c r="R134" s="92" t="s">
        <v>88</v>
      </c>
      <c r="S134" s="92" t="s">
        <v>83</v>
      </c>
      <c r="T134" s="92" t="s">
        <v>89</v>
      </c>
      <c r="U134" s="1">
        <v>1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0</v>
      </c>
      <c r="AJ134" s="1">
        <v>0</v>
      </c>
      <c r="AK134" s="1">
        <v>0</v>
      </c>
      <c r="AL134" s="1">
        <v>0</v>
      </c>
      <c r="AM134" s="1">
        <v>0</v>
      </c>
      <c r="AN134" s="1">
        <v>0</v>
      </c>
      <c r="AO134" s="1">
        <v>0</v>
      </c>
      <c r="AP134" s="1">
        <v>0</v>
      </c>
    </row>
    <row r="135" spans="1:42" x14ac:dyDescent="0.35">
      <c r="A135">
        <v>134</v>
      </c>
      <c r="B135" s="83">
        <v>44690</v>
      </c>
      <c r="C135" s="92" t="s">
        <v>32</v>
      </c>
      <c r="D135" s="92" t="s">
        <v>111</v>
      </c>
      <c r="E135" s="92" t="s">
        <v>263</v>
      </c>
      <c r="F135" s="92" t="s">
        <v>33</v>
      </c>
      <c r="G135" s="92"/>
      <c r="H135" s="92"/>
      <c r="I135" s="92"/>
      <c r="P135" s="1">
        <v>1</v>
      </c>
      <c r="Q135" s="92"/>
      <c r="R135" s="92"/>
      <c r="S135" s="92"/>
      <c r="T135" s="92"/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0</v>
      </c>
      <c r="AJ135" s="1">
        <v>0</v>
      </c>
      <c r="AK135" s="1">
        <v>0</v>
      </c>
      <c r="AL135" s="1">
        <v>0</v>
      </c>
      <c r="AM135" s="1">
        <v>0</v>
      </c>
      <c r="AN135" s="1">
        <v>0</v>
      </c>
      <c r="AO135" s="1">
        <v>0</v>
      </c>
      <c r="AP135" s="1">
        <v>0</v>
      </c>
    </row>
    <row r="136" spans="1:42" x14ac:dyDescent="0.35">
      <c r="A136">
        <v>135</v>
      </c>
      <c r="B136" s="83">
        <v>44691</v>
      </c>
      <c r="C136" s="92" t="s">
        <v>32</v>
      </c>
      <c r="D136" s="92" t="s">
        <v>392</v>
      </c>
      <c r="E136" s="92" t="s">
        <v>107</v>
      </c>
      <c r="F136" s="92" t="s">
        <v>399</v>
      </c>
      <c r="G136" s="92"/>
      <c r="H136" s="92"/>
      <c r="I136" s="92"/>
      <c r="Q136" s="92"/>
      <c r="R136" s="92"/>
      <c r="S136" s="92"/>
      <c r="T136" s="92"/>
      <c r="V136" s="1">
        <v>117</v>
      </c>
      <c r="W136" s="1">
        <v>1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0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>
        <v>0</v>
      </c>
      <c r="AJ136" s="1">
        <v>0</v>
      </c>
      <c r="AK136" s="1">
        <v>0</v>
      </c>
      <c r="AL136" s="1">
        <v>0</v>
      </c>
      <c r="AM136" s="1">
        <v>0</v>
      </c>
      <c r="AN136" s="1">
        <v>0</v>
      </c>
      <c r="AO136" s="1">
        <v>0</v>
      </c>
      <c r="AP136" s="1">
        <v>0</v>
      </c>
    </row>
    <row r="137" spans="1:42" x14ac:dyDescent="0.35">
      <c r="A137">
        <v>136</v>
      </c>
      <c r="B137" s="83">
        <v>45420</v>
      </c>
      <c r="C137" s="92" t="s">
        <v>429</v>
      </c>
      <c r="D137" s="92" t="s">
        <v>106</v>
      </c>
      <c r="E137" s="92" t="s">
        <v>263</v>
      </c>
      <c r="F137" s="92" t="s">
        <v>33</v>
      </c>
      <c r="G137" s="92" t="s">
        <v>21</v>
      </c>
      <c r="H137" s="92" t="s">
        <v>23</v>
      </c>
      <c r="I137" s="92" t="s">
        <v>35</v>
      </c>
      <c r="J137" s="1">
        <v>1</v>
      </c>
      <c r="K137" s="1">
        <v>1</v>
      </c>
      <c r="M137" s="1">
        <v>1</v>
      </c>
      <c r="N137" s="1">
        <v>2</v>
      </c>
      <c r="Q137" s="92"/>
      <c r="R137" s="92"/>
      <c r="S137" s="92"/>
      <c r="T137" s="92"/>
      <c r="X137" s="1">
        <v>1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0</v>
      </c>
      <c r="AE137" s="1">
        <v>7.4074000000000001E-2</v>
      </c>
      <c r="AF137" s="1">
        <v>0</v>
      </c>
      <c r="AG137" s="1">
        <v>0</v>
      </c>
      <c r="AH137" s="1">
        <v>2</v>
      </c>
      <c r="AI137" s="1">
        <v>1</v>
      </c>
      <c r="AJ137" s="1">
        <v>1</v>
      </c>
      <c r="AK137" s="1">
        <v>0</v>
      </c>
      <c r="AL137" s="1">
        <v>0</v>
      </c>
      <c r="AM137" s="1">
        <v>0</v>
      </c>
      <c r="AN137" s="1">
        <v>2</v>
      </c>
      <c r="AO137" s="1">
        <v>0</v>
      </c>
      <c r="AP137" s="1">
        <v>1</v>
      </c>
    </row>
    <row r="138" spans="1:42" x14ac:dyDescent="0.35">
      <c r="A138">
        <v>137</v>
      </c>
      <c r="B138" s="83">
        <v>45433</v>
      </c>
      <c r="C138" s="92" t="s">
        <v>429</v>
      </c>
      <c r="D138" s="92" t="s">
        <v>106</v>
      </c>
      <c r="E138" s="92" t="s">
        <v>19</v>
      </c>
      <c r="F138" s="92" t="s">
        <v>430</v>
      </c>
      <c r="G138" s="92" t="s">
        <v>21</v>
      </c>
      <c r="H138" s="92" t="s">
        <v>23</v>
      </c>
      <c r="I138" s="92" t="s">
        <v>53</v>
      </c>
      <c r="J138" s="1">
        <v>1</v>
      </c>
      <c r="K138" s="1">
        <v>1</v>
      </c>
      <c r="M138" s="1">
        <v>1</v>
      </c>
      <c r="N138" s="1">
        <v>2</v>
      </c>
      <c r="Q138" s="92"/>
      <c r="R138" s="92"/>
      <c r="S138" s="92"/>
      <c r="T138" s="92"/>
      <c r="X138" s="1">
        <v>1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7.4074000000000001E-2</v>
      </c>
      <c r="AF138" s="1">
        <v>0</v>
      </c>
      <c r="AG138" s="1">
        <v>0</v>
      </c>
      <c r="AH138" s="1">
        <v>1.1000000000000001</v>
      </c>
      <c r="AI138" s="1">
        <v>1</v>
      </c>
      <c r="AJ138" s="1">
        <v>1</v>
      </c>
      <c r="AK138" s="1">
        <v>0</v>
      </c>
      <c r="AL138" s="1">
        <v>0</v>
      </c>
      <c r="AM138" s="1">
        <v>1</v>
      </c>
      <c r="AN138" s="1">
        <v>0</v>
      </c>
      <c r="AO138" s="1">
        <v>0</v>
      </c>
      <c r="AP138" s="1">
        <v>1</v>
      </c>
    </row>
    <row r="139" spans="1:42" x14ac:dyDescent="0.35">
      <c r="A139">
        <v>138</v>
      </c>
      <c r="B139" s="83">
        <v>45439</v>
      </c>
      <c r="C139" s="92" t="s">
        <v>429</v>
      </c>
      <c r="D139" s="92" t="s">
        <v>106</v>
      </c>
      <c r="E139" s="92" t="s">
        <v>20</v>
      </c>
      <c r="F139" s="92" t="s">
        <v>432</v>
      </c>
      <c r="G139" s="92" t="s">
        <v>433</v>
      </c>
      <c r="H139" s="92" t="s">
        <v>433</v>
      </c>
      <c r="I139" s="92" t="s">
        <v>433</v>
      </c>
      <c r="J139" s="1">
        <v>1</v>
      </c>
      <c r="K139" s="1">
        <v>0</v>
      </c>
      <c r="M139" s="1">
        <v>0</v>
      </c>
      <c r="N139" s="1">
        <v>0</v>
      </c>
      <c r="Q139" s="92"/>
      <c r="R139" s="92"/>
      <c r="S139" s="92"/>
      <c r="T139" s="92"/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0</v>
      </c>
    </row>
    <row r="140" spans="1:42" x14ac:dyDescent="0.35">
      <c r="A140">
        <v>139</v>
      </c>
      <c r="B140" s="83">
        <v>46167</v>
      </c>
      <c r="C140" s="92" t="s">
        <v>429</v>
      </c>
      <c r="D140" s="92" t="s">
        <v>106</v>
      </c>
      <c r="E140" s="92" t="s">
        <v>19</v>
      </c>
      <c r="F140" s="92" t="s">
        <v>461</v>
      </c>
      <c r="G140" s="92" t="s">
        <v>21</v>
      </c>
      <c r="H140" s="92" t="s">
        <v>23</v>
      </c>
      <c r="I140" s="92" t="s">
        <v>35</v>
      </c>
      <c r="J140" s="1">
        <v>0</v>
      </c>
      <c r="K140" s="1">
        <v>0</v>
      </c>
      <c r="M140" s="1">
        <v>0</v>
      </c>
      <c r="N140" s="1">
        <v>0</v>
      </c>
      <c r="Q140" s="92"/>
      <c r="R140" s="92"/>
      <c r="S140" s="92"/>
      <c r="T140" s="92"/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0</v>
      </c>
      <c r="AL140" s="1">
        <v>0</v>
      </c>
      <c r="AM140" s="1">
        <v>0</v>
      </c>
      <c r="AN140" s="1">
        <v>0</v>
      </c>
      <c r="AO140" s="1">
        <v>0</v>
      </c>
      <c r="AP140" s="1">
        <v>0</v>
      </c>
    </row>
    <row r="141" spans="1:42" x14ac:dyDescent="0.35">
      <c r="A141">
        <v>140</v>
      </c>
      <c r="B141" s="83">
        <v>46170</v>
      </c>
      <c r="C141" s="92" t="s">
        <v>429</v>
      </c>
      <c r="D141" s="92" t="s">
        <v>106</v>
      </c>
      <c r="E141" s="92" t="s">
        <v>19</v>
      </c>
      <c r="F141" s="92" t="s">
        <v>461</v>
      </c>
      <c r="G141" s="92" t="s">
        <v>21</v>
      </c>
      <c r="H141" s="92" t="s">
        <v>23</v>
      </c>
      <c r="I141" s="92" t="s">
        <v>35</v>
      </c>
      <c r="J141" s="1">
        <v>0</v>
      </c>
      <c r="K141" s="1">
        <v>0</v>
      </c>
      <c r="M141" s="1">
        <v>0</v>
      </c>
      <c r="N141" s="1">
        <v>0</v>
      </c>
      <c r="Q141" s="92"/>
      <c r="R141" s="92"/>
      <c r="S141" s="92"/>
      <c r="T141" s="92"/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0</v>
      </c>
      <c r="AL141" s="1">
        <v>0</v>
      </c>
      <c r="AM141" s="1">
        <v>0</v>
      </c>
      <c r="AN141" s="1">
        <v>0</v>
      </c>
      <c r="AO141" s="1">
        <v>0</v>
      </c>
      <c r="AP141" s="1">
        <v>0</v>
      </c>
    </row>
    <row r="142" spans="1:42" x14ac:dyDescent="0.35">
      <c r="A142">
        <v>141</v>
      </c>
      <c r="B142" s="83">
        <v>46172</v>
      </c>
      <c r="C142" s="92" t="s">
        <v>429</v>
      </c>
      <c r="D142" s="92" t="s">
        <v>106</v>
      </c>
      <c r="E142" s="92" t="s">
        <v>19</v>
      </c>
      <c r="F142" s="92" t="s">
        <v>461</v>
      </c>
      <c r="G142" s="92" t="s">
        <v>21</v>
      </c>
      <c r="H142" s="92" t="s">
        <v>23</v>
      </c>
      <c r="I142" s="92" t="s">
        <v>35</v>
      </c>
      <c r="J142" s="1">
        <v>0</v>
      </c>
      <c r="K142" s="1">
        <v>0</v>
      </c>
      <c r="M142" s="1">
        <v>0</v>
      </c>
      <c r="N142" s="1">
        <v>0</v>
      </c>
      <c r="Q142" s="92"/>
      <c r="R142" s="92"/>
      <c r="S142" s="92"/>
      <c r="T142" s="92"/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0</v>
      </c>
      <c r="AL142" s="1">
        <v>0</v>
      </c>
      <c r="AM142" s="1">
        <v>0</v>
      </c>
      <c r="AN142" s="1">
        <v>0</v>
      </c>
      <c r="AO142" s="1">
        <v>0</v>
      </c>
      <c r="AP142" s="1">
        <v>0</v>
      </c>
    </row>
    <row r="143" spans="1:42" x14ac:dyDescent="0.35">
      <c r="A143">
        <v>142</v>
      </c>
      <c r="B143" s="83">
        <v>46172</v>
      </c>
      <c r="C143" s="92" t="s">
        <v>429</v>
      </c>
      <c r="D143" s="92" t="s">
        <v>106</v>
      </c>
      <c r="E143" s="92" t="s">
        <v>20</v>
      </c>
      <c r="F143" s="92" t="s">
        <v>432</v>
      </c>
      <c r="G143" s="92" t="s">
        <v>433</v>
      </c>
      <c r="H143" s="92" t="s">
        <v>433</v>
      </c>
      <c r="I143" s="92" t="s">
        <v>433</v>
      </c>
      <c r="J143" s="1">
        <v>1</v>
      </c>
      <c r="K143" s="1">
        <v>50</v>
      </c>
      <c r="M143" s="1">
        <v>0</v>
      </c>
      <c r="N143" s="1">
        <v>50</v>
      </c>
      <c r="Q143" s="92"/>
      <c r="R143" s="92"/>
      <c r="S143" s="92"/>
      <c r="T143" s="92"/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50</v>
      </c>
      <c r="AI143" s="1">
        <v>50</v>
      </c>
      <c r="AJ143" s="1">
        <v>50</v>
      </c>
      <c r="AK143" s="1">
        <v>0</v>
      </c>
      <c r="AL143" s="1">
        <v>0</v>
      </c>
      <c r="AM143" s="1">
        <v>0</v>
      </c>
      <c r="AN143" s="1">
        <v>0</v>
      </c>
      <c r="AO143" s="1">
        <v>50</v>
      </c>
      <c r="AP143" s="1">
        <v>0</v>
      </c>
    </row>
    <row r="144" spans="1:42" x14ac:dyDescent="0.35">
      <c r="A144">
        <v>143</v>
      </c>
      <c r="B144" s="83">
        <v>46173</v>
      </c>
      <c r="C144" s="92" t="s">
        <v>429</v>
      </c>
      <c r="D144" s="92" t="s">
        <v>109</v>
      </c>
      <c r="E144" s="92" t="s">
        <v>108</v>
      </c>
      <c r="F144" s="92" t="s">
        <v>462</v>
      </c>
      <c r="G144" s="92"/>
      <c r="H144" s="92" t="s">
        <v>433</v>
      </c>
      <c r="I144" s="92" t="s">
        <v>463</v>
      </c>
      <c r="J144" s="1">
        <v>1</v>
      </c>
      <c r="K144" s="1">
        <v>50</v>
      </c>
      <c r="L144" s="1">
        <v>0.43</v>
      </c>
      <c r="N144" s="1">
        <v>50</v>
      </c>
      <c r="O144" s="1">
        <v>0.43</v>
      </c>
      <c r="Q144" s="92"/>
      <c r="R144" s="92"/>
      <c r="S144" s="92"/>
      <c r="T144" s="92"/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">
        <v>0</v>
      </c>
      <c r="AM144" s="1">
        <v>0</v>
      </c>
      <c r="AN144" s="1">
        <v>0</v>
      </c>
      <c r="AO144" s="1">
        <v>0</v>
      </c>
      <c r="AP144" s="1">
        <v>0</v>
      </c>
    </row>
    <row r="145" spans="1:42" x14ac:dyDescent="0.35">
      <c r="A145">
        <v>144</v>
      </c>
      <c r="B145" s="83">
        <v>46172</v>
      </c>
      <c r="C145" s="92" t="s">
        <v>429</v>
      </c>
      <c r="D145" s="92" t="s">
        <v>106</v>
      </c>
      <c r="E145" s="92" t="s">
        <v>263</v>
      </c>
      <c r="F145" s="92" t="s">
        <v>33</v>
      </c>
      <c r="G145" s="92" t="s">
        <v>21</v>
      </c>
      <c r="H145" s="92" t="s">
        <v>23</v>
      </c>
      <c r="I145" s="92" t="s">
        <v>35</v>
      </c>
      <c r="J145" s="1">
        <v>25</v>
      </c>
      <c r="K145" s="1">
        <v>400</v>
      </c>
      <c r="M145" s="1">
        <v>0</v>
      </c>
      <c r="N145" s="1">
        <v>10000</v>
      </c>
      <c r="Q145" s="92"/>
      <c r="R145" s="92"/>
      <c r="S145" s="92"/>
      <c r="T145" s="92"/>
      <c r="X145" s="1">
        <v>25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29.6296</v>
      </c>
      <c r="AF145" s="1">
        <v>370</v>
      </c>
      <c r="AG145" s="1">
        <v>9259</v>
      </c>
      <c r="AH145" s="1">
        <v>10000</v>
      </c>
      <c r="AI145" s="1">
        <v>370.37040000000002</v>
      </c>
      <c r="AJ145" s="1">
        <v>9259.26</v>
      </c>
      <c r="AK145" s="1">
        <v>0</v>
      </c>
      <c r="AL145" s="1">
        <v>0</v>
      </c>
      <c r="AM145" s="1">
        <v>0</v>
      </c>
      <c r="AN145" s="1">
        <v>400</v>
      </c>
      <c r="AO145" s="1">
        <v>0</v>
      </c>
      <c r="AP145" s="1">
        <v>0</v>
      </c>
    </row>
    <row r="146" spans="1:42" x14ac:dyDescent="0.35">
      <c r="A146">
        <v>145</v>
      </c>
      <c r="B146" s="83">
        <v>46175</v>
      </c>
      <c r="C146" s="92" t="s">
        <v>429</v>
      </c>
      <c r="D146" s="92" t="s">
        <v>267</v>
      </c>
      <c r="E146" s="92"/>
      <c r="F146" s="92"/>
      <c r="G146" s="92"/>
      <c r="H146" s="92"/>
      <c r="I146" s="92"/>
      <c r="Q146" s="92"/>
      <c r="R146" s="92" t="s">
        <v>88</v>
      </c>
      <c r="S146" s="92" t="s">
        <v>87</v>
      </c>
      <c r="T146" s="92" t="s">
        <v>95</v>
      </c>
      <c r="U146" s="1">
        <v>250000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0</v>
      </c>
      <c r="AK146" s="1">
        <v>0</v>
      </c>
      <c r="AL146" s="1">
        <v>0</v>
      </c>
      <c r="AM146" s="1">
        <v>0</v>
      </c>
      <c r="AN146" s="1">
        <v>0</v>
      </c>
      <c r="AO146" s="1">
        <v>0</v>
      </c>
      <c r="AP146" s="1">
        <v>0</v>
      </c>
    </row>
    <row r="147" spans="1:42" x14ac:dyDescent="0.35">
      <c r="A147">
        <v>146</v>
      </c>
      <c r="B147" s="83">
        <v>46175</v>
      </c>
      <c r="C147" s="92" t="s">
        <v>429</v>
      </c>
      <c r="D147" s="92" t="s">
        <v>267</v>
      </c>
      <c r="E147" s="92"/>
      <c r="F147" s="92"/>
      <c r="G147" s="92"/>
      <c r="H147" s="92"/>
      <c r="I147" s="92"/>
      <c r="Q147" s="92"/>
      <c r="R147" s="92" t="s">
        <v>88</v>
      </c>
      <c r="S147" s="92" t="s">
        <v>84</v>
      </c>
      <c r="T147" s="92" t="s">
        <v>91</v>
      </c>
      <c r="U147" s="1">
        <v>500000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0</v>
      </c>
      <c r="AK147" s="1">
        <v>0</v>
      </c>
      <c r="AL147" s="1">
        <v>0</v>
      </c>
      <c r="AM147" s="1">
        <v>0</v>
      </c>
      <c r="AN147" s="1">
        <v>0</v>
      </c>
      <c r="AO147" s="1">
        <v>0</v>
      </c>
      <c r="AP147" s="1">
        <v>0</v>
      </c>
    </row>
    <row r="148" spans="1:42" x14ac:dyDescent="0.35">
      <c r="A148">
        <v>147</v>
      </c>
      <c r="B148" s="83">
        <v>46176</v>
      </c>
      <c r="C148" s="92" t="s">
        <v>429</v>
      </c>
      <c r="D148" s="92" t="s">
        <v>111</v>
      </c>
      <c r="E148" s="92" t="s">
        <v>263</v>
      </c>
      <c r="F148" s="92" t="s">
        <v>33</v>
      </c>
      <c r="G148" s="92"/>
      <c r="H148" s="92"/>
      <c r="I148" s="92"/>
      <c r="P148" s="1">
        <v>72390</v>
      </c>
      <c r="Q148" s="92"/>
      <c r="R148" s="92"/>
      <c r="S148" s="92"/>
      <c r="T148" s="92"/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0</v>
      </c>
      <c r="AK148" s="1">
        <v>0</v>
      </c>
      <c r="AL148" s="1">
        <v>0</v>
      </c>
      <c r="AM148" s="1">
        <v>0</v>
      </c>
      <c r="AN148" s="1">
        <v>0</v>
      </c>
      <c r="AO148" s="1">
        <v>0</v>
      </c>
      <c r="AP148" s="1">
        <v>0</v>
      </c>
    </row>
    <row r="149" spans="1:42" x14ac:dyDescent="0.35">
      <c r="A149">
        <v>148</v>
      </c>
      <c r="B149" s="83">
        <v>46177</v>
      </c>
      <c r="C149" s="92" t="s">
        <v>429</v>
      </c>
      <c r="D149" s="92" t="s">
        <v>267</v>
      </c>
      <c r="E149" s="92"/>
      <c r="F149" s="92"/>
      <c r="G149" s="92"/>
      <c r="H149" s="92"/>
      <c r="I149" s="92"/>
      <c r="Q149" s="92"/>
      <c r="R149" s="92" t="s">
        <v>88</v>
      </c>
      <c r="S149" s="92" t="s">
        <v>85</v>
      </c>
      <c r="T149" s="92" t="s">
        <v>464</v>
      </c>
      <c r="U149" s="1">
        <v>5046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0</v>
      </c>
      <c r="AK149" s="1">
        <v>0</v>
      </c>
      <c r="AL149" s="1">
        <v>0</v>
      </c>
      <c r="AM149" s="1">
        <v>0</v>
      </c>
      <c r="AN149" s="1">
        <v>0</v>
      </c>
      <c r="AO149" s="1">
        <v>0</v>
      </c>
      <c r="AP149" s="1">
        <v>0</v>
      </c>
    </row>
    <row r="150" spans="1:42" x14ac:dyDescent="0.35">
      <c r="A150">
        <v>149</v>
      </c>
      <c r="B150" s="83">
        <v>46177</v>
      </c>
      <c r="C150" s="92" t="s">
        <v>429</v>
      </c>
      <c r="D150" s="92" t="s">
        <v>267</v>
      </c>
      <c r="E150" s="92"/>
      <c r="F150" s="92"/>
      <c r="G150" s="92"/>
      <c r="H150" s="92"/>
      <c r="I150" s="92"/>
      <c r="Q150" s="92"/>
      <c r="R150" s="92" t="s">
        <v>88</v>
      </c>
      <c r="S150" s="92" t="s">
        <v>85</v>
      </c>
      <c r="T150" s="92" t="s">
        <v>465</v>
      </c>
      <c r="U150" s="1">
        <v>241014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0</v>
      </c>
      <c r="AK150" s="1">
        <v>0</v>
      </c>
      <c r="AL150" s="1">
        <v>0</v>
      </c>
      <c r="AM150" s="1">
        <v>0</v>
      </c>
      <c r="AN150" s="1">
        <v>0</v>
      </c>
      <c r="AO150" s="1">
        <v>0</v>
      </c>
      <c r="AP150" s="1">
        <v>0</v>
      </c>
    </row>
    <row r="151" spans="1:42" x14ac:dyDescent="0.35">
      <c r="A151">
        <v>150</v>
      </c>
      <c r="B151" s="83">
        <v>46178</v>
      </c>
      <c r="C151" s="92" t="s">
        <v>429</v>
      </c>
      <c r="D151" s="92" t="s">
        <v>267</v>
      </c>
      <c r="E151" s="92"/>
      <c r="F151" s="92"/>
      <c r="G151" s="92"/>
      <c r="H151" s="92"/>
      <c r="I151" s="92"/>
      <c r="Q151" s="92"/>
      <c r="R151" s="92" t="s">
        <v>88</v>
      </c>
      <c r="S151" s="92" t="s">
        <v>110</v>
      </c>
      <c r="T151" s="92" t="s">
        <v>466</v>
      </c>
      <c r="U151" s="1">
        <v>200000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0</v>
      </c>
      <c r="AK151" s="1">
        <v>0</v>
      </c>
      <c r="AL151" s="1">
        <v>0</v>
      </c>
      <c r="AM151" s="1">
        <v>0</v>
      </c>
      <c r="AN151" s="1">
        <v>0</v>
      </c>
      <c r="AO151" s="1">
        <v>0</v>
      </c>
      <c r="AP151" s="1">
        <v>0</v>
      </c>
    </row>
    <row r="152" spans="1:42" x14ac:dyDescent="0.35">
      <c r="A152">
        <v>151</v>
      </c>
      <c r="B152" s="83">
        <v>46178</v>
      </c>
      <c r="C152" s="92" t="s">
        <v>429</v>
      </c>
      <c r="D152" s="92" t="s">
        <v>267</v>
      </c>
      <c r="E152" s="92"/>
      <c r="F152" s="92"/>
      <c r="G152" s="92"/>
      <c r="H152" s="92"/>
      <c r="I152" s="92"/>
      <c r="Q152" s="92"/>
      <c r="R152" s="92" t="s">
        <v>88</v>
      </c>
      <c r="S152" s="92" t="s">
        <v>110</v>
      </c>
      <c r="T152" s="92" t="s">
        <v>93</v>
      </c>
      <c r="U152" s="1">
        <v>200000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>
        <v>0</v>
      </c>
      <c r="AJ152" s="1">
        <v>0</v>
      </c>
      <c r="AK152" s="1">
        <v>0</v>
      </c>
      <c r="AL152" s="1">
        <v>0</v>
      </c>
      <c r="AM152" s="1">
        <v>0</v>
      </c>
      <c r="AN152" s="1">
        <v>0</v>
      </c>
      <c r="AO152" s="1">
        <v>0</v>
      </c>
      <c r="AP152" s="1">
        <v>0</v>
      </c>
    </row>
    <row r="153" spans="1:42" x14ac:dyDescent="0.35">
      <c r="A153">
        <v>152</v>
      </c>
      <c r="B153" s="83">
        <v>46178</v>
      </c>
      <c r="C153" s="92" t="s">
        <v>429</v>
      </c>
      <c r="D153" s="92" t="s">
        <v>267</v>
      </c>
      <c r="E153" s="92"/>
      <c r="F153" s="92"/>
      <c r="G153" s="92"/>
      <c r="H153" s="92"/>
      <c r="I153" s="92"/>
      <c r="Q153" s="92"/>
      <c r="R153" s="92" t="s">
        <v>88</v>
      </c>
      <c r="S153" s="92" t="s">
        <v>84</v>
      </c>
      <c r="T153" s="92" t="s">
        <v>467</v>
      </c>
      <c r="U153" s="1">
        <v>100000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0</v>
      </c>
      <c r="AG153" s="1">
        <v>0</v>
      </c>
      <c r="AH153" s="1">
        <v>0</v>
      </c>
      <c r="AI153" s="1">
        <v>0</v>
      </c>
      <c r="AJ153" s="1">
        <v>0</v>
      </c>
      <c r="AK153" s="1">
        <v>0</v>
      </c>
      <c r="AL153" s="1">
        <v>0</v>
      </c>
      <c r="AM153" s="1">
        <v>0</v>
      </c>
      <c r="AN153" s="1">
        <v>0</v>
      </c>
      <c r="AO153" s="1">
        <v>0</v>
      </c>
      <c r="AP153" s="1">
        <v>0</v>
      </c>
    </row>
    <row r="154" spans="1:42" x14ac:dyDescent="0.35">
      <c r="A154">
        <v>153</v>
      </c>
      <c r="B154" s="83">
        <v>46178</v>
      </c>
      <c r="C154" s="92" t="s">
        <v>429</v>
      </c>
      <c r="D154" s="92" t="s">
        <v>267</v>
      </c>
      <c r="E154" s="92"/>
      <c r="F154" s="92"/>
      <c r="G154" s="92"/>
      <c r="H154" s="92"/>
      <c r="I154" s="92"/>
      <c r="Q154" s="92"/>
      <c r="R154" s="92" t="s">
        <v>88</v>
      </c>
      <c r="S154" s="92" t="s">
        <v>110</v>
      </c>
      <c r="T154" s="92" t="s">
        <v>468</v>
      </c>
      <c r="U154" s="1">
        <v>28800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I154" s="1">
        <v>0</v>
      </c>
      <c r="AJ154" s="1">
        <v>0</v>
      </c>
      <c r="AK154" s="1">
        <v>0</v>
      </c>
      <c r="AL154" s="1">
        <v>0</v>
      </c>
      <c r="AM154" s="1">
        <v>0</v>
      </c>
      <c r="AN154" s="1">
        <v>0</v>
      </c>
      <c r="AO154" s="1">
        <v>0</v>
      </c>
      <c r="AP154" s="1">
        <v>0</v>
      </c>
    </row>
    <row r="155" spans="1:42" x14ac:dyDescent="0.35">
      <c r="A155">
        <v>154</v>
      </c>
      <c r="B155" s="83">
        <v>46178</v>
      </c>
      <c r="C155" s="92" t="s">
        <v>429</v>
      </c>
      <c r="D155" s="92" t="s">
        <v>267</v>
      </c>
      <c r="E155" s="92"/>
      <c r="F155" s="92"/>
      <c r="G155" s="92"/>
      <c r="H155" s="92"/>
      <c r="I155" s="92"/>
      <c r="Q155" s="92"/>
      <c r="R155" s="92" t="s">
        <v>88</v>
      </c>
      <c r="S155" s="92" t="s">
        <v>87</v>
      </c>
      <c r="T155" s="92" t="s">
        <v>95</v>
      </c>
      <c r="U155" s="1">
        <v>32400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 s="1">
        <v>0</v>
      </c>
      <c r="AE155" s="1">
        <v>0</v>
      </c>
      <c r="AF155" s="1">
        <v>0</v>
      </c>
      <c r="AG155" s="1">
        <v>0</v>
      </c>
      <c r="AH155" s="1">
        <v>0</v>
      </c>
      <c r="AI155" s="1">
        <v>0</v>
      </c>
      <c r="AJ155" s="1">
        <v>0</v>
      </c>
      <c r="AK155" s="1">
        <v>0</v>
      </c>
      <c r="AL155" s="1">
        <v>0</v>
      </c>
      <c r="AM155" s="1">
        <v>0</v>
      </c>
      <c r="AN155" s="1">
        <v>0</v>
      </c>
      <c r="AO155" s="1">
        <v>0</v>
      </c>
      <c r="AP155" s="1">
        <v>0</v>
      </c>
    </row>
    <row r="156" spans="1:42" x14ac:dyDescent="0.35">
      <c r="A156">
        <v>155</v>
      </c>
      <c r="B156" s="83">
        <v>46178</v>
      </c>
      <c r="C156" s="92" t="s">
        <v>429</v>
      </c>
      <c r="D156" s="92" t="s">
        <v>267</v>
      </c>
      <c r="E156" s="92"/>
      <c r="F156" s="92"/>
      <c r="G156" s="92"/>
      <c r="H156" s="92"/>
      <c r="I156" s="92"/>
      <c r="Q156" s="92"/>
      <c r="R156" s="92" t="s">
        <v>88</v>
      </c>
      <c r="S156" s="92" t="s">
        <v>87</v>
      </c>
      <c r="T156" s="92" t="s">
        <v>95</v>
      </c>
      <c r="U156" s="1">
        <v>30000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0</v>
      </c>
      <c r="AG156" s="1">
        <v>0</v>
      </c>
      <c r="AH156" s="1">
        <v>0</v>
      </c>
      <c r="AI156" s="1">
        <v>0</v>
      </c>
      <c r="AJ156" s="1">
        <v>0</v>
      </c>
      <c r="AK156" s="1">
        <v>0</v>
      </c>
      <c r="AL156" s="1">
        <v>0</v>
      </c>
      <c r="AM156" s="1">
        <v>0</v>
      </c>
      <c r="AN156" s="1">
        <v>0</v>
      </c>
      <c r="AO156" s="1">
        <v>0</v>
      </c>
      <c r="AP156" s="1">
        <v>0</v>
      </c>
    </row>
    <row r="157" spans="1:42" x14ac:dyDescent="0.35">
      <c r="A157">
        <v>156</v>
      </c>
      <c r="B157" s="83">
        <v>46178</v>
      </c>
      <c r="C157" s="92" t="s">
        <v>429</v>
      </c>
      <c r="D157" s="92" t="s">
        <v>267</v>
      </c>
      <c r="E157" s="92"/>
      <c r="F157" s="92"/>
      <c r="G157" s="92"/>
      <c r="H157" s="92"/>
      <c r="I157" s="92"/>
      <c r="Q157" s="92"/>
      <c r="R157" s="92" t="s">
        <v>88</v>
      </c>
      <c r="S157" s="92" t="s">
        <v>110</v>
      </c>
      <c r="T157" s="92" t="s">
        <v>469</v>
      </c>
      <c r="U157" s="1">
        <v>10200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 s="1">
        <v>0</v>
      </c>
      <c r="AE157" s="1">
        <v>0</v>
      </c>
      <c r="AF157" s="1">
        <v>0</v>
      </c>
      <c r="AG157" s="1">
        <v>0</v>
      </c>
      <c r="AH157" s="1">
        <v>0</v>
      </c>
      <c r="AI157" s="1">
        <v>0</v>
      </c>
      <c r="AJ157" s="1">
        <v>0</v>
      </c>
      <c r="AK157" s="1">
        <v>0</v>
      </c>
      <c r="AL157" s="1">
        <v>0</v>
      </c>
      <c r="AM157" s="1">
        <v>0</v>
      </c>
      <c r="AN157" s="1">
        <v>0</v>
      </c>
      <c r="AO157" s="1">
        <v>0</v>
      </c>
      <c r="AP157" s="1">
        <v>0</v>
      </c>
    </row>
    <row r="158" spans="1:42" x14ac:dyDescent="0.35">
      <c r="A158">
        <v>157</v>
      </c>
      <c r="B158" s="83">
        <v>46178</v>
      </c>
      <c r="C158" s="92" t="s">
        <v>429</v>
      </c>
      <c r="D158" s="92" t="s">
        <v>267</v>
      </c>
      <c r="E158" s="92"/>
      <c r="F158" s="92"/>
      <c r="G158" s="92"/>
      <c r="H158" s="92"/>
      <c r="I158" s="92"/>
      <c r="Q158" s="92"/>
      <c r="R158" s="92" t="s">
        <v>88</v>
      </c>
      <c r="S158" s="92" t="s">
        <v>85</v>
      </c>
      <c r="T158" s="92" t="s">
        <v>470</v>
      </c>
      <c r="U158" s="1">
        <v>70000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0</v>
      </c>
      <c r="AD158" s="1">
        <v>0</v>
      </c>
      <c r="AE158" s="1">
        <v>0</v>
      </c>
      <c r="AF158" s="1">
        <v>0</v>
      </c>
      <c r="AG158" s="1">
        <v>0</v>
      </c>
      <c r="AH158" s="1">
        <v>0</v>
      </c>
      <c r="AI158" s="1">
        <v>0</v>
      </c>
      <c r="AJ158" s="1">
        <v>0</v>
      </c>
      <c r="AK158" s="1">
        <v>0</v>
      </c>
      <c r="AL158" s="1">
        <v>0</v>
      </c>
      <c r="AM158" s="1">
        <v>0</v>
      </c>
      <c r="AN158" s="1">
        <v>0</v>
      </c>
      <c r="AO158" s="1">
        <v>0</v>
      </c>
      <c r="AP158" s="1">
        <v>0</v>
      </c>
    </row>
    <row r="159" spans="1:42" x14ac:dyDescent="0.35">
      <c r="A159">
        <v>158</v>
      </c>
      <c r="B159" s="83">
        <v>46178</v>
      </c>
      <c r="C159" s="92" t="s">
        <v>429</v>
      </c>
      <c r="D159" s="92" t="s">
        <v>267</v>
      </c>
      <c r="E159" s="92"/>
      <c r="F159" s="92"/>
      <c r="G159" s="92"/>
      <c r="H159" s="92"/>
      <c r="I159" s="92"/>
      <c r="Q159" s="92"/>
      <c r="R159" s="92" t="s">
        <v>88</v>
      </c>
      <c r="S159" s="92" t="s">
        <v>110</v>
      </c>
      <c r="T159" s="92" t="s">
        <v>466</v>
      </c>
      <c r="U159" s="1">
        <v>100000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0</v>
      </c>
      <c r="AG159" s="1">
        <v>0</v>
      </c>
      <c r="AH159" s="1">
        <v>0</v>
      </c>
      <c r="AI159" s="1">
        <v>0</v>
      </c>
      <c r="AJ159" s="1">
        <v>0</v>
      </c>
      <c r="AK159" s="1">
        <v>0</v>
      </c>
      <c r="AL159" s="1">
        <v>0</v>
      </c>
      <c r="AM159" s="1">
        <v>0</v>
      </c>
      <c r="AN159" s="1">
        <v>0</v>
      </c>
      <c r="AO159" s="1">
        <v>0</v>
      </c>
      <c r="AP159" s="1">
        <v>0</v>
      </c>
    </row>
    <row r="160" spans="1:42" x14ac:dyDescent="0.35">
      <c r="A160">
        <v>159</v>
      </c>
      <c r="B160" s="83">
        <v>46179</v>
      </c>
      <c r="C160" s="92" t="s">
        <v>429</v>
      </c>
      <c r="D160" s="92" t="s">
        <v>267</v>
      </c>
      <c r="E160" s="92"/>
      <c r="F160" s="92"/>
      <c r="G160" s="92"/>
      <c r="H160" s="92"/>
      <c r="I160" s="92"/>
      <c r="Q160" s="92"/>
      <c r="R160" s="92" t="s">
        <v>88</v>
      </c>
      <c r="S160" s="92" t="s">
        <v>83</v>
      </c>
      <c r="T160" s="92" t="s">
        <v>471</v>
      </c>
      <c r="U160" s="1">
        <v>1050350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0</v>
      </c>
      <c r="AD160" s="1">
        <v>0</v>
      </c>
      <c r="AE160" s="1">
        <v>0</v>
      </c>
      <c r="AF160" s="1">
        <v>0</v>
      </c>
      <c r="AG160" s="1">
        <v>0</v>
      </c>
      <c r="AH160" s="1">
        <v>0</v>
      </c>
      <c r="AI160" s="1">
        <v>0</v>
      </c>
      <c r="AJ160" s="1">
        <v>0</v>
      </c>
      <c r="AK160" s="1">
        <v>0</v>
      </c>
      <c r="AL160" s="1">
        <v>0</v>
      </c>
      <c r="AM160" s="1">
        <v>0</v>
      </c>
      <c r="AN160" s="1">
        <v>0</v>
      </c>
      <c r="AO160" s="1">
        <v>0</v>
      </c>
      <c r="AP160" s="1">
        <v>0</v>
      </c>
    </row>
    <row r="161" spans="1:42" x14ac:dyDescent="0.35">
      <c r="A161">
        <v>160</v>
      </c>
      <c r="B161" s="83">
        <v>46167</v>
      </c>
      <c r="C161" s="92" t="s">
        <v>429</v>
      </c>
      <c r="D161" s="92" t="s">
        <v>106</v>
      </c>
      <c r="E161" s="92" t="s">
        <v>19</v>
      </c>
      <c r="F161" s="92" t="s">
        <v>461</v>
      </c>
      <c r="G161" s="92" t="s">
        <v>21</v>
      </c>
      <c r="H161" s="92" t="s">
        <v>23</v>
      </c>
      <c r="I161" s="92" t="s">
        <v>35</v>
      </c>
      <c r="J161" s="1">
        <v>100</v>
      </c>
      <c r="K161" s="1">
        <v>400</v>
      </c>
      <c r="M161" s="1">
        <v>37</v>
      </c>
      <c r="N161" s="1">
        <v>43918.5</v>
      </c>
      <c r="Q161" s="92"/>
      <c r="R161" s="92"/>
      <c r="S161" s="92"/>
      <c r="T161" s="92"/>
      <c r="X161" s="1">
        <v>100</v>
      </c>
      <c r="Y161" s="1">
        <v>0</v>
      </c>
      <c r="Z161" s="1">
        <v>0</v>
      </c>
      <c r="AA161" s="1">
        <v>0</v>
      </c>
      <c r="AB161" s="1">
        <v>0</v>
      </c>
      <c r="AC161" s="1">
        <v>0</v>
      </c>
      <c r="AD161" s="1">
        <v>0</v>
      </c>
      <c r="AE161" s="1">
        <v>29.6296</v>
      </c>
      <c r="AF161" s="1">
        <v>370</v>
      </c>
      <c r="AG161" s="1">
        <v>37222</v>
      </c>
      <c r="AH161" s="1">
        <v>45034.797720000002</v>
      </c>
      <c r="AI161" s="1">
        <v>407.37040000000002</v>
      </c>
      <c r="AJ161" s="1">
        <v>40940.725200000001</v>
      </c>
      <c r="AK161" s="1">
        <v>0</v>
      </c>
      <c r="AL161" s="1">
        <v>0</v>
      </c>
      <c r="AM161" s="1">
        <v>448</v>
      </c>
      <c r="AN161" s="1">
        <v>0</v>
      </c>
      <c r="AO161" s="1">
        <v>0</v>
      </c>
      <c r="AP161" s="1">
        <v>3718</v>
      </c>
    </row>
    <row r="162" spans="1:42" x14ac:dyDescent="0.35">
      <c r="A162">
        <v>161</v>
      </c>
      <c r="B162" s="83">
        <v>46170</v>
      </c>
      <c r="C162" s="92" t="s">
        <v>429</v>
      </c>
      <c r="D162" s="92" t="s">
        <v>106</v>
      </c>
      <c r="E162" s="92" t="s">
        <v>19</v>
      </c>
      <c r="F162" s="92" t="s">
        <v>461</v>
      </c>
      <c r="G162" s="92" t="s">
        <v>21</v>
      </c>
      <c r="H162" s="92" t="s">
        <v>23</v>
      </c>
      <c r="I162" s="92" t="s">
        <v>35</v>
      </c>
      <c r="J162" s="1">
        <v>138</v>
      </c>
      <c r="K162" s="1">
        <v>400</v>
      </c>
      <c r="M162" s="1">
        <v>37</v>
      </c>
      <c r="N162" s="1">
        <v>60087.5</v>
      </c>
      <c r="Q162" s="92"/>
      <c r="R162" s="92"/>
      <c r="S162" s="92"/>
      <c r="T162" s="92"/>
      <c r="X162" s="1">
        <v>138</v>
      </c>
      <c r="Y162" s="1">
        <v>0</v>
      </c>
      <c r="Z162" s="1">
        <v>0</v>
      </c>
      <c r="AA162" s="1">
        <v>0</v>
      </c>
      <c r="AB162" s="1">
        <v>0</v>
      </c>
      <c r="AC162" s="1">
        <v>0</v>
      </c>
      <c r="AD162" s="1">
        <v>0</v>
      </c>
      <c r="AE162" s="1">
        <v>29.6296</v>
      </c>
      <c r="AF162" s="1">
        <v>370</v>
      </c>
      <c r="AG162" s="1">
        <v>50926</v>
      </c>
      <c r="AH162" s="1">
        <v>61614.773000000008</v>
      </c>
      <c r="AI162" s="1">
        <v>407.37040000000002</v>
      </c>
      <c r="AJ162" s="1">
        <v>56013.43</v>
      </c>
      <c r="AK162" s="1">
        <v>0</v>
      </c>
      <c r="AL162" s="1">
        <v>0</v>
      </c>
      <c r="AM162" s="1">
        <v>448</v>
      </c>
      <c r="AN162" s="1">
        <v>0</v>
      </c>
      <c r="AO162" s="1">
        <v>0</v>
      </c>
      <c r="AP162" s="1">
        <v>5088</v>
      </c>
    </row>
    <row r="163" spans="1:42" x14ac:dyDescent="0.35">
      <c r="A163">
        <v>162</v>
      </c>
      <c r="B163" s="83">
        <v>46172</v>
      </c>
      <c r="C163" s="92" t="s">
        <v>429</v>
      </c>
      <c r="D163" s="92" t="s">
        <v>106</v>
      </c>
      <c r="E163" s="92" t="s">
        <v>19</v>
      </c>
      <c r="F163" s="92" t="s">
        <v>461</v>
      </c>
      <c r="G163" s="92" t="s">
        <v>21</v>
      </c>
      <c r="H163" s="92" t="s">
        <v>23</v>
      </c>
      <c r="I163" s="92" t="s">
        <v>35</v>
      </c>
      <c r="J163" s="1">
        <v>404</v>
      </c>
      <c r="K163" s="1">
        <v>400</v>
      </c>
      <c r="M163" s="1">
        <v>37</v>
      </c>
      <c r="N163" s="1">
        <v>176329.5</v>
      </c>
      <c r="Q163" s="92"/>
      <c r="R163" s="92"/>
      <c r="S163" s="92"/>
      <c r="T163" s="92"/>
      <c r="X163" s="1">
        <v>404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29.6296</v>
      </c>
      <c r="AF163" s="1">
        <v>370</v>
      </c>
      <c r="AG163" s="1">
        <v>149444</v>
      </c>
      <c r="AH163" s="1">
        <v>180811.35204000003</v>
      </c>
      <c r="AI163" s="1">
        <v>407.37040000000002</v>
      </c>
      <c r="AJ163" s="1">
        <v>164373.9564</v>
      </c>
      <c r="AK163" s="1">
        <v>0</v>
      </c>
      <c r="AL163" s="1">
        <v>0</v>
      </c>
      <c r="AM163" s="1">
        <v>448</v>
      </c>
      <c r="AN163" s="1">
        <v>0</v>
      </c>
      <c r="AO163" s="1">
        <v>0</v>
      </c>
      <c r="AP163" s="1">
        <v>14930</v>
      </c>
    </row>
    <row r="164" spans="1:42" x14ac:dyDescent="0.35">
      <c r="A164">
        <v>163</v>
      </c>
      <c r="B164" s="83">
        <v>46174</v>
      </c>
      <c r="C164" s="92" t="s">
        <v>429</v>
      </c>
      <c r="D164" s="92" t="s">
        <v>106</v>
      </c>
      <c r="E164" s="92" t="s">
        <v>19</v>
      </c>
      <c r="F164" s="92" t="s">
        <v>461</v>
      </c>
      <c r="G164" s="92" t="s">
        <v>21</v>
      </c>
      <c r="H164" s="92" t="s">
        <v>23</v>
      </c>
      <c r="I164" s="92" t="s">
        <v>35</v>
      </c>
      <c r="J164" s="1">
        <v>1024</v>
      </c>
      <c r="K164" s="1">
        <v>400</v>
      </c>
      <c r="M164" s="1">
        <v>37</v>
      </c>
      <c r="N164" s="1">
        <v>447400.6</v>
      </c>
      <c r="Q164" s="92"/>
      <c r="R164" s="92"/>
      <c r="S164" s="92"/>
      <c r="T164" s="92"/>
      <c r="X164" s="1">
        <v>1024</v>
      </c>
      <c r="Y164" s="1">
        <v>0</v>
      </c>
      <c r="Z164" s="1">
        <v>0</v>
      </c>
      <c r="AA164" s="1">
        <v>0</v>
      </c>
      <c r="AB164" s="1">
        <v>0</v>
      </c>
      <c r="AC164" s="1">
        <v>0</v>
      </c>
      <c r="AD164" s="1">
        <v>0</v>
      </c>
      <c r="AE164" s="1">
        <v>29.6296</v>
      </c>
      <c r="AF164" s="1">
        <v>370</v>
      </c>
      <c r="AG164" s="1">
        <v>379185</v>
      </c>
      <c r="AH164" s="1">
        <v>458772.39707200002</v>
      </c>
      <c r="AI164" s="1">
        <v>407.37040000000002</v>
      </c>
      <c r="AJ164" s="1">
        <v>417065.81552</v>
      </c>
      <c r="AK164" s="1">
        <v>0</v>
      </c>
      <c r="AL164" s="1">
        <v>0</v>
      </c>
      <c r="AM164" s="1">
        <v>448</v>
      </c>
      <c r="AN164" s="1">
        <v>0</v>
      </c>
      <c r="AO164" s="1">
        <v>0</v>
      </c>
      <c r="AP164" s="1">
        <v>37881</v>
      </c>
    </row>
    <row r="165" spans="1:42" x14ac:dyDescent="0.35">
      <c r="A165">
        <v>164</v>
      </c>
      <c r="B165" s="83">
        <v>46175</v>
      </c>
      <c r="C165" s="92" t="s">
        <v>429</v>
      </c>
      <c r="D165" s="92" t="s">
        <v>106</v>
      </c>
      <c r="E165" s="92" t="s">
        <v>19</v>
      </c>
      <c r="F165" s="92" t="s">
        <v>461</v>
      </c>
      <c r="G165" s="92" t="s">
        <v>21</v>
      </c>
      <c r="H165" s="92" t="s">
        <v>23</v>
      </c>
      <c r="I165" s="92" t="s">
        <v>35</v>
      </c>
      <c r="J165" s="1">
        <v>1134</v>
      </c>
      <c r="K165" s="1">
        <v>400</v>
      </c>
      <c r="M165" s="1">
        <v>37</v>
      </c>
      <c r="N165" s="1">
        <v>495689.1</v>
      </c>
      <c r="Q165" s="92"/>
      <c r="R165" s="92"/>
      <c r="S165" s="92"/>
      <c r="T165" s="92"/>
      <c r="X165" s="1">
        <v>1134</v>
      </c>
      <c r="Y165" s="1">
        <v>0</v>
      </c>
      <c r="Z165" s="1">
        <v>0</v>
      </c>
      <c r="AA165" s="1">
        <v>0</v>
      </c>
      <c r="AB165" s="1">
        <v>0</v>
      </c>
      <c r="AC165" s="1">
        <v>0</v>
      </c>
      <c r="AD165" s="1">
        <v>0</v>
      </c>
      <c r="AE165" s="1">
        <v>29.6296</v>
      </c>
      <c r="AF165" s="1">
        <v>370</v>
      </c>
      <c r="AG165" s="1">
        <v>420111</v>
      </c>
      <c r="AH165" s="1">
        <v>508288.26919200004</v>
      </c>
      <c r="AI165" s="1">
        <v>407.37040000000002</v>
      </c>
      <c r="AJ165" s="1">
        <v>462080.24472000002</v>
      </c>
      <c r="AK165" s="1">
        <v>0</v>
      </c>
      <c r="AL165" s="1">
        <v>0</v>
      </c>
      <c r="AM165" s="1">
        <v>448</v>
      </c>
      <c r="AN165" s="1">
        <v>0</v>
      </c>
      <c r="AO165" s="1">
        <v>0</v>
      </c>
      <c r="AP165" s="1">
        <v>41969</v>
      </c>
    </row>
    <row r="166" spans="1:42" x14ac:dyDescent="0.35">
      <c r="A166">
        <v>165</v>
      </c>
      <c r="B166" s="83">
        <v>46176</v>
      </c>
      <c r="C166" s="92" t="s">
        <v>429</v>
      </c>
      <c r="D166" s="92" t="s">
        <v>106</v>
      </c>
      <c r="E166" s="92" t="s">
        <v>19</v>
      </c>
      <c r="F166" s="92" t="s">
        <v>461</v>
      </c>
      <c r="G166" s="92" t="s">
        <v>21</v>
      </c>
      <c r="H166" s="92" t="s">
        <v>23</v>
      </c>
      <c r="I166" s="92" t="s">
        <v>35</v>
      </c>
      <c r="J166" s="1">
        <v>2033</v>
      </c>
      <c r="K166" s="1">
        <v>400</v>
      </c>
      <c r="M166" s="1">
        <v>37</v>
      </c>
      <c r="N166" s="1">
        <v>888377.3</v>
      </c>
      <c r="Q166" s="92"/>
      <c r="R166" s="92"/>
      <c r="S166" s="92"/>
      <c r="T166" s="92"/>
      <c r="X166" s="1">
        <v>2033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29.6296</v>
      </c>
      <c r="AF166" s="1">
        <v>370</v>
      </c>
      <c r="AG166" s="1">
        <v>752926</v>
      </c>
      <c r="AH166" s="1">
        <v>910957.61477600015</v>
      </c>
      <c r="AI166" s="1">
        <v>407.37040000000002</v>
      </c>
      <c r="AJ166" s="1">
        <v>828143.28616000002</v>
      </c>
      <c r="AK166" s="1">
        <v>0</v>
      </c>
      <c r="AL166" s="1">
        <v>0</v>
      </c>
      <c r="AM166" s="1">
        <v>448</v>
      </c>
      <c r="AN166" s="1">
        <v>0</v>
      </c>
      <c r="AO166" s="1">
        <v>0</v>
      </c>
      <c r="AP166" s="1">
        <v>75217</v>
      </c>
    </row>
    <row r="167" spans="1:42" x14ac:dyDescent="0.35">
      <c r="A167">
        <v>166</v>
      </c>
      <c r="B167" s="83">
        <v>46177</v>
      </c>
      <c r="C167" s="92" t="s">
        <v>429</v>
      </c>
      <c r="D167" s="92" t="s">
        <v>106</v>
      </c>
      <c r="E167" s="92" t="s">
        <v>19</v>
      </c>
      <c r="F167" s="92" t="s">
        <v>461</v>
      </c>
      <c r="G167" s="92" t="s">
        <v>21</v>
      </c>
      <c r="H167" s="92" t="s">
        <v>23</v>
      </c>
      <c r="I167" s="92" t="s">
        <v>35</v>
      </c>
      <c r="J167" s="1">
        <v>2100</v>
      </c>
      <c r="K167" s="1">
        <v>400</v>
      </c>
      <c r="M167" s="1">
        <v>37</v>
      </c>
      <c r="N167" s="1">
        <v>917612.6</v>
      </c>
      <c r="Q167" s="92"/>
      <c r="R167" s="92"/>
      <c r="S167" s="92"/>
      <c r="T167" s="92"/>
      <c r="X167" s="1">
        <v>2100</v>
      </c>
      <c r="Y167" s="1">
        <v>0</v>
      </c>
      <c r="Z167" s="1">
        <v>0</v>
      </c>
      <c r="AA167" s="1">
        <v>0</v>
      </c>
      <c r="AB167" s="1">
        <v>0</v>
      </c>
      <c r="AC167" s="1">
        <v>0</v>
      </c>
      <c r="AD167" s="1">
        <v>0</v>
      </c>
      <c r="AE167" s="1">
        <v>29.6296</v>
      </c>
      <c r="AF167" s="1">
        <v>370</v>
      </c>
      <c r="AG167" s="1">
        <v>777704</v>
      </c>
      <c r="AH167" s="1">
        <v>940936.00251200015</v>
      </c>
      <c r="AI167" s="1">
        <v>407.37040000000002</v>
      </c>
      <c r="AJ167" s="1">
        <v>855396.36592000013</v>
      </c>
      <c r="AK167" s="1">
        <v>0</v>
      </c>
      <c r="AL167" s="1">
        <v>0</v>
      </c>
      <c r="AM167" s="1">
        <v>448</v>
      </c>
      <c r="AN167" s="1">
        <v>0</v>
      </c>
      <c r="AO167" s="1">
        <v>0</v>
      </c>
      <c r="AP167" s="1">
        <v>77693</v>
      </c>
    </row>
    <row r="168" spans="1:42" x14ac:dyDescent="0.35">
      <c r="A168">
        <v>167</v>
      </c>
      <c r="B168" s="83">
        <v>46178</v>
      </c>
      <c r="C168" s="92" t="s">
        <v>429</v>
      </c>
      <c r="D168" s="92" t="s">
        <v>106</v>
      </c>
      <c r="E168" s="92" t="s">
        <v>19</v>
      </c>
      <c r="F168" s="92" t="s">
        <v>461</v>
      </c>
      <c r="G168" s="92" t="s">
        <v>21</v>
      </c>
      <c r="H168" s="92" t="s">
        <v>23</v>
      </c>
      <c r="I168" s="92" t="s">
        <v>35</v>
      </c>
      <c r="J168" s="1">
        <v>5818</v>
      </c>
      <c r="K168" s="1">
        <v>400</v>
      </c>
      <c r="M168" s="1">
        <v>37</v>
      </c>
      <c r="N168" s="1">
        <v>2542466</v>
      </c>
      <c r="Q168" s="92"/>
      <c r="R168" s="92"/>
      <c r="S168" s="92"/>
      <c r="T168" s="92"/>
      <c r="X168" s="1">
        <v>5818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29.6296</v>
      </c>
      <c r="AF168" s="1">
        <v>370</v>
      </c>
      <c r="AG168" s="1">
        <v>2154815</v>
      </c>
      <c r="AH168" s="1">
        <v>2607089.0859200004</v>
      </c>
      <c r="AI168" s="1">
        <v>407.37040000000002</v>
      </c>
      <c r="AJ168" s="1">
        <v>2370080.9872000003</v>
      </c>
      <c r="AK168" s="1">
        <v>0</v>
      </c>
      <c r="AL168" s="1">
        <v>0</v>
      </c>
      <c r="AM168" s="1">
        <v>448</v>
      </c>
      <c r="AN168" s="1">
        <v>0</v>
      </c>
      <c r="AO168" s="1">
        <v>0</v>
      </c>
      <c r="AP168" s="1">
        <v>215266</v>
      </c>
    </row>
    <row r="169" spans="1:42" x14ac:dyDescent="0.35">
      <c r="A169">
        <v>168</v>
      </c>
      <c r="B169" s="83">
        <v>46179</v>
      </c>
      <c r="C169" s="92" t="s">
        <v>429</v>
      </c>
      <c r="D169" s="92" t="s">
        <v>106</v>
      </c>
      <c r="E169" s="92" t="s">
        <v>19</v>
      </c>
      <c r="F169" s="92" t="s">
        <v>461</v>
      </c>
      <c r="G169" s="92" t="s">
        <v>21</v>
      </c>
      <c r="H169" s="92" t="s">
        <v>23</v>
      </c>
      <c r="I169" s="92" t="s">
        <v>35</v>
      </c>
      <c r="J169" s="1">
        <v>4984</v>
      </c>
      <c r="K169" s="1">
        <v>400</v>
      </c>
      <c r="M169" s="1">
        <v>37</v>
      </c>
      <c r="N169" s="1">
        <v>2177964.2999999998</v>
      </c>
      <c r="Q169" s="92"/>
      <c r="R169" s="92"/>
      <c r="S169" s="92"/>
      <c r="T169" s="92"/>
      <c r="X169" s="1">
        <v>4984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29.6296</v>
      </c>
      <c r="AF169" s="1">
        <v>370</v>
      </c>
      <c r="AG169" s="1">
        <v>1845889</v>
      </c>
      <c r="AH169" s="1">
        <v>2233322.6702160002</v>
      </c>
      <c r="AI169" s="1">
        <v>407.37040000000002</v>
      </c>
      <c r="AJ169" s="1">
        <v>2030293.33656</v>
      </c>
      <c r="AK169" s="1">
        <v>0</v>
      </c>
      <c r="AL169" s="1">
        <v>0</v>
      </c>
      <c r="AM169" s="1">
        <v>448</v>
      </c>
      <c r="AN169" s="1">
        <v>0</v>
      </c>
      <c r="AO169" s="1">
        <v>0</v>
      </c>
      <c r="AP169" s="1">
        <v>184404</v>
      </c>
    </row>
    <row r="170" spans="1:42" x14ac:dyDescent="0.35">
      <c r="A170">
        <v>169</v>
      </c>
      <c r="B170" s="83">
        <v>46180</v>
      </c>
      <c r="C170" s="92" t="s">
        <v>429</v>
      </c>
      <c r="D170" s="92" t="s">
        <v>106</v>
      </c>
      <c r="E170" s="92" t="s">
        <v>19</v>
      </c>
      <c r="F170" s="92" t="s">
        <v>461</v>
      </c>
      <c r="G170" s="92" t="s">
        <v>21</v>
      </c>
      <c r="H170" s="92" t="s">
        <v>23</v>
      </c>
      <c r="I170" s="92" t="s">
        <v>35</v>
      </c>
      <c r="J170" s="1">
        <v>7301</v>
      </c>
      <c r="K170" s="1">
        <v>400</v>
      </c>
      <c r="M170" s="1">
        <v>37</v>
      </c>
      <c r="N170" s="1">
        <v>3190449.6</v>
      </c>
      <c r="Q170" s="92"/>
      <c r="R170" s="92"/>
      <c r="S170" s="92"/>
      <c r="T170" s="92"/>
      <c r="X170" s="1">
        <v>7301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29.6296</v>
      </c>
      <c r="AF170" s="1">
        <v>370</v>
      </c>
      <c r="AG170" s="1">
        <v>2704000</v>
      </c>
      <c r="AH170" s="1">
        <v>3271542.7979520005</v>
      </c>
      <c r="AI170" s="1">
        <v>407.37040000000002</v>
      </c>
      <c r="AJ170" s="1">
        <v>2974129.8163200002</v>
      </c>
      <c r="AK170" s="1">
        <v>0</v>
      </c>
      <c r="AL170" s="1">
        <v>0</v>
      </c>
      <c r="AM170" s="1">
        <v>448</v>
      </c>
      <c r="AN170" s="1">
        <v>0</v>
      </c>
      <c r="AO170" s="1">
        <v>0</v>
      </c>
      <c r="AP170" s="1">
        <v>270130</v>
      </c>
    </row>
    <row r="171" spans="1:42" x14ac:dyDescent="0.35">
      <c r="A171">
        <v>170</v>
      </c>
      <c r="B171" s="83">
        <v>46169</v>
      </c>
      <c r="C171" s="92" t="s">
        <v>429</v>
      </c>
      <c r="D171" s="92" t="s">
        <v>111</v>
      </c>
      <c r="E171" s="92" t="s">
        <v>19</v>
      </c>
      <c r="F171" s="92" t="s">
        <v>461</v>
      </c>
      <c r="G171" s="92"/>
      <c r="H171" s="92"/>
      <c r="I171" s="92"/>
      <c r="P171" s="1">
        <v>1500000</v>
      </c>
      <c r="Q171" s="92"/>
      <c r="R171" s="92"/>
      <c r="S171" s="92"/>
      <c r="T171" s="92"/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1">
        <v>0</v>
      </c>
      <c r="AK171" s="1">
        <v>0</v>
      </c>
      <c r="AL171" s="1">
        <v>0</v>
      </c>
      <c r="AM171" s="1">
        <v>0</v>
      </c>
      <c r="AN171" s="1">
        <v>0</v>
      </c>
      <c r="AO171" s="1">
        <v>0</v>
      </c>
      <c r="AP171" s="1">
        <v>0</v>
      </c>
    </row>
    <row r="172" spans="1:42" x14ac:dyDescent="0.35">
      <c r="A172">
        <v>171</v>
      </c>
      <c r="B172" s="83">
        <v>46175</v>
      </c>
      <c r="C172" s="92" t="s">
        <v>429</v>
      </c>
      <c r="D172" s="92" t="s">
        <v>111</v>
      </c>
      <c r="E172" s="92" t="s">
        <v>19</v>
      </c>
      <c r="F172" s="92" t="s">
        <v>461</v>
      </c>
      <c r="G172" s="92"/>
      <c r="H172" s="92"/>
      <c r="I172" s="92"/>
      <c r="P172" s="1">
        <v>1500000</v>
      </c>
      <c r="Q172" s="92"/>
      <c r="R172" s="92"/>
      <c r="S172" s="92"/>
      <c r="T172" s="92"/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0</v>
      </c>
      <c r="AL172" s="1">
        <v>0</v>
      </c>
      <c r="AM172" s="1">
        <v>0</v>
      </c>
      <c r="AN172" s="1">
        <v>0</v>
      </c>
      <c r="AO172" s="1">
        <v>0</v>
      </c>
      <c r="AP172" s="1">
        <v>0</v>
      </c>
    </row>
    <row r="173" spans="1:42" x14ac:dyDescent="0.35">
      <c r="A173">
        <v>172</v>
      </c>
      <c r="B173" s="83">
        <v>46181</v>
      </c>
      <c r="C173" s="92" t="s">
        <v>429</v>
      </c>
      <c r="D173" s="92" t="s">
        <v>111</v>
      </c>
      <c r="E173" s="92" t="s">
        <v>19</v>
      </c>
      <c r="F173" s="92" t="s">
        <v>461</v>
      </c>
      <c r="G173" s="92"/>
      <c r="H173" s="92"/>
      <c r="I173" s="92"/>
      <c r="P173" s="1">
        <v>5000000</v>
      </c>
      <c r="Q173" s="92"/>
      <c r="R173" s="92"/>
      <c r="S173" s="92"/>
      <c r="T173" s="92"/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">
        <v>0</v>
      </c>
      <c r="AM173" s="1">
        <v>0</v>
      </c>
      <c r="AN173" s="1">
        <v>0</v>
      </c>
      <c r="AO173" s="1">
        <v>0</v>
      </c>
      <c r="AP173" s="1">
        <v>0</v>
      </c>
    </row>
    <row r="174" spans="1:42" x14ac:dyDescent="0.35">
      <c r="A174">
        <v>173</v>
      </c>
      <c r="B174" s="83">
        <v>46181</v>
      </c>
      <c r="C174" s="92" t="s">
        <v>429</v>
      </c>
      <c r="D174" s="92" t="s">
        <v>267</v>
      </c>
      <c r="E174" s="92"/>
      <c r="F174" s="92"/>
      <c r="G174" s="92"/>
      <c r="H174" s="92"/>
      <c r="I174" s="92"/>
      <c r="Q174" s="92"/>
      <c r="R174" s="92" t="s">
        <v>88</v>
      </c>
      <c r="S174" s="92" t="s">
        <v>87</v>
      </c>
      <c r="T174" s="92" t="s">
        <v>472</v>
      </c>
      <c r="U174" s="1">
        <v>131265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">
        <v>0</v>
      </c>
      <c r="AM174" s="1">
        <v>0</v>
      </c>
      <c r="AN174" s="1">
        <v>0</v>
      </c>
      <c r="AO174" s="1">
        <v>0</v>
      </c>
      <c r="AP174" s="1">
        <v>0</v>
      </c>
    </row>
    <row r="175" spans="1:42" x14ac:dyDescent="0.35">
      <c r="A175">
        <v>174</v>
      </c>
      <c r="B175" s="83">
        <v>46181</v>
      </c>
      <c r="C175" s="92" t="s">
        <v>429</v>
      </c>
      <c r="D175" s="92" t="s">
        <v>267</v>
      </c>
      <c r="E175" s="92"/>
      <c r="F175" s="92"/>
      <c r="G175" s="92"/>
      <c r="H175" s="92"/>
      <c r="I175" s="92"/>
      <c r="Q175" s="92"/>
      <c r="R175" s="92" t="s">
        <v>88</v>
      </c>
      <c r="S175" s="92" t="s">
        <v>87</v>
      </c>
      <c r="T175" s="92" t="s">
        <v>95</v>
      </c>
      <c r="U175" s="1">
        <v>44550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P175" s="1">
        <v>0</v>
      </c>
    </row>
    <row r="176" spans="1:42" x14ac:dyDescent="0.35">
      <c r="A176">
        <v>175</v>
      </c>
      <c r="B176" s="83">
        <v>46181</v>
      </c>
      <c r="C176" s="92" t="s">
        <v>429</v>
      </c>
      <c r="D176" s="92" t="s">
        <v>267</v>
      </c>
      <c r="E176" s="92"/>
      <c r="F176" s="92"/>
      <c r="G176" s="92"/>
      <c r="H176" s="92"/>
      <c r="I176" s="92"/>
      <c r="Q176" s="92"/>
      <c r="R176" s="92" t="s">
        <v>473</v>
      </c>
      <c r="S176" s="92" t="s">
        <v>85</v>
      </c>
      <c r="T176" s="92" t="s">
        <v>464</v>
      </c>
      <c r="U176" s="1">
        <v>92478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  <c r="AL176" s="1">
        <v>0</v>
      </c>
      <c r="AM176" s="1">
        <v>0</v>
      </c>
      <c r="AN176" s="1">
        <v>0</v>
      </c>
      <c r="AO176" s="1">
        <v>0</v>
      </c>
      <c r="AP176" s="1">
        <v>0</v>
      </c>
    </row>
    <row r="177" spans="1:42" x14ac:dyDescent="0.35">
      <c r="A177">
        <v>176</v>
      </c>
      <c r="B177" s="83">
        <v>46181</v>
      </c>
      <c r="C177" s="92" t="s">
        <v>429</v>
      </c>
      <c r="D177" s="92" t="s">
        <v>267</v>
      </c>
      <c r="E177" s="92"/>
      <c r="F177" s="92"/>
      <c r="G177" s="92"/>
      <c r="H177" s="92"/>
      <c r="I177" s="92"/>
      <c r="Q177" s="92"/>
      <c r="R177" s="92" t="s">
        <v>88</v>
      </c>
      <c r="S177" s="92" t="s">
        <v>85</v>
      </c>
      <c r="T177" s="92" t="s">
        <v>470</v>
      </c>
      <c r="U177" s="1">
        <v>35000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  <c r="AL177" s="1">
        <v>0</v>
      </c>
      <c r="AM177" s="1">
        <v>0</v>
      </c>
      <c r="AN177" s="1">
        <v>0</v>
      </c>
      <c r="AO177" s="1">
        <v>0</v>
      </c>
      <c r="AP177" s="1">
        <v>0</v>
      </c>
    </row>
    <row r="178" spans="1:42" x14ac:dyDescent="0.35">
      <c r="A178">
        <v>177</v>
      </c>
      <c r="B178" s="83">
        <v>46181</v>
      </c>
      <c r="C178" s="92" t="s">
        <v>429</v>
      </c>
      <c r="D178" s="92" t="s">
        <v>267</v>
      </c>
      <c r="E178" s="92"/>
      <c r="F178" s="92"/>
      <c r="G178" s="92"/>
      <c r="H178" s="92"/>
      <c r="I178" s="92"/>
      <c r="Q178" s="92"/>
      <c r="R178" s="92" t="s">
        <v>88</v>
      </c>
      <c r="S178" s="92" t="s">
        <v>83</v>
      </c>
      <c r="T178" s="92" t="s">
        <v>471</v>
      </c>
      <c r="U178" s="1">
        <v>481600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  <c r="AL178" s="1">
        <v>0</v>
      </c>
      <c r="AM178" s="1">
        <v>0</v>
      </c>
      <c r="AN178" s="1">
        <v>0</v>
      </c>
      <c r="AO178" s="1">
        <v>0</v>
      </c>
      <c r="AP178" s="1">
        <v>0</v>
      </c>
    </row>
    <row r="179" spans="1:42" x14ac:dyDescent="0.35">
      <c r="A179">
        <v>178</v>
      </c>
      <c r="B179" s="83">
        <v>46182</v>
      </c>
      <c r="C179" s="92" t="s">
        <v>429</v>
      </c>
      <c r="D179" s="92" t="s">
        <v>267</v>
      </c>
      <c r="E179" s="92"/>
      <c r="F179" s="92"/>
      <c r="G179" s="92"/>
      <c r="H179" s="92"/>
      <c r="I179" s="92"/>
      <c r="Q179" s="92"/>
      <c r="R179" s="92" t="s">
        <v>88</v>
      </c>
      <c r="S179" s="92" t="s">
        <v>86</v>
      </c>
      <c r="T179" s="92" t="s">
        <v>94</v>
      </c>
      <c r="U179" s="1">
        <v>300000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  <c r="AL179" s="1">
        <v>0</v>
      </c>
      <c r="AM179" s="1">
        <v>0</v>
      </c>
      <c r="AN179" s="1">
        <v>0</v>
      </c>
      <c r="AO179" s="1">
        <v>0</v>
      </c>
      <c r="AP179" s="1">
        <v>0</v>
      </c>
    </row>
    <row r="180" spans="1:42" x14ac:dyDescent="0.35">
      <c r="A180">
        <v>179</v>
      </c>
      <c r="B180" s="83">
        <v>46181</v>
      </c>
      <c r="C180" s="92" t="s">
        <v>429</v>
      </c>
      <c r="D180" s="92" t="s">
        <v>106</v>
      </c>
      <c r="E180" s="92" t="s">
        <v>19</v>
      </c>
      <c r="F180" s="92" t="s">
        <v>461</v>
      </c>
      <c r="G180" s="92" t="s">
        <v>21</v>
      </c>
      <c r="H180" s="92" t="s">
        <v>23</v>
      </c>
      <c r="I180" s="92" t="s">
        <v>35</v>
      </c>
      <c r="J180" s="1">
        <v>8774</v>
      </c>
      <c r="K180" s="1">
        <v>400</v>
      </c>
      <c r="M180" s="1">
        <v>37</v>
      </c>
      <c r="N180" s="1">
        <v>3834150.6</v>
      </c>
      <c r="Q180" s="92"/>
      <c r="R180" s="92"/>
      <c r="S180" s="92"/>
      <c r="T180" s="92"/>
      <c r="X180" s="1">
        <v>8774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29.6296</v>
      </c>
      <c r="AF180" s="1">
        <v>370</v>
      </c>
      <c r="AG180" s="1">
        <v>3249556</v>
      </c>
      <c r="AH180" s="1">
        <v>3931605.0570720001</v>
      </c>
      <c r="AI180" s="1">
        <v>407.37040000000002</v>
      </c>
      <c r="AJ180" s="1">
        <v>3574186.4155199998</v>
      </c>
      <c r="AK180" s="1">
        <v>0</v>
      </c>
      <c r="AL180" s="1">
        <v>0</v>
      </c>
      <c r="AM180" s="1">
        <v>448</v>
      </c>
      <c r="AN180" s="1">
        <v>0</v>
      </c>
      <c r="AO180" s="1">
        <v>0</v>
      </c>
      <c r="AP180" s="1">
        <v>324631</v>
      </c>
    </row>
    <row r="181" spans="1:42" x14ac:dyDescent="0.35">
      <c r="A181">
        <v>180</v>
      </c>
      <c r="B181" s="83">
        <v>46182</v>
      </c>
      <c r="C181" s="92" t="s">
        <v>429</v>
      </c>
      <c r="D181" s="92" t="s">
        <v>111</v>
      </c>
      <c r="E181" s="92" t="s">
        <v>19</v>
      </c>
      <c r="F181" s="92" t="s">
        <v>461</v>
      </c>
      <c r="G181" s="92"/>
      <c r="H181" s="92"/>
      <c r="I181" s="92"/>
      <c r="P181" s="1">
        <v>4000000</v>
      </c>
      <c r="Q181" s="92"/>
      <c r="R181" s="92"/>
      <c r="S181" s="92"/>
      <c r="T181" s="92"/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  <c r="AL181" s="1">
        <v>0</v>
      </c>
      <c r="AM181" s="1">
        <v>0</v>
      </c>
      <c r="AN181" s="1">
        <v>0</v>
      </c>
      <c r="AO181" s="1">
        <v>0</v>
      </c>
      <c r="AP181" s="1">
        <v>0</v>
      </c>
    </row>
    <row r="182" spans="1:42" x14ac:dyDescent="0.35">
      <c r="A182">
        <v>181</v>
      </c>
      <c r="B182" s="83">
        <v>46182</v>
      </c>
      <c r="C182" s="92" t="s">
        <v>429</v>
      </c>
      <c r="D182" s="92" t="s">
        <v>267</v>
      </c>
      <c r="E182" s="92"/>
      <c r="F182" s="92"/>
      <c r="G182" s="92"/>
      <c r="H182" s="92"/>
      <c r="I182" s="92"/>
      <c r="Q182" s="92"/>
      <c r="R182" s="92" t="s">
        <v>88</v>
      </c>
      <c r="S182" s="92" t="s">
        <v>86</v>
      </c>
      <c r="T182" s="92" t="s">
        <v>474</v>
      </c>
      <c r="U182" s="1">
        <v>62360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  <c r="AL182" s="1">
        <v>0</v>
      </c>
      <c r="AM182" s="1">
        <v>0</v>
      </c>
      <c r="AN182" s="1">
        <v>0</v>
      </c>
      <c r="AO182" s="1">
        <v>0</v>
      </c>
      <c r="AP182" s="1">
        <v>0</v>
      </c>
    </row>
    <row r="183" spans="1:42" x14ac:dyDescent="0.35">
      <c r="A183">
        <v>182</v>
      </c>
      <c r="B183" s="83">
        <v>46182</v>
      </c>
      <c r="C183" s="92" t="s">
        <v>429</v>
      </c>
      <c r="D183" s="92" t="s">
        <v>267</v>
      </c>
      <c r="E183" s="92"/>
      <c r="F183" s="92"/>
      <c r="G183" s="92"/>
      <c r="H183" s="92"/>
      <c r="I183" s="92"/>
      <c r="Q183" s="92"/>
      <c r="R183" s="92" t="s">
        <v>88</v>
      </c>
      <c r="S183" s="92" t="s">
        <v>86</v>
      </c>
      <c r="T183" s="92" t="s">
        <v>94</v>
      </c>
      <c r="U183" s="1">
        <v>300000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  <c r="AL183" s="1">
        <v>0</v>
      </c>
      <c r="AM183" s="1">
        <v>0</v>
      </c>
      <c r="AN183" s="1">
        <v>0</v>
      </c>
      <c r="AO183" s="1">
        <v>0</v>
      </c>
      <c r="AP183" s="1">
        <v>0</v>
      </c>
    </row>
    <row r="184" spans="1:42" x14ac:dyDescent="0.35">
      <c r="A184">
        <v>183</v>
      </c>
      <c r="B184" s="83">
        <v>46182</v>
      </c>
      <c r="C184" s="92" t="s">
        <v>429</v>
      </c>
      <c r="D184" s="92" t="s">
        <v>267</v>
      </c>
      <c r="E184" s="92"/>
      <c r="F184" s="92"/>
      <c r="G184" s="92"/>
      <c r="H184" s="92"/>
      <c r="I184" s="92"/>
      <c r="Q184" s="92"/>
      <c r="R184" s="92" t="s">
        <v>88</v>
      </c>
      <c r="S184" s="92" t="s">
        <v>85</v>
      </c>
      <c r="T184" s="92" t="s">
        <v>470</v>
      </c>
      <c r="U184" s="1">
        <v>106200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  <c r="AL184" s="1">
        <v>0</v>
      </c>
      <c r="AM184" s="1">
        <v>0</v>
      </c>
      <c r="AN184" s="1">
        <v>0</v>
      </c>
      <c r="AO184" s="1">
        <v>0</v>
      </c>
      <c r="AP184" s="1">
        <v>0</v>
      </c>
    </row>
    <row r="185" spans="1:42" x14ac:dyDescent="0.35">
      <c r="A185">
        <v>184</v>
      </c>
      <c r="B185" s="83">
        <v>46182</v>
      </c>
      <c r="C185" s="92" t="s">
        <v>429</v>
      </c>
      <c r="D185" s="92" t="s">
        <v>106</v>
      </c>
      <c r="E185" s="92" t="s">
        <v>19</v>
      </c>
      <c r="F185" s="92" t="s">
        <v>461</v>
      </c>
      <c r="G185" s="92" t="s">
        <v>21</v>
      </c>
      <c r="H185" s="92" t="s">
        <v>23</v>
      </c>
      <c r="I185" s="92" t="s">
        <v>35</v>
      </c>
      <c r="J185" s="1">
        <v>9339</v>
      </c>
      <c r="K185" s="1">
        <v>400</v>
      </c>
      <c r="M185" s="1">
        <v>37</v>
      </c>
      <c r="N185" s="1">
        <v>4081143</v>
      </c>
      <c r="Q185" s="92"/>
      <c r="R185" s="92"/>
      <c r="S185" s="92"/>
      <c r="T185" s="92"/>
      <c r="X185" s="1">
        <v>9339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29.6296</v>
      </c>
      <c r="AF185" s="1">
        <v>370</v>
      </c>
      <c r="AG185" s="1">
        <v>3458889</v>
      </c>
      <c r="AH185" s="1">
        <v>4184875.3821600005</v>
      </c>
      <c r="AI185" s="1">
        <v>407.37040000000002</v>
      </c>
      <c r="AJ185" s="1">
        <v>3804432.1655999999</v>
      </c>
      <c r="AK185" s="1">
        <v>0</v>
      </c>
      <c r="AL185" s="1">
        <v>0</v>
      </c>
      <c r="AM185" s="1">
        <v>448</v>
      </c>
      <c r="AN185" s="1">
        <v>0</v>
      </c>
      <c r="AO185" s="1">
        <v>0</v>
      </c>
      <c r="AP185" s="1">
        <v>345543</v>
      </c>
    </row>
    <row r="186" spans="1:42" x14ac:dyDescent="0.35">
      <c r="A186">
        <v>185</v>
      </c>
      <c r="B186" s="83">
        <v>46183</v>
      </c>
      <c r="C186" s="92" t="s">
        <v>429</v>
      </c>
      <c r="D186" s="92" t="s">
        <v>111</v>
      </c>
      <c r="E186" s="92" t="s">
        <v>19</v>
      </c>
      <c r="F186" s="92" t="s">
        <v>461</v>
      </c>
      <c r="G186" s="92"/>
      <c r="H186" s="92"/>
      <c r="I186" s="92"/>
      <c r="P186" s="1">
        <v>5000000</v>
      </c>
      <c r="Q186" s="92"/>
      <c r="R186" s="92"/>
      <c r="S186" s="92"/>
      <c r="T186" s="92"/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  <c r="AL186" s="1">
        <v>0</v>
      </c>
      <c r="AM186" s="1">
        <v>0</v>
      </c>
      <c r="AN186" s="1">
        <v>0</v>
      </c>
      <c r="AO186" s="1">
        <v>0</v>
      </c>
      <c r="AP186" s="1">
        <v>0</v>
      </c>
    </row>
    <row r="187" spans="1:42" x14ac:dyDescent="0.35">
      <c r="A187">
        <v>186</v>
      </c>
      <c r="B187" s="83">
        <v>46183</v>
      </c>
      <c r="C187" s="92" t="s">
        <v>429</v>
      </c>
      <c r="D187" s="92" t="s">
        <v>267</v>
      </c>
      <c r="E187" s="92"/>
      <c r="F187" s="92"/>
      <c r="G187" s="92"/>
      <c r="H187" s="92"/>
      <c r="I187" s="92"/>
      <c r="Q187" s="92"/>
      <c r="R187" s="92" t="s">
        <v>88</v>
      </c>
      <c r="S187" s="92" t="s">
        <v>87</v>
      </c>
      <c r="T187" s="92" t="s">
        <v>472</v>
      </c>
      <c r="U187" s="1">
        <v>91170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  <c r="AL187" s="1">
        <v>0</v>
      </c>
      <c r="AM187" s="1">
        <v>0</v>
      </c>
      <c r="AN187" s="1">
        <v>0</v>
      </c>
      <c r="AO187" s="1">
        <v>0</v>
      </c>
      <c r="AP187" s="1">
        <v>0</v>
      </c>
    </row>
    <row r="188" spans="1:42" x14ac:dyDescent="0.35">
      <c r="A188">
        <v>187</v>
      </c>
      <c r="B188" s="83">
        <v>46183</v>
      </c>
      <c r="C188" s="92" t="s">
        <v>429</v>
      </c>
      <c r="D188" s="92" t="s">
        <v>111</v>
      </c>
      <c r="E188" s="92" t="s">
        <v>19</v>
      </c>
      <c r="F188" s="92" t="s">
        <v>461</v>
      </c>
      <c r="G188" s="92"/>
      <c r="H188" s="92"/>
      <c r="I188" s="92"/>
      <c r="P188" s="1">
        <v>5000000</v>
      </c>
      <c r="Q188" s="92"/>
      <c r="R188" s="92"/>
      <c r="S188" s="92"/>
      <c r="T188" s="92"/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</row>
    <row r="189" spans="1:42" x14ac:dyDescent="0.35">
      <c r="A189">
        <v>188</v>
      </c>
      <c r="B189" s="83">
        <v>46183</v>
      </c>
      <c r="C189" s="92" t="s">
        <v>429</v>
      </c>
      <c r="D189" s="92" t="s">
        <v>267</v>
      </c>
      <c r="E189" s="92"/>
      <c r="F189" s="92"/>
      <c r="G189" s="92"/>
      <c r="H189" s="92"/>
      <c r="I189" s="92"/>
      <c r="Q189" s="92"/>
      <c r="R189" s="92" t="s">
        <v>88</v>
      </c>
      <c r="S189" s="92" t="s">
        <v>84</v>
      </c>
      <c r="T189" s="92" t="s">
        <v>91</v>
      </c>
      <c r="U189" s="1">
        <v>500000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</row>
    <row r="190" spans="1:42" x14ac:dyDescent="0.35">
      <c r="A190">
        <v>189</v>
      </c>
      <c r="B190" s="83">
        <v>46184</v>
      </c>
      <c r="C190" s="92" t="s">
        <v>429</v>
      </c>
      <c r="D190" s="92" t="s">
        <v>111</v>
      </c>
      <c r="E190" s="92" t="s">
        <v>19</v>
      </c>
      <c r="F190" s="92" t="s">
        <v>461</v>
      </c>
      <c r="G190" s="92"/>
      <c r="H190" s="92"/>
      <c r="I190" s="92"/>
      <c r="P190" s="1">
        <v>4000000</v>
      </c>
      <c r="Q190" s="92"/>
      <c r="R190" s="92"/>
      <c r="S190" s="92"/>
      <c r="T190" s="92"/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0</v>
      </c>
      <c r="AO190" s="1">
        <v>0</v>
      </c>
      <c r="AP190" s="1">
        <v>0</v>
      </c>
    </row>
    <row r="191" spans="1:42" x14ac:dyDescent="0.35">
      <c r="A191">
        <v>190</v>
      </c>
      <c r="B191" s="83">
        <v>46183</v>
      </c>
      <c r="C191" s="92" t="s">
        <v>429</v>
      </c>
      <c r="D191" s="92" t="s">
        <v>106</v>
      </c>
      <c r="E191" s="92" t="s">
        <v>19</v>
      </c>
      <c r="F191" s="92" t="s">
        <v>461</v>
      </c>
      <c r="G191" s="92" t="s">
        <v>21</v>
      </c>
      <c r="H191" s="92" t="s">
        <v>23</v>
      </c>
      <c r="I191" s="92" t="s">
        <v>35</v>
      </c>
      <c r="J191" s="1">
        <v>8732</v>
      </c>
      <c r="K191" s="1">
        <v>400</v>
      </c>
      <c r="M191" s="1">
        <v>37</v>
      </c>
      <c r="N191" s="1">
        <v>3815665.5</v>
      </c>
      <c r="Q191" s="92"/>
      <c r="R191" s="92"/>
      <c r="S191" s="92"/>
      <c r="T191" s="92"/>
      <c r="X191" s="1">
        <v>8732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29.6296</v>
      </c>
      <c r="AF191" s="1">
        <v>370</v>
      </c>
      <c r="AG191" s="1">
        <v>3233889</v>
      </c>
      <c r="AH191" s="1">
        <v>3912650.1123600006</v>
      </c>
      <c r="AI191" s="1">
        <v>407.37040000000002</v>
      </c>
      <c r="AJ191" s="1">
        <v>3556954.6476000003</v>
      </c>
      <c r="AK191" s="1">
        <v>0</v>
      </c>
      <c r="AL191" s="1">
        <v>0</v>
      </c>
      <c r="AM191" s="1">
        <v>448</v>
      </c>
      <c r="AN191" s="1">
        <v>0</v>
      </c>
      <c r="AO191" s="1">
        <v>0</v>
      </c>
      <c r="AP191" s="1">
        <v>323066</v>
      </c>
    </row>
    <row r="192" spans="1:42" x14ac:dyDescent="0.35">
      <c r="A192">
        <v>191</v>
      </c>
      <c r="B192" s="83">
        <v>46172</v>
      </c>
      <c r="C192" s="92" t="s">
        <v>429</v>
      </c>
      <c r="D192" s="92" t="s">
        <v>106</v>
      </c>
      <c r="E192" s="92" t="s">
        <v>263</v>
      </c>
      <c r="F192" s="92" t="s">
        <v>33</v>
      </c>
      <c r="G192" s="92" t="s">
        <v>21</v>
      </c>
      <c r="H192" s="92" t="s">
        <v>23</v>
      </c>
      <c r="I192" s="92" t="s">
        <v>35</v>
      </c>
      <c r="J192" s="1">
        <v>0</v>
      </c>
      <c r="K192" s="1">
        <v>0</v>
      </c>
      <c r="M192" s="1">
        <v>0</v>
      </c>
      <c r="N192" s="1">
        <v>0</v>
      </c>
      <c r="Q192" s="92"/>
      <c r="R192" s="92"/>
      <c r="S192" s="92"/>
      <c r="T192" s="92"/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0</v>
      </c>
      <c r="AN192" s="1">
        <v>0</v>
      </c>
      <c r="AO192" s="1">
        <v>0</v>
      </c>
      <c r="AP192" s="1">
        <v>0</v>
      </c>
    </row>
    <row r="193" spans="1:42" x14ac:dyDescent="0.35">
      <c r="A193">
        <v>192</v>
      </c>
      <c r="B193" s="83">
        <v>46175</v>
      </c>
      <c r="C193" s="92" t="s">
        <v>429</v>
      </c>
      <c r="D193" s="92" t="s">
        <v>106</v>
      </c>
      <c r="E193" s="92" t="s">
        <v>263</v>
      </c>
      <c r="F193" s="92" t="s">
        <v>33</v>
      </c>
      <c r="G193" s="92" t="s">
        <v>21</v>
      </c>
      <c r="H193" s="92" t="s">
        <v>23</v>
      </c>
      <c r="I193" s="92" t="s">
        <v>35</v>
      </c>
      <c r="J193" s="1">
        <v>14</v>
      </c>
      <c r="K193" s="1">
        <v>405</v>
      </c>
      <c r="M193" s="1">
        <v>0</v>
      </c>
      <c r="N193" s="1">
        <v>5467.5</v>
      </c>
      <c r="Q193" s="92"/>
      <c r="R193" s="92"/>
      <c r="S193" s="92"/>
      <c r="T193" s="92"/>
      <c r="X193" s="1">
        <v>14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29.999970000000001</v>
      </c>
      <c r="AF193" s="1">
        <v>375</v>
      </c>
      <c r="AG193" s="1">
        <v>5063</v>
      </c>
      <c r="AH193" s="1">
        <v>5467.5</v>
      </c>
      <c r="AI193" s="1">
        <v>375.00002999999998</v>
      </c>
      <c r="AJ193" s="1">
        <v>5062.5004049999998</v>
      </c>
      <c r="AK193" s="1">
        <v>0</v>
      </c>
      <c r="AL193" s="1">
        <v>0</v>
      </c>
      <c r="AM193" s="1">
        <v>0</v>
      </c>
      <c r="AN193" s="1">
        <v>405</v>
      </c>
      <c r="AO193" s="1">
        <v>0</v>
      </c>
      <c r="AP193" s="1">
        <v>0</v>
      </c>
    </row>
    <row r="194" spans="1:42" x14ac:dyDescent="0.35">
      <c r="A194">
        <v>193</v>
      </c>
      <c r="B194" s="83">
        <v>46179</v>
      </c>
      <c r="C194" s="92" t="s">
        <v>429</v>
      </c>
      <c r="D194" s="92" t="s">
        <v>106</v>
      </c>
      <c r="E194" s="92" t="s">
        <v>263</v>
      </c>
      <c r="F194" s="92" t="s">
        <v>33</v>
      </c>
      <c r="G194" s="92" t="s">
        <v>21</v>
      </c>
      <c r="H194" s="92" t="s">
        <v>23</v>
      </c>
      <c r="I194" s="92" t="s">
        <v>35</v>
      </c>
      <c r="J194" s="1">
        <v>18</v>
      </c>
      <c r="K194" s="1">
        <v>405</v>
      </c>
      <c r="M194" s="1">
        <v>0</v>
      </c>
      <c r="N194" s="1">
        <v>7087.5</v>
      </c>
      <c r="Q194" s="92"/>
      <c r="R194" s="92"/>
      <c r="S194" s="92"/>
      <c r="T194" s="92"/>
      <c r="X194" s="1">
        <v>18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29.999970000000001</v>
      </c>
      <c r="AF194" s="1">
        <v>375</v>
      </c>
      <c r="AG194" s="1">
        <v>6563</v>
      </c>
      <c r="AH194" s="1">
        <v>7087.5</v>
      </c>
      <c r="AI194" s="1">
        <v>375.00002999999998</v>
      </c>
      <c r="AJ194" s="1">
        <v>6562.5005249999995</v>
      </c>
      <c r="AK194" s="1">
        <v>0</v>
      </c>
      <c r="AL194" s="1">
        <v>0</v>
      </c>
      <c r="AM194" s="1">
        <v>0</v>
      </c>
      <c r="AN194" s="1">
        <v>405</v>
      </c>
      <c r="AO194" s="1">
        <v>0</v>
      </c>
      <c r="AP194" s="1">
        <v>0</v>
      </c>
    </row>
    <row r="195" spans="1:42" x14ac:dyDescent="0.35">
      <c r="A195">
        <v>194</v>
      </c>
      <c r="B195" s="83">
        <v>46180</v>
      </c>
      <c r="C195" s="92" t="s">
        <v>429</v>
      </c>
      <c r="D195" s="92" t="s">
        <v>106</v>
      </c>
      <c r="E195" s="92" t="s">
        <v>263</v>
      </c>
      <c r="F195" s="92" t="s">
        <v>33</v>
      </c>
      <c r="G195" s="92" t="s">
        <v>21</v>
      </c>
      <c r="H195" s="92" t="s">
        <v>23</v>
      </c>
      <c r="I195" s="92" t="s">
        <v>35</v>
      </c>
      <c r="J195" s="1">
        <v>14</v>
      </c>
      <c r="K195" s="1">
        <v>405</v>
      </c>
      <c r="M195" s="1">
        <v>0</v>
      </c>
      <c r="N195" s="1">
        <v>5548.5</v>
      </c>
      <c r="Q195" s="92"/>
      <c r="R195" s="92"/>
      <c r="S195" s="92"/>
      <c r="T195" s="92"/>
      <c r="X195" s="1">
        <v>14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29.999970000000001</v>
      </c>
      <c r="AF195" s="1">
        <v>375</v>
      </c>
      <c r="AG195" s="1">
        <v>5138</v>
      </c>
      <c r="AH195" s="1">
        <v>5548.5</v>
      </c>
      <c r="AI195" s="1">
        <v>375.00002999999998</v>
      </c>
      <c r="AJ195" s="1">
        <v>5137.5004109999991</v>
      </c>
      <c r="AK195" s="1">
        <v>0</v>
      </c>
      <c r="AL195" s="1">
        <v>0</v>
      </c>
      <c r="AM195" s="1">
        <v>0</v>
      </c>
      <c r="AN195" s="1">
        <v>405</v>
      </c>
      <c r="AO195" s="1">
        <v>0</v>
      </c>
      <c r="AP195" s="1">
        <v>0</v>
      </c>
    </row>
    <row r="196" spans="1:42" x14ac:dyDescent="0.35">
      <c r="A196">
        <v>195</v>
      </c>
      <c r="B196" s="83">
        <v>46182</v>
      </c>
      <c r="C196" s="92" t="s">
        <v>429</v>
      </c>
      <c r="D196" s="92" t="s">
        <v>111</v>
      </c>
      <c r="E196" s="92" t="s">
        <v>263</v>
      </c>
      <c r="F196" s="92" t="s">
        <v>475</v>
      </c>
      <c r="G196" s="92"/>
      <c r="H196" s="92"/>
      <c r="I196" s="92"/>
      <c r="P196" s="1">
        <v>900000</v>
      </c>
      <c r="Q196" s="92"/>
      <c r="R196" s="92"/>
      <c r="S196" s="92"/>
      <c r="T196" s="92"/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</row>
    <row r="197" spans="1:42" x14ac:dyDescent="0.35">
      <c r="A197">
        <v>196</v>
      </c>
      <c r="B197" s="83">
        <v>46184</v>
      </c>
      <c r="C197" s="92" t="s">
        <v>429</v>
      </c>
      <c r="D197" s="92" t="s">
        <v>111</v>
      </c>
      <c r="E197" s="92" t="s">
        <v>263</v>
      </c>
      <c r="F197" s="92" t="s">
        <v>475</v>
      </c>
      <c r="G197" s="92"/>
      <c r="H197" s="92"/>
      <c r="I197" s="92"/>
      <c r="P197" s="1">
        <v>1000000</v>
      </c>
      <c r="Q197" s="92"/>
      <c r="R197" s="92"/>
      <c r="S197" s="92"/>
      <c r="T197" s="92"/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</row>
    <row r="198" spans="1:42" x14ac:dyDescent="0.35">
      <c r="A198">
        <v>197</v>
      </c>
      <c r="B198" s="83">
        <v>46184</v>
      </c>
      <c r="C198" s="92" t="s">
        <v>429</v>
      </c>
      <c r="D198" s="92" t="s">
        <v>106</v>
      </c>
      <c r="E198" s="92" t="s">
        <v>19</v>
      </c>
      <c r="F198" s="92" t="s">
        <v>461</v>
      </c>
      <c r="G198" s="92" t="s">
        <v>21</v>
      </c>
      <c r="H198" s="92" t="s">
        <v>23</v>
      </c>
      <c r="I198" s="92" t="s">
        <v>35</v>
      </c>
      <c r="J198" s="1">
        <v>4953</v>
      </c>
      <c r="K198" s="1">
        <v>400</v>
      </c>
      <c r="M198" s="1">
        <v>37</v>
      </c>
      <c r="N198" s="1">
        <v>2164592.1</v>
      </c>
      <c r="Q198" s="92"/>
      <c r="R198" s="92"/>
      <c r="S198" s="92"/>
      <c r="T198" s="92"/>
      <c r="X198" s="1">
        <v>4953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29.6296</v>
      </c>
      <c r="AF198" s="1">
        <v>370</v>
      </c>
      <c r="AG198" s="1">
        <v>1834556</v>
      </c>
      <c r="AH198" s="1">
        <v>2219610.5825520004</v>
      </c>
      <c r="AI198" s="1">
        <v>407.37040000000002</v>
      </c>
      <c r="AJ198" s="1">
        <v>2017827.8023200002</v>
      </c>
      <c r="AK198" s="1">
        <v>0</v>
      </c>
      <c r="AL198" s="1">
        <v>0</v>
      </c>
      <c r="AM198" s="1">
        <v>448</v>
      </c>
      <c r="AN198" s="1">
        <v>0</v>
      </c>
      <c r="AO198" s="1">
        <v>0</v>
      </c>
      <c r="AP198" s="1">
        <v>183272</v>
      </c>
    </row>
    <row r="199" spans="1:42" x14ac:dyDescent="0.35">
      <c r="A199">
        <v>198</v>
      </c>
      <c r="B199" s="83">
        <v>46184</v>
      </c>
      <c r="C199" s="92" t="s">
        <v>429</v>
      </c>
      <c r="D199" s="92" t="s">
        <v>106</v>
      </c>
      <c r="E199" s="92" t="s">
        <v>263</v>
      </c>
      <c r="F199" s="92" t="s">
        <v>33</v>
      </c>
      <c r="G199" s="92" t="s">
        <v>21</v>
      </c>
      <c r="H199" s="92" t="s">
        <v>23</v>
      </c>
      <c r="I199" s="92" t="s">
        <v>35</v>
      </c>
      <c r="J199" s="1">
        <v>20</v>
      </c>
      <c r="K199" s="1">
        <v>405</v>
      </c>
      <c r="M199" s="1">
        <v>0</v>
      </c>
      <c r="N199" s="1">
        <v>7897.5</v>
      </c>
      <c r="Q199" s="92"/>
      <c r="R199" s="92"/>
      <c r="S199" s="92"/>
      <c r="T199" s="92"/>
      <c r="X199" s="1">
        <v>20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29.999970000000001</v>
      </c>
      <c r="AF199" s="1">
        <v>375</v>
      </c>
      <c r="AG199" s="1">
        <v>7313</v>
      </c>
      <c r="AH199" s="1">
        <v>7897.5</v>
      </c>
      <c r="AI199" s="1">
        <v>375.00002999999998</v>
      </c>
      <c r="AJ199" s="1">
        <v>7312.5005849999998</v>
      </c>
      <c r="AK199" s="1">
        <v>0</v>
      </c>
      <c r="AL199" s="1">
        <v>0</v>
      </c>
      <c r="AM199" s="1">
        <v>0</v>
      </c>
      <c r="AN199" s="1">
        <v>405</v>
      </c>
      <c r="AO199" s="1">
        <v>0</v>
      </c>
      <c r="AP199" s="1">
        <v>0</v>
      </c>
    </row>
    <row r="200" spans="1:42" x14ac:dyDescent="0.35">
      <c r="A200">
        <v>199</v>
      </c>
      <c r="B200" s="83">
        <v>46185</v>
      </c>
      <c r="C200" s="92" t="s">
        <v>429</v>
      </c>
      <c r="D200" s="92" t="s">
        <v>111</v>
      </c>
      <c r="E200" s="92" t="s">
        <v>19</v>
      </c>
      <c r="F200" s="92" t="s">
        <v>461</v>
      </c>
      <c r="G200" s="92"/>
      <c r="H200" s="92"/>
      <c r="I200" s="92"/>
      <c r="P200" s="1">
        <v>8000000</v>
      </c>
      <c r="Q200" s="92"/>
      <c r="R200" s="92"/>
      <c r="S200" s="92"/>
      <c r="T200" s="92"/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</row>
    <row r="201" spans="1:42" x14ac:dyDescent="0.35">
      <c r="A201">
        <v>200</v>
      </c>
      <c r="B201" s="83">
        <v>46185</v>
      </c>
      <c r="C201" s="92" t="s">
        <v>429</v>
      </c>
      <c r="D201" s="92" t="s">
        <v>267</v>
      </c>
      <c r="E201" s="92"/>
      <c r="F201" s="92"/>
      <c r="G201" s="92"/>
      <c r="H201" s="92"/>
      <c r="I201" s="92"/>
      <c r="Q201" s="92"/>
      <c r="R201" s="92" t="s">
        <v>88</v>
      </c>
      <c r="S201" s="92" t="s">
        <v>85</v>
      </c>
      <c r="T201" s="92" t="s">
        <v>465</v>
      </c>
      <c r="U201" s="1">
        <v>9120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</row>
    <row r="202" spans="1:42" x14ac:dyDescent="0.35">
      <c r="A202">
        <v>201</v>
      </c>
      <c r="B202" s="83">
        <v>46185</v>
      </c>
      <c r="C202" s="92" t="s">
        <v>429</v>
      </c>
      <c r="D202" s="92" t="s">
        <v>267</v>
      </c>
      <c r="E202" s="92"/>
      <c r="F202" s="92"/>
      <c r="G202" s="92"/>
      <c r="H202" s="92"/>
      <c r="I202" s="92"/>
      <c r="Q202" s="92"/>
      <c r="R202" s="92" t="s">
        <v>88</v>
      </c>
      <c r="S202" s="92" t="s">
        <v>87</v>
      </c>
      <c r="T202" s="92" t="s">
        <v>476</v>
      </c>
      <c r="U202" s="1">
        <v>54000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</row>
    <row r="203" spans="1:42" x14ac:dyDescent="0.35">
      <c r="A203">
        <v>202</v>
      </c>
      <c r="B203" s="83">
        <v>46185</v>
      </c>
      <c r="C203" s="92" t="s">
        <v>429</v>
      </c>
      <c r="D203" s="92" t="s">
        <v>267</v>
      </c>
      <c r="E203" s="92"/>
      <c r="F203" s="92"/>
      <c r="G203" s="92"/>
      <c r="H203" s="92"/>
      <c r="I203" s="92"/>
      <c r="Q203" s="92"/>
      <c r="R203" s="92" t="s">
        <v>88</v>
      </c>
      <c r="S203" s="92" t="s">
        <v>110</v>
      </c>
      <c r="T203" s="92" t="s">
        <v>93</v>
      </c>
      <c r="U203" s="1">
        <v>200000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0</v>
      </c>
      <c r="AJ203" s="1">
        <v>0</v>
      </c>
      <c r="AK203" s="1">
        <v>0</v>
      </c>
      <c r="AL203" s="1">
        <v>0</v>
      </c>
      <c r="AM203" s="1">
        <v>0</v>
      </c>
      <c r="AN203" s="1">
        <v>0</v>
      </c>
      <c r="AO203" s="1">
        <v>0</v>
      </c>
      <c r="AP203" s="1">
        <v>0</v>
      </c>
    </row>
    <row r="204" spans="1:42" x14ac:dyDescent="0.35">
      <c r="A204">
        <v>203</v>
      </c>
      <c r="B204" s="83">
        <v>46185</v>
      </c>
      <c r="C204" s="92" t="s">
        <v>429</v>
      </c>
      <c r="D204" s="92" t="s">
        <v>267</v>
      </c>
      <c r="E204" s="92"/>
      <c r="F204" s="92"/>
      <c r="G204" s="92"/>
      <c r="H204" s="92"/>
      <c r="I204" s="92"/>
      <c r="Q204" s="92"/>
      <c r="R204" s="92" t="s">
        <v>88</v>
      </c>
      <c r="S204" s="92" t="s">
        <v>110</v>
      </c>
      <c r="T204" s="92" t="s">
        <v>466</v>
      </c>
      <c r="U204" s="1">
        <v>200000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1">
        <v>0</v>
      </c>
      <c r="AK204" s="1">
        <v>0</v>
      </c>
      <c r="AL204" s="1">
        <v>0</v>
      </c>
      <c r="AM204" s="1">
        <v>0</v>
      </c>
      <c r="AN204" s="1">
        <v>0</v>
      </c>
      <c r="AO204" s="1">
        <v>0</v>
      </c>
      <c r="AP204" s="1">
        <v>0</v>
      </c>
    </row>
    <row r="205" spans="1:42" x14ac:dyDescent="0.35">
      <c r="A205">
        <v>204</v>
      </c>
      <c r="B205" s="83">
        <v>46185</v>
      </c>
      <c r="C205" s="92" t="s">
        <v>429</v>
      </c>
      <c r="D205" s="92" t="s">
        <v>267</v>
      </c>
      <c r="E205" s="92"/>
      <c r="F205" s="92"/>
      <c r="G205" s="92"/>
      <c r="H205" s="92"/>
      <c r="I205" s="92"/>
      <c r="Q205" s="92"/>
      <c r="R205" s="92" t="s">
        <v>88</v>
      </c>
      <c r="S205" s="92" t="s">
        <v>84</v>
      </c>
      <c r="T205" s="92" t="s">
        <v>467</v>
      </c>
      <c r="U205" s="1">
        <v>100000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1">
        <v>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0</v>
      </c>
    </row>
    <row r="206" spans="1:42" x14ac:dyDescent="0.35">
      <c r="A206">
        <v>205</v>
      </c>
      <c r="B206" s="83">
        <v>46185</v>
      </c>
      <c r="C206" s="92" t="s">
        <v>429</v>
      </c>
      <c r="D206" s="92" t="s">
        <v>267</v>
      </c>
      <c r="E206" s="92"/>
      <c r="F206" s="92"/>
      <c r="G206" s="92"/>
      <c r="H206" s="92"/>
      <c r="I206" s="92"/>
      <c r="Q206" s="92"/>
      <c r="R206" s="92" t="s">
        <v>88</v>
      </c>
      <c r="S206" s="92" t="s">
        <v>87</v>
      </c>
      <c r="T206" s="92" t="s">
        <v>95</v>
      </c>
      <c r="U206" s="1">
        <v>100000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I206" s="1">
        <v>0</v>
      </c>
      <c r="AJ206" s="1">
        <v>0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P206" s="1">
        <v>0</v>
      </c>
    </row>
    <row r="207" spans="1:42" x14ac:dyDescent="0.35">
      <c r="A207">
        <v>206</v>
      </c>
      <c r="B207" s="83">
        <v>46185</v>
      </c>
      <c r="C207" s="92" t="s">
        <v>429</v>
      </c>
      <c r="D207" s="92" t="s">
        <v>267</v>
      </c>
      <c r="E207" s="92"/>
      <c r="F207" s="92"/>
      <c r="G207" s="92"/>
      <c r="H207" s="92"/>
      <c r="I207" s="92"/>
      <c r="Q207" s="92"/>
      <c r="R207" s="92" t="s">
        <v>88</v>
      </c>
      <c r="S207" s="92" t="s">
        <v>84</v>
      </c>
      <c r="T207" s="92" t="s">
        <v>98</v>
      </c>
      <c r="U207" s="1">
        <v>50000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0</v>
      </c>
      <c r="AD207" s="1">
        <v>0</v>
      </c>
      <c r="AE207" s="1">
        <v>0</v>
      </c>
      <c r="AF207" s="1">
        <v>0</v>
      </c>
      <c r="AG207" s="1">
        <v>0</v>
      </c>
      <c r="AH207" s="1">
        <v>0</v>
      </c>
      <c r="AI207" s="1">
        <v>0</v>
      </c>
      <c r="AJ207" s="1">
        <v>0</v>
      </c>
      <c r="AK207" s="1">
        <v>0</v>
      </c>
      <c r="AL207" s="1">
        <v>0</v>
      </c>
      <c r="AM207" s="1">
        <v>0</v>
      </c>
      <c r="AN207" s="1">
        <v>0</v>
      </c>
      <c r="AO207" s="1">
        <v>0</v>
      </c>
      <c r="AP207" s="1">
        <v>0</v>
      </c>
    </row>
    <row r="208" spans="1:42" x14ac:dyDescent="0.35">
      <c r="A208">
        <v>207</v>
      </c>
      <c r="B208" s="83">
        <v>46185</v>
      </c>
      <c r="C208" s="92" t="s">
        <v>429</v>
      </c>
      <c r="D208" s="92" t="s">
        <v>267</v>
      </c>
      <c r="E208" s="92"/>
      <c r="F208" s="92"/>
      <c r="G208" s="92"/>
      <c r="H208" s="92"/>
      <c r="I208" s="92"/>
      <c r="Q208" s="92"/>
      <c r="R208" s="92" t="s">
        <v>88</v>
      </c>
      <c r="S208" s="92" t="s">
        <v>87</v>
      </c>
      <c r="T208" s="92" t="s">
        <v>95</v>
      </c>
      <c r="U208" s="1">
        <v>50000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0</v>
      </c>
      <c r="AF208" s="1">
        <v>0</v>
      </c>
      <c r="AG208" s="1">
        <v>0</v>
      </c>
      <c r="AH208" s="1">
        <v>0</v>
      </c>
      <c r="AI208" s="1">
        <v>0</v>
      </c>
      <c r="AJ208" s="1">
        <v>0</v>
      </c>
      <c r="AK208" s="1">
        <v>0</v>
      </c>
      <c r="AL208" s="1">
        <v>0</v>
      </c>
      <c r="AM208" s="1">
        <v>0</v>
      </c>
      <c r="AN208" s="1">
        <v>0</v>
      </c>
      <c r="AO208" s="1">
        <v>0</v>
      </c>
      <c r="AP208" s="1">
        <v>0</v>
      </c>
    </row>
    <row r="209" spans="1:42" x14ac:dyDescent="0.35">
      <c r="A209">
        <v>208</v>
      </c>
      <c r="B209" s="83">
        <v>46185</v>
      </c>
      <c r="C209" s="92" t="s">
        <v>429</v>
      </c>
      <c r="D209" s="92" t="s">
        <v>267</v>
      </c>
      <c r="E209" s="92"/>
      <c r="F209" s="92"/>
      <c r="G209" s="92"/>
      <c r="H209" s="92"/>
      <c r="I209" s="92"/>
      <c r="Q209" s="92"/>
      <c r="R209" s="92" t="s">
        <v>88</v>
      </c>
      <c r="S209" s="92" t="s">
        <v>286</v>
      </c>
      <c r="T209" s="92" t="s">
        <v>96</v>
      </c>
      <c r="U209" s="1">
        <v>1869.46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v>0</v>
      </c>
      <c r="AH209" s="1">
        <v>0</v>
      </c>
      <c r="AI209" s="1">
        <v>0</v>
      </c>
      <c r="AJ209" s="1">
        <v>0</v>
      </c>
      <c r="AK209" s="1">
        <v>0</v>
      </c>
      <c r="AL209" s="1">
        <v>0</v>
      </c>
      <c r="AM209" s="1">
        <v>0</v>
      </c>
      <c r="AN209" s="1">
        <v>0</v>
      </c>
      <c r="AO209" s="1">
        <v>0</v>
      </c>
      <c r="AP209" s="1">
        <v>0</v>
      </c>
    </row>
    <row r="210" spans="1:42" x14ac:dyDescent="0.35">
      <c r="A210">
        <v>209</v>
      </c>
      <c r="B210" s="83">
        <v>46185</v>
      </c>
      <c r="C210" s="92" t="s">
        <v>429</v>
      </c>
      <c r="D210" s="92" t="s">
        <v>267</v>
      </c>
      <c r="E210" s="92"/>
      <c r="F210" s="92"/>
      <c r="G210" s="92"/>
      <c r="H210" s="92"/>
      <c r="I210" s="92"/>
      <c r="Q210" s="92"/>
      <c r="R210" s="92" t="s">
        <v>88</v>
      </c>
      <c r="S210" s="92" t="s">
        <v>286</v>
      </c>
      <c r="T210" s="92" t="s">
        <v>477</v>
      </c>
      <c r="U210" s="1">
        <v>14160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1">
        <v>0</v>
      </c>
      <c r="AF210" s="1">
        <v>0</v>
      </c>
      <c r="AG210" s="1">
        <v>0</v>
      </c>
      <c r="AH210" s="1">
        <v>0</v>
      </c>
      <c r="AI210" s="1">
        <v>0</v>
      </c>
      <c r="AJ210" s="1">
        <v>0</v>
      </c>
      <c r="AK210" s="1">
        <v>0</v>
      </c>
      <c r="AL210" s="1">
        <v>0</v>
      </c>
      <c r="AM210" s="1">
        <v>0</v>
      </c>
      <c r="AN210" s="1">
        <v>0</v>
      </c>
      <c r="AO210" s="1">
        <v>0</v>
      </c>
      <c r="AP210" s="1">
        <v>0</v>
      </c>
    </row>
    <row r="211" spans="1:42" x14ac:dyDescent="0.35">
      <c r="A211">
        <v>210</v>
      </c>
      <c r="B211" s="83">
        <v>46185</v>
      </c>
      <c r="C211" s="92" t="s">
        <v>429</v>
      </c>
      <c r="D211" s="92" t="s">
        <v>267</v>
      </c>
      <c r="E211" s="92"/>
      <c r="F211" s="92"/>
      <c r="G211" s="92"/>
      <c r="H211" s="92"/>
      <c r="I211" s="92"/>
      <c r="Q211" s="92"/>
      <c r="R211" s="92" t="s">
        <v>88</v>
      </c>
      <c r="S211" s="92" t="s">
        <v>286</v>
      </c>
      <c r="T211" s="92" t="s">
        <v>96</v>
      </c>
      <c r="U211" s="1">
        <v>54203.91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0</v>
      </c>
      <c r="AJ211" s="1">
        <v>0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0</v>
      </c>
    </row>
    <row r="212" spans="1:42" x14ac:dyDescent="0.35">
      <c r="A212">
        <v>211</v>
      </c>
      <c r="B212" s="83">
        <v>46185</v>
      </c>
      <c r="C212" s="92" t="s">
        <v>429</v>
      </c>
      <c r="D212" s="92" t="s">
        <v>267</v>
      </c>
      <c r="E212" s="92"/>
      <c r="F212" s="92"/>
      <c r="G212" s="92"/>
      <c r="H212" s="92"/>
      <c r="I212" s="92"/>
      <c r="Q212" s="92"/>
      <c r="R212" s="92" t="s">
        <v>88</v>
      </c>
      <c r="S212" s="92" t="s">
        <v>87</v>
      </c>
      <c r="T212" s="92" t="s">
        <v>95</v>
      </c>
      <c r="U212" s="1">
        <v>21240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0</v>
      </c>
      <c r="AJ212" s="1">
        <v>0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0</v>
      </c>
    </row>
    <row r="213" spans="1:42" x14ac:dyDescent="0.35">
      <c r="A213">
        <v>212</v>
      </c>
      <c r="B213" s="83">
        <v>46185</v>
      </c>
      <c r="C213" s="92" t="s">
        <v>429</v>
      </c>
      <c r="D213" s="92" t="s">
        <v>267</v>
      </c>
      <c r="E213" s="92"/>
      <c r="F213" s="92"/>
      <c r="G213" s="92"/>
      <c r="H213" s="92"/>
      <c r="I213" s="92"/>
      <c r="Q213" s="92"/>
      <c r="R213" s="92" t="s">
        <v>88</v>
      </c>
      <c r="S213" s="92" t="s">
        <v>85</v>
      </c>
      <c r="T213" s="92" t="s">
        <v>464</v>
      </c>
      <c r="U213" s="1">
        <v>14400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0</v>
      </c>
      <c r="AJ213" s="1">
        <v>0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P213" s="1">
        <v>0</v>
      </c>
    </row>
    <row r="214" spans="1:42" x14ac:dyDescent="0.35">
      <c r="A214">
        <v>213</v>
      </c>
      <c r="B214" s="83">
        <v>46185</v>
      </c>
      <c r="C214" s="92" t="s">
        <v>429</v>
      </c>
      <c r="D214" s="92" t="s">
        <v>267</v>
      </c>
      <c r="E214" s="92"/>
      <c r="F214" s="92"/>
      <c r="G214" s="92"/>
      <c r="H214" s="92"/>
      <c r="I214" s="92"/>
      <c r="Q214" s="92"/>
      <c r="R214" s="92" t="s">
        <v>88</v>
      </c>
      <c r="S214" s="92" t="s">
        <v>110</v>
      </c>
      <c r="T214" s="92" t="s">
        <v>466</v>
      </c>
      <c r="U214" s="1">
        <v>100000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P214" s="1">
        <v>0</v>
      </c>
    </row>
    <row r="215" spans="1:42" x14ac:dyDescent="0.35">
      <c r="A215">
        <v>214</v>
      </c>
      <c r="B215" s="83">
        <v>46185</v>
      </c>
      <c r="C215" s="92" t="s">
        <v>429</v>
      </c>
      <c r="D215" s="92" t="s">
        <v>106</v>
      </c>
      <c r="E215" s="92" t="s">
        <v>19</v>
      </c>
      <c r="F215" s="92" t="s">
        <v>461</v>
      </c>
      <c r="G215" s="92" t="s">
        <v>21</v>
      </c>
      <c r="H215" s="92" t="s">
        <v>23</v>
      </c>
      <c r="I215" s="92" t="s">
        <v>35</v>
      </c>
      <c r="J215" s="1">
        <v>13512</v>
      </c>
      <c r="K215" s="1">
        <v>420</v>
      </c>
      <c r="M215" s="1">
        <v>37</v>
      </c>
      <c r="N215" s="1">
        <v>6175166.7999999998</v>
      </c>
      <c r="Q215" s="92"/>
      <c r="R215" s="92"/>
      <c r="S215" s="92"/>
      <c r="T215" s="92"/>
      <c r="X215" s="1">
        <v>13512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31.111080000000001</v>
      </c>
      <c r="AF215" s="1">
        <v>389</v>
      </c>
      <c r="AG215" s="1">
        <v>5254823</v>
      </c>
      <c r="AH215" s="1">
        <v>6330259.5868688002</v>
      </c>
      <c r="AI215" s="1">
        <v>425.88891999999998</v>
      </c>
      <c r="AJ215" s="1">
        <v>5754781.4426079998</v>
      </c>
      <c r="AK215" s="1">
        <v>0</v>
      </c>
      <c r="AL215" s="1">
        <v>0</v>
      </c>
      <c r="AM215" s="1">
        <v>468</v>
      </c>
      <c r="AN215" s="1">
        <v>0</v>
      </c>
      <c r="AO215" s="1">
        <v>0</v>
      </c>
      <c r="AP215" s="1">
        <v>499959</v>
      </c>
    </row>
    <row r="216" spans="1:42" x14ac:dyDescent="0.35">
      <c r="A216">
        <v>215</v>
      </c>
      <c r="B216" s="83">
        <v>46186</v>
      </c>
      <c r="C216" s="92" t="s">
        <v>429</v>
      </c>
      <c r="D216" s="92" t="s">
        <v>106</v>
      </c>
      <c r="E216" s="92" t="s">
        <v>19</v>
      </c>
      <c r="F216" s="92" t="s">
        <v>461</v>
      </c>
      <c r="G216" s="92" t="s">
        <v>21</v>
      </c>
      <c r="H216" s="92" t="s">
        <v>23</v>
      </c>
      <c r="I216" s="92" t="s">
        <v>35</v>
      </c>
      <c r="J216" s="1">
        <v>16673</v>
      </c>
      <c r="K216" s="1">
        <v>450</v>
      </c>
      <c r="M216" s="1">
        <v>37</v>
      </c>
      <c r="N216" s="1">
        <v>8119751</v>
      </c>
      <c r="Q216" s="92"/>
      <c r="R216" s="92"/>
      <c r="S216" s="92"/>
      <c r="T216" s="92"/>
      <c r="X216" s="1">
        <v>16673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33.333300000000001</v>
      </c>
      <c r="AF216" s="1">
        <v>417</v>
      </c>
      <c r="AG216" s="1">
        <v>6947084</v>
      </c>
      <c r="AH216" s="1">
        <v>8320383.378010001</v>
      </c>
      <c r="AI216" s="1">
        <v>453.66669999999999</v>
      </c>
      <c r="AJ216" s="1">
        <v>7563984.8891000003</v>
      </c>
      <c r="AK216" s="1">
        <v>0</v>
      </c>
      <c r="AL216" s="1">
        <v>0</v>
      </c>
      <c r="AM216" s="1">
        <v>499</v>
      </c>
      <c r="AN216" s="1">
        <v>0</v>
      </c>
      <c r="AO216" s="1">
        <v>0</v>
      </c>
      <c r="AP216" s="1">
        <v>616901</v>
      </c>
    </row>
    <row r="217" spans="1:42" x14ac:dyDescent="0.35">
      <c r="A217">
        <v>216</v>
      </c>
      <c r="B217" s="83">
        <v>46188</v>
      </c>
      <c r="C217" s="92" t="s">
        <v>429</v>
      </c>
      <c r="D217" s="92" t="s">
        <v>111</v>
      </c>
      <c r="E217" s="92" t="s">
        <v>19</v>
      </c>
      <c r="F217" s="92" t="s">
        <v>461</v>
      </c>
      <c r="G217" s="92"/>
      <c r="H217" s="92"/>
      <c r="I217" s="92"/>
      <c r="P217" s="1">
        <v>5000000</v>
      </c>
      <c r="Q217" s="92"/>
      <c r="R217" s="92"/>
      <c r="S217" s="92"/>
      <c r="T217" s="92"/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P217" s="1">
        <v>0</v>
      </c>
    </row>
    <row r="218" spans="1:42" x14ac:dyDescent="0.35">
      <c r="A218">
        <v>217</v>
      </c>
      <c r="B218" s="83">
        <v>46187</v>
      </c>
      <c r="C218" s="92" t="s">
        <v>429</v>
      </c>
      <c r="D218" s="92" t="s">
        <v>106</v>
      </c>
      <c r="E218" s="92" t="s">
        <v>19</v>
      </c>
      <c r="F218" s="92" t="s">
        <v>461</v>
      </c>
      <c r="G218" s="92" t="s">
        <v>21</v>
      </c>
      <c r="H218" s="92" t="s">
        <v>23</v>
      </c>
      <c r="I218" s="92" t="s">
        <v>35</v>
      </c>
      <c r="J218" s="1">
        <v>17527</v>
      </c>
      <c r="K218" s="1">
        <v>450</v>
      </c>
      <c r="M218" s="1">
        <v>37</v>
      </c>
      <c r="N218" s="1">
        <v>8535795.0999999996</v>
      </c>
      <c r="Q218" s="92"/>
      <c r="R218" s="92"/>
      <c r="S218" s="92"/>
      <c r="T218" s="92"/>
      <c r="X218" s="1">
        <v>17527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33.333300000000001</v>
      </c>
      <c r="AF218" s="1">
        <v>417</v>
      </c>
      <c r="AG218" s="1">
        <v>7303042</v>
      </c>
      <c r="AH218" s="1">
        <v>8746707.5860010013</v>
      </c>
      <c r="AI218" s="1">
        <v>453.66669999999999</v>
      </c>
      <c r="AJ218" s="1">
        <v>7951552.3509099996</v>
      </c>
      <c r="AK218" s="1">
        <v>0</v>
      </c>
      <c r="AL218" s="1">
        <v>0</v>
      </c>
      <c r="AM218" s="1">
        <v>499</v>
      </c>
      <c r="AN218" s="1">
        <v>0</v>
      </c>
      <c r="AO218" s="1">
        <v>0</v>
      </c>
      <c r="AP218" s="1">
        <v>648510</v>
      </c>
    </row>
    <row r="219" spans="1:42" x14ac:dyDescent="0.35">
      <c r="A219">
        <v>218</v>
      </c>
      <c r="B219" s="83">
        <v>46187</v>
      </c>
      <c r="C219" s="92" t="s">
        <v>429</v>
      </c>
      <c r="D219" s="92" t="s">
        <v>106</v>
      </c>
      <c r="E219" s="92" t="s">
        <v>263</v>
      </c>
      <c r="F219" s="92" t="s">
        <v>33</v>
      </c>
      <c r="G219" s="92" t="s">
        <v>21</v>
      </c>
      <c r="H219" s="92" t="s">
        <v>23</v>
      </c>
      <c r="I219" s="92" t="s">
        <v>35</v>
      </c>
      <c r="J219" s="1">
        <v>19</v>
      </c>
      <c r="K219" s="1">
        <v>405</v>
      </c>
      <c r="M219" s="1">
        <v>0</v>
      </c>
      <c r="N219" s="1">
        <v>7695</v>
      </c>
      <c r="Q219" s="92"/>
      <c r="R219" s="92"/>
      <c r="S219" s="92"/>
      <c r="T219" s="92"/>
      <c r="X219" s="1">
        <v>19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29.999970000000001</v>
      </c>
      <c r="AF219" s="1">
        <v>375</v>
      </c>
      <c r="AG219" s="1">
        <v>7125</v>
      </c>
      <c r="AH219" s="1">
        <v>7695</v>
      </c>
      <c r="AI219" s="1">
        <v>375.00002999999998</v>
      </c>
      <c r="AJ219" s="1">
        <v>7125.0005699999992</v>
      </c>
      <c r="AK219" s="1">
        <v>0</v>
      </c>
      <c r="AL219" s="1">
        <v>0</v>
      </c>
      <c r="AM219" s="1">
        <v>0</v>
      </c>
      <c r="AN219" s="1">
        <v>405</v>
      </c>
      <c r="AO219" s="1">
        <v>0</v>
      </c>
      <c r="AP219" s="1">
        <v>0</v>
      </c>
    </row>
    <row r="220" spans="1:42" x14ac:dyDescent="0.35">
      <c r="A220">
        <v>219</v>
      </c>
      <c r="B220" s="83">
        <v>46188</v>
      </c>
      <c r="C220" s="92" t="s">
        <v>429</v>
      </c>
      <c r="D220" s="92" t="s">
        <v>111</v>
      </c>
      <c r="E220" s="92" t="s">
        <v>263</v>
      </c>
      <c r="F220" s="92" t="s">
        <v>475</v>
      </c>
      <c r="G220" s="92"/>
      <c r="H220" s="92"/>
      <c r="I220" s="92"/>
      <c r="P220" s="1">
        <v>1000000</v>
      </c>
      <c r="Q220" s="92"/>
      <c r="R220" s="92"/>
      <c r="S220" s="92"/>
      <c r="T220" s="92"/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0</v>
      </c>
    </row>
    <row r="221" spans="1:42" x14ac:dyDescent="0.35">
      <c r="A221">
        <v>220</v>
      </c>
      <c r="B221" s="83">
        <v>46186</v>
      </c>
      <c r="C221" s="92" t="s">
        <v>429</v>
      </c>
      <c r="D221" s="92" t="s">
        <v>106</v>
      </c>
      <c r="E221" s="92" t="s">
        <v>263</v>
      </c>
      <c r="F221" s="92" t="s">
        <v>33</v>
      </c>
      <c r="G221" s="92" t="s">
        <v>21</v>
      </c>
      <c r="H221" s="92" t="s">
        <v>23</v>
      </c>
      <c r="I221" s="92" t="s">
        <v>35</v>
      </c>
      <c r="J221" s="1">
        <v>16</v>
      </c>
      <c r="K221" s="1">
        <v>405</v>
      </c>
      <c r="M221" s="1">
        <v>0</v>
      </c>
      <c r="N221" s="1">
        <v>6439.5</v>
      </c>
      <c r="Q221" s="92"/>
      <c r="R221" s="92"/>
      <c r="S221" s="92"/>
      <c r="T221" s="92"/>
      <c r="X221" s="1">
        <v>16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29.999970000000001</v>
      </c>
      <c r="AF221" s="1">
        <v>375</v>
      </c>
      <c r="AG221" s="1">
        <v>5963</v>
      </c>
      <c r="AH221" s="1">
        <v>6439.5</v>
      </c>
      <c r="AI221" s="1">
        <v>375.00002999999998</v>
      </c>
      <c r="AJ221" s="1">
        <v>5962.5004769999996</v>
      </c>
      <c r="AK221" s="1">
        <v>0</v>
      </c>
      <c r="AL221" s="1">
        <v>0</v>
      </c>
      <c r="AM221" s="1">
        <v>0</v>
      </c>
      <c r="AN221" s="1">
        <v>405</v>
      </c>
      <c r="AO221" s="1">
        <v>0</v>
      </c>
      <c r="AP221" s="1">
        <v>0</v>
      </c>
    </row>
    <row r="222" spans="1:42" x14ac:dyDescent="0.35">
      <c r="A222">
        <v>221</v>
      </c>
      <c r="B222" s="83">
        <v>46186</v>
      </c>
      <c r="C222" s="92" t="s">
        <v>429</v>
      </c>
      <c r="D222" s="92" t="s">
        <v>267</v>
      </c>
      <c r="E222" s="92"/>
      <c r="F222" s="92"/>
      <c r="G222" s="92"/>
      <c r="H222" s="92"/>
      <c r="I222" s="92"/>
      <c r="Q222" s="92"/>
      <c r="R222" s="92" t="s">
        <v>88</v>
      </c>
      <c r="S222" s="92" t="s">
        <v>83</v>
      </c>
      <c r="T222" s="92" t="s">
        <v>471</v>
      </c>
      <c r="U222" s="1">
        <v>1162330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">
        <v>0</v>
      </c>
      <c r="AM222" s="1">
        <v>0</v>
      </c>
      <c r="AN222" s="1">
        <v>0</v>
      </c>
      <c r="AO222" s="1">
        <v>0</v>
      </c>
      <c r="AP222" s="1">
        <v>0</v>
      </c>
    </row>
    <row r="223" spans="1:42" x14ac:dyDescent="0.35">
      <c r="A223">
        <v>222</v>
      </c>
      <c r="B223" s="83">
        <v>46188</v>
      </c>
      <c r="C223" s="92" t="s">
        <v>429</v>
      </c>
      <c r="D223" s="92" t="s">
        <v>267</v>
      </c>
      <c r="E223" s="92"/>
      <c r="F223" s="92"/>
      <c r="G223" s="92"/>
      <c r="H223" s="92"/>
      <c r="I223" s="92"/>
      <c r="Q223" s="92"/>
      <c r="R223" s="92" t="s">
        <v>88</v>
      </c>
      <c r="S223" s="92" t="s">
        <v>83</v>
      </c>
      <c r="T223" s="92" t="s">
        <v>471</v>
      </c>
      <c r="U223" s="1">
        <v>425770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">
        <v>0</v>
      </c>
      <c r="AM223" s="1">
        <v>0</v>
      </c>
      <c r="AN223" s="1">
        <v>0</v>
      </c>
      <c r="AO223" s="1">
        <v>0</v>
      </c>
      <c r="AP223" s="1">
        <v>0</v>
      </c>
    </row>
    <row r="224" spans="1:42" x14ac:dyDescent="0.35">
      <c r="A224">
        <v>223</v>
      </c>
      <c r="B224" s="83">
        <v>46188</v>
      </c>
      <c r="C224" s="92" t="s">
        <v>429</v>
      </c>
      <c r="D224" s="92" t="s">
        <v>106</v>
      </c>
      <c r="E224" s="92" t="s">
        <v>19</v>
      </c>
      <c r="F224" s="92" t="s">
        <v>461</v>
      </c>
      <c r="G224" s="92" t="s">
        <v>21</v>
      </c>
      <c r="H224" s="92" t="s">
        <v>23</v>
      </c>
      <c r="I224" s="92" t="s">
        <v>35</v>
      </c>
      <c r="J224" s="1">
        <v>12536</v>
      </c>
      <c r="K224" s="1">
        <v>450</v>
      </c>
      <c r="M224" s="1">
        <v>37</v>
      </c>
      <c r="N224" s="1">
        <v>6105032</v>
      </c>
      <c r="Q224" s="92"/>
      <c r="R224" s="92"/>
      <c r="S224" s="92"/>
      <c r="T224" s="92"/>
      <c r="X224" s="1">
        <v>12536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33.333300000000001</v>
      </c>
      <c r="AF224" s="1">
        <v>417</v>
      </c>
      <c r="AG224" s="1">
        <v>5223334</v>
      </c>
      <c r="AH224" s="1">
        <v>6255882.3263200009</v>
      </c>
      <c r="AI224" s="1">
        <v>453.66669999999999</v>
      </c>
      <c r="AJ224" s="1">
        <v>5687165.7511999998</v>
      </c>
      <c r="AK224" s="1">
        <v>0</v>
      </c>
      <c r="AL224" s="1">
        <v>0</v>
      </c>
      <c r="AM224" s="1">
        <v>499</v>
      </c>
      <c r="AN224" s="1">
        <v>0</v>
      </c>
      <c r="AO224" s="1">
        <v>0</v>
      </c>
      <c r="AP224" s="1">
        <v>463832</v>
      </c>
    </row>
    <row r="225" spans="1:42" x14ac:dyDescent="0.35">
      <c r="A225">
        <v>224</v>
      </c>
      <c r="B225" s="83">
        <v>46188</v>
      </c>
      <c r="C225" s="92" t="s">
        <v>429</v>
      </c>
      <c r="D225" s="92" t="s">
        <v>106</v>
      </c>
      <c r="E225" s="92" t="s">
        <v>19</v>
      </c>
      <c r="F225" s="92" t="s">
        <v>461</v>
      </c>
      <c r="G225" s="92" t="s">
        <v>21</v>
      </c>
      <c r="H225" s="92" t="s">
        <v>26</v>
      </c>
      <c r="I225" s="92" t="s">
        <v>388</v>
      </c>
      <c r="J225" s="1">
        <v>125</v>
      </c>
      <c r="K225" s="1">
        <v>0</v>
      </c>
      <c r="M225" s="1">
        <v>0</v>
      </c>
      <c r="N225" s="1">
        <v>0</v>
      </c>
      <c r="Q225" s="92"/>
      <c r="R225" s="92"/>
      <c r="S225" s="92"/>
      <c r="T225" s="92"/>
      <c r="X225" s="1">
        <v>0</v>
      </c>
      <c r="Y225" s="1">
        <v>0</v>
      </c>
      <c r="Z225" s="1">
        <v>0</v>
      </c>
      <c r="AA225" s="1">
        <v>125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1">
        <v>0</v>
      </c>
      <c r="AM225" s="1">
        <v>0</v>
      </c>
      <c r="AN225" s="1">
        <v>0</v>
      </c>
      <c r="AO225" s="1">
        <v>0</v>
      </c>
      <c r="AP225" s="1">
        <v>0</v>
      </c>
    </row>
    <row r="226" spans="1:42" x14ac:dyDescent="0.35">
      <c r="A226">
        <v>225</v>
      </c>
      <c r="B226" s="83">
        <v>46189</v>
      </c>
      <c r="C226" s="92" t="s">
        <v>429</v>
      </c>
      <c r="D226" s="92" t="s">
        <v>111</v>
      </c>
      <c r="E226" s="92" t="s">
        <v>19</v>
      </c>
      <c r="F226" s="92" t="s">
        <v>461</v>
      </c>
      <c r="G226" s="92"/>
      <c r="H226" s="92"/>
      <c r="I226" s="92"/>
      <c r="P226" s="1">
        <v>5000000</v>
      </c>
      <c r="Q226" s="92"/>
      <c r="R226" s="92"/>
      <c r="S226" s="92"/>
      <c r="T226" s="92"/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1">
        <v>0</v>
      </c>
      <c r="AM226" s="1">
        <v>0</v>
      </c>
      <c r="AN226" s="1">
        <v>0</v>
      </c>
      <c r="AO226" s="1">
        <v>0</v>
      </c>
      <c r="AP226" s="1">
        <v>0</v>
      </c>
    </row>
    <row r="227" spans="1:42" x14ac:dyDescent="0.35">
      <c r="A227">
        <v>226</v>
      </c>
      <c r="B227" s="83">
        <v>46188</v>
      </c>
      <c r="C227" s="92" t="s">
        <v>429</v>
      </c>
      <c r="D227" s="92" t="s">
        <v>267</v>
      </c>
      <c r="E227" s="92"/>
      <c r="F227" s="92"/>
      <c r="G227" s="92"/>
      <c r="H227" s="92"/>
      <c r="I227" s="92"/>
      <c r="Q227" s="92"/>
      <c r="R227" s="92" t="s">
        <v>88</v>
      </c>
      <c r="S227" s="92" t="s">
        <v>85</v>
      </c>
      <c r="T227" s="92" t="s">
        <v>92</v>
      </c>
      <c r="U227" s="1">
        <v>250000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0</v>
      </c>
      <c r="AL227" s="1">
        <v>0</v>
      </c>
      <c r="AM227" s="1">
        <v>0</v>
      </c>
      <c r="AN227" s="1">
        <v>0</v>
      </c>
      <c r="AO227" s="1">
        <v>0</v>
      </c>
      <c r="AP227" s="1">
        <v>0</v>
      </c>
    </row>
    <row r="228" spans="1:42" x14ac:dyDescent="0.35">
      <c r="A228">
        <v>227</v>
      </c>
      <c r="B228" s="83">
        <v>46188</v>
      </c>
      <c r="C228" s="92" t="s">
        <v>429</v>
      </c>
      <c r="D228" s="92" t="s">
        <v>267</v>
      </c>
      <c r="E228" s="92"/>
      <c r="F228" s="92"/>
      <c r="G228" s="92"/>
      <c r="H228" s="92"/>
      <c r="I228" s="92"/>
      <c r="Q228" s="92"/>
      <c r="R228" s="92" t="s">
        <v>88</v>
      </c>
      <c r="S228" s="92" t="s">
        <v>85</v>
      </c>
      <c r="T228" s="92" t="s">
        <v>465</v>
      </c>
      <c r="U228" s="1">
        <v>5000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P228" s="1">
        <v>0</v>
      </c>
    </row>
    <row r="229" spans="1:42" x14ac:dyDescent="0.35">
      <c r="A229">
        <v>228</v>
      </c>
      <c r="B229" s="83">
        <v>46189</v>
      </c>
      <c r="C229" s="92" t="s">
        <v>429</v>
      </c>
      <c r="D229" s="92" t="s">
        <v>267</v>
      </c>
      <c r="E229" s="92"/>
      <c r="F229" s="92"/>
      <c r="G229" s="92"/>
      <c r="H229" s="92"/>
      <c r="I229" s="92"/>
      <c r="Q229" s="92"/>
      <c r="R229" s="92" t="s">
        <v>88</v>
      </c>
      <c r="S229" s="92" t="s">
        <v>87</v>
      </c>
      <c r="T229" s="92" t="s">
        <v>95</v>
      </c>
      <c r="U229" s="1">
        <v>100000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  <c r="AG229" s="1">
        <v>0</v>
      </c>
      <c r="AH229" s="1">
        <v>0</v>
      </c>
      <c r="AI229" s="1">
        <v>0</v>
      </c>
      <c r="AJ229" s="1">
        <v>0</v>
      </c>
      <c r="AK229" s="1">
        <v>0</v>
      </c>
      <c r="AL229" s="1">
        <v>0</v>
      </c>
      <c r="AM229" s="1">
        <v>0</v>
      </c>
      <c r="AN229" s="1">
        <v>0</v>
      </c>
      <c r="AO229" s="1">
        <v>0</v>
      </c>
      <c r="AP229" s="1">
        <v>0</v>
      </c>
    </row>
    <row r="230" spans="1:42" x14ac:dyDescent="0.35">
      <c r="A230">
        <v>229</v>
      </c>
      <c r="B230" s="83">
        <v>46189</v>
      </c>
      <c r="C230" s="92" t="s">
        <v>429</v>
      </c>
      <c r="D230" s="92" t="s">
        <v>267</v>
      </c>
      <c r="E230" s="92"/>
      <c r="F230" s="92"/>
      <c r="G230" s="92"/>
      <c r="H230" s="92"/>
      <c r="I230" s="92"/>
      <c r="Q230" s="92"/>
      <c r="R230" s="92" t="s">
        <v>88</v>
      </c>
      <c r="S230" s="92" t="s">
        <v>87</v>
      </c>
      <c r="T230" s="92" t="s">
        <v>95</v>
      </c>
      <c r="U230" s="1">
        <v>35400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0</v>
      </c>
      <c r="AG230" s="1">
        <v>0</v>
      </c>
      <c r="AH230" s="1">
        <v>0</v>
      </c>
      <c r="AI230" s="1">
        <v>0</v>
      </c>
      <c r="AJ230" s="1">
        <v>0</v>
      </c>
      <c r="AK230" s="1">
        <v>0</v>
      </c>
      <c r="AL230" s="1">
        <v>0</v>
      </c>
      <c r="AM230" s="1">
        <v>0</v>
      </c>
      <c r="AN230" s="1">
        <v>0</v>
      </c>
      <c r="AO230" s="1">
        <v>0</v>
      </c>
      <c r="AP230" s="1">
        <v>0</v>
      </c>
    </row>
    <row r="231" spans="1:42" x14ac:dyDescent="0.35">
      <c r="A231">
        <v>230</v>
      </c>
      <c r="B231" s="83">
        <v>46189</v>
      </c>
      <c r="C231" s="92" t="s">
        <v>429</v>
      </c>
      <c r="D231" s="92" t="s">
        <v>106</v>
      </c>
      <c r="E231" s="92" t="s">
        <v>19</v>
      </c>
      <c r="F231" s="92" t="s">
        <v>461</v>
      </c>
      <c r="G231" s="92" t="s">
        <v>21</v>
      </c>
      <c r="H231" s="92" t="s">
        <v>23</v>
      </c>
      <c r="I231" s="92" t="s">
        <v>35</v>
      </c>
      <c r="J231" s="1">
        <v>10090</v>
      </c>
      <c r="K231" s="1">
        <v>450</v>
      </c>
      <c r="M231" s="1">
        <v>37</v>
      </c>
      <c r="N231" s="1">
        <v>4914073.5</v>
      </c>
      <c r="Q231" s="92"/>
      <c r="R231" s="92"/>
      <c r="S231" s="92"/>
      <c r="T231" s="92"/>
      <c r="X231" s="1">
        <v>10090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33.333300000000001</v>
      </c>
      <c r="AF231" s="1">
        <v>417</v>
      </c>
      <c r="AG231" s="1">
        <v>4204375</v>
      </c>
      <c r="AH231" s="1">
        <v>5035496.2199850008</v>
      </c>
      <c r="AI231" s="1">
        <v>453.66669999999999</v>
      </c>
      <c r="AJ231" s="1">
        <v>4577723.8363499995</v>
      </c>
      <c r="AK231" s="1">
        <v>0</v>
      </c>
      <c r="AL231" s="1">
        <v>0</v>
      </c>
      <c r="AM231" s="1">
        <v>499</v>
      </c>
      <c r="AN231" s="1">
        <v>0</v>
      </c>
      <c r="AO231" s="1">
        <v>0</v>
      </c>
      <c r="AP231" s="1">
        <v>373348</v>
      </c>
    </row>
    <row r="232" spans="1:42" x14ac:dyDescent="0.35">
      <c r="A232">
        <v>231</v>
      </c>
      <c r="B232" s="83">
        <v>46189</v>
      </c>
      <c r="C232" s="92" t="s">
        <v>429</v>
      </c>
      <c r="D232" s="92" t="s">
        <v>106</v>
      </c>
      <c r="E232" s="92" t="s">
        <v>19</v>
      </c>
      <c r="F232" s="92" t="s">
        <v>461</v>
      </c>
      <c r="G232" s="92" t="s">
        <v>21</v>
      </c>
      <c r="H232" s="92" t="s">
        <v>26</v>
      </c>
      <c r="I232" s="92" t="s">
        <v>388</v>
      </c>
      <c r="J232" s="1">
        <v>215</v>
      </c>
      <c r="K232" s="1">
        <v>0</v>
      </c>
      <c r="M232" s="1">
        <v>0</v>
      </c>
      <c r="N232" s="1">
        <v>0</v>
      </c>
      <c r="Q232" s="92"/>
      <c r="R232" s="92"/>
      <c r="S232" s="92"/>
      <c r="T232" s="92"/>
      <c r="X232" s="1">
        <v>0</v>
      </c>
      <c r="Y232" s="1">
        <v>0</v>
      </c>
      <c r="Z232" s="1">
        <v>0</v>
      </c>
      <c r="AA232" s="1">
        <v>215</v>
      </c>
      <c r="AB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v>0</v>
      </c>
      <c r="AH232" s="1">
        <v>0</v>
      </c>
      <c r="AI232" s="1">
        <v>0</v>
      </c>
      <c r="AJ232" s="1">
        <v>0</v>
      </c>
      <c r="AK232" s="1">
        <v>0</v>
      </c>
      <c r="AL232" s="1">
        <v>0</v>
      </c>
      <c r="AM232" s="1">
        <v>0</v>
      </c>
      <c r="AN232" s="1">
        <v>0</v>
      </c>
      <c r="AO232" s="1">
        <v>0</v>
      </c>
      <c r="AP232" s="1">
        <v>0</v>
      </c>
    </row>
    <row r="233" spans="1:42" x14ac:dyDescent="0.35">
      <c r="A233">
        <v>232</v>
      </c>
      <c r="B233" s="83">
        <v>46190</v>
      </c>
      <c r="C233" s="92" t="s">
        <v>429</v>
      </c>
      <c r="D233" s="92" t="s">
        <v>111</v>
      </c>
      <c r="E233" s="92" t="s">
        <v>19</v>
      </c>
      <c r="F233" s="92" t="s">
        <v>461</v>
      </c>
      <c r="G233" s="92"/>
      <c r="H233" s="92"/>
      <c r="I233" s="92"/>
      <c r="P233" s="1">
        <v>5000000</v>
      </c>
      <c r="Q233" s="92"/>
      <c r="R233" s="92"/>
      <c r="S233" s="92"/>
      <c r="T233" s="92"/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v>0</v>
      </c>
      <c r="AH233" s="1">
        <v>0</v>
      </c>
      <c r="AI233" s="1">
        <v>0</v>
      </c>
      <c r="AJ233" s="1">
        <v>0</v>
      </c>
      <c r="AK233" s="1">
        <v>0</v>
      </c>
      <c r="AL233" s="1">
        <v>0</v>
      </c>
      <c r="AM233" s="1">
        <v>0</v>
      </c>
      <c r="AN233" s="1">
        <v>0</v>
      </c>
      <c r="AO233" s="1">
        <v>0</v>
      </c>
      <c r="AP233" s="1">
        <v>0</v>
      </c>
    </row>
    <row r="234" spans="1:42" x14ac:dyDescent="0.35">
      <c r="A234">
        <v>233</v>
      </c>
      <c r="B234" s="83">
        <v>46190</v>
      </c>
      <c r="C234" s="92" t="s">
        <v>429</v>
      </c>
      <c r="D234" s="92" t="s">
        <v>111</v>
      </c>
      <c r="E234" s="92" t="s">
        <v>263</v>
      </c>
      <c r="F234" s="92" t="s">
        <v>475</v>
      </c>
      <c r="G234" s="92"/>
      <c r="H234" s="92"/>
      <c r="I234" s="92"/>
      <c r="P234" s="1">
        <v>2000000</v>
      </c>
      <c r="Q234" s="92"/>
      <c r="R234" s="92"/>
      <c r="S234" s="92"/>
      <c r="T234" s="92"/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1">
        <v>0</v>
      </c>
      <c r="AK234" s="1">
        <v>0</v>
      </c>
      <c r="AL234" s="1">
        <v>0</v>
      </c>
      <c r="AM234" s="1">
        <v>0</v>
      </c>
      <c r="AN234" s="1">
        <v>0</v>
      </c>
      <c r="AO234" s="1">
        <v>0</v>
      </c>
      <c r="AP234" s="1">
        <v>0</v>
      </c>
    </row>
    <row r="235" spans="1:42" x14ac:dyDescent="0.35">
      <c r="A235">
        <v>234</v>
      </c>
      <c r="B235" s="83">
        <v>46190</v>
      </c>
      <c r="C235" s="92" t="s">
        <v>429</v>
      </c>
      <c r="D235" s="92" t="s">
        <v>267</v>
      </c>
      <c r="E235" s="92"/>
      <c r="F235" s="92"/>
      <c r="G235" s="92"/>
      <c r="H235" s="92"/>
      <c r="I235" s="92"/>
      <c r="Q235" s="92"/>
      <c r="R235" s="92" t="s">
        <v>88</v>
      </c>
      <c r="S235" s="92" t="s">
        <v>87</v>
      </c>
      <c r="T235" s="92" t="s">
        <v>476</v>
      </c>
      <c r="U235" s="1">
        <v>79638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v>0</v>
      </c>
      <c r="AH235" s="1">
        <v>0</v>
      </c>
      <c r="AI235" s="1">
        <v>0</v>
      </c>
      <c r="AJ235" s="1">
        <v>0</v>
      </c>
      <c r="AK235" s="1">
        <v>0</v>
      </c>
      <c r="AL235" s="1">
        <v>0</v>
      </c>
      <c r="AM235" s="1">
        <v>0</v>
      </c>
      <c r="AN235" s="1">
        <v>0</v>
      </c>
      <c r="AO235" s="1">
        <v>0</v>
      </c>
      <c r="AP235" s="1">
        <v>0</v>
      </c>
    </row>
    <row r="236" spans="1:42" x14ac:dyDescent="0.35">
      <c r="A236">
        <v>235</v>
      </c>
      <c r="B236" s="83">
        <v>46190</v>
      </c>
      <c r="C236" s="92" t="s">
        <v>429</v>
      </c>
      <c r="D236" s="92" t="s">
        <v>267</v>
      </c>
      <c r="E236" s="92"/>
      <c r="F236" s="92"/>
      <c r="G236" s="92"/>
      <c r="H236" s="92"/>
      <c r="I236" s="92"/>
      <c r="Q236" s="92"/>
      <c r="R236" s="92" t="s">
        <v>88</v>
      </c>
      <c r="S236" s="92" t="s">
        <v>84</v>
      </c>
      <c r="T236" s="92" t="s">
        <v>91</v>
      </c>
      <c r="U236" s="1">
        <v>500000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v>0</v>
      </c>
      <c r="AH236" s="1">
        <v>0</v>
      </c>
      <c r="AI236" s="1">
        <v>0</v>
      </c>
      <c r="AJ236" s="1">
        <v>0</v>
      </c>
      <c r="AK236" s="1">
        <v>0</v>
      </c>
      <c r="AL236" s="1">
        <v>0</v>
      </c>
      <c r="AM236" s="1">
        <v>0</v>
      </c>
      <c r="AN236" s="1">
        <v>0</v>
      </c>
      <c r="AO236" s="1">
        <v>0</v>
      </c>
      <c r="AP236" s="1">
        <v>0</v>
      </c>
    </row>
    <row r="237" spans="1:42" x14ac:dyDescent="0.35">
      <c r="A237">
        <v>236</v>
      </c>
      <c r="B237" s="83">
        <v>46190</v>
      </c>
      <c r="C237" s="92" t="s">
        <v>429</v>
      </c>
      <c r="D237" s="92" t="s">
        <v>267</v>
      </c>
      <c r="E237" s="92"/>
      <c r="F237" s="92"/>
      <c r="G237" s="92"/>
      <c r="H237" s="92"/>
      <c r="I237" s="92"/>
      <c r="Q237" s="92"/>
      <c r="R237" s="92" t="s">
        <v>88</v>
      </c>
      <c r="S237" s="92" t="s">
        <v>85</v>
      </c>
      <c r="T237" s="92" t="s">
        <v>470</v>
      </c>
      <c r="U237" s="1">
        <v>50000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v>0</v>
      </c>
      <c r="AH237" s="1">
        <v>0</v>
      </c>
      <c r="AI237" s="1">
        <v>0</v>
      </c>
      <c r="AJ237" s="1">
        <v>0</v>
      </c>
      <c r="AK237" s="1">
        <v>0</v>
      </c>
      <c r="AL237" s="1">
        <v>0</v>
      </c>
      <c r="AM237" s="1">
        <v>0</v>
      </c>
      <c r="AN237" s="1">
        <v>0</v>
      </c>
      <c r="AO237" s="1">
        <v>0</v>
      </c>
      <c r="AP237" s="1">
        <v>0</v>
      </c>
    </row>
    <row r="238" spans="1:42" x14ac:dyDescent="0.35">
      <c r="A238">
        <v>237</v>
      </c>
      <c r="B238" s="83">
        <v>46190</v>
      </c>
      <c r="C238" s="92" t="s">
        <v>429</v>
      </c>
      <c r="D238" s="92" t="s">
        <v>267</v>
      </c>
      <c r="E238" s="92"/>
      <c r="F238" s="92"/>
      <c r="G238" s="92"/>
      <c r="H238" s="92"/>
      <c r="I238" s="92"/>
      <c r="Q238" s="92"/>
      <c r="R238" s="92" t="s">
        <v>88</v>
      </c>
      <c r="S238" s="92" t="s">
        <v>87</v>
      </c>
      <c r="T238" s="92" t="s">
        <v>472</v>
      </c>
      <c r="U238" s="1">
        <v>197250.34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I238" s="1">
        <v>0</v>
      </c>
      <c r="AJ238" s="1">
        <v>0</v>
      </c>
      <c r="AK238" s="1">
        <v>0</v>
      </c>
      <c r="AL238" s="1">
        <v>0</v>
      </c>
      <c r="AM238" s="1">
        <v>0</v>
      </c>
      <c r="AN238" s="1">
        <v>0</v>
      </c>
      <c r="AO238" s="1">
        <v>0</v>
      </c>
      <c r="AP238" s="1">
        <v>0</v>
      </c>
    </row>
    <row r="239" spans="1:42" x14ac:dyDescent="0.35">
      <c r="A239">
        <v>238</v>
      </c>
      <c r="B239" s="83">
        <v>46190</v>
      </c>
      <c r="C239" s="92" t="s">
        <v>429</v>
      </c>
      <c r="D239" s="92" t="s">
        <v>267</v>
      </c>
      <c r="E239" s="92"/>
      <c r="F239" s="92"/>
      <c r="G239" s="92"/>
      <c r="H239" s="92"/>
      <c r="I239" s="92"/>
      <c r="Q239" s="92"/>
      <c r="R239" s="92" t="s">
        <v>88</v>
      </c>
      <c r="S239" s="92" t="s">
        <v>87</v>
      </c>
      <c r="T239" s="92" t="s">
        <v>95</v>
      </c>
      <c r="U239" s="1">
        <v>94080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I239" s="1">
        <v>0</v>
      </c>
      <c r="AJ239" s="1">
        <v>0</v>
      </c>
      <c r="AK239" s="1">
        <v>0</v>
      </c>
      <c r="AL239" s="1">
        <v>0</v>
      </c>
      <c r="AM239" s="1">
        <v>0</v>
      </c>
      <c r="AN239" s="1">
        <v>0</v>
      </c>
      <c r="AO239" s="1">
        <v>0</v>
      </c>
      <c r="AP239" s="1">
        <v>0</v>
      </c>
    </row>
    <row r="240" spans="1:42" x14ac:dyDescent="0.35">
      <c r="A240">
        <v>239</v>
      </c>
      <c r="B240" s="83">
        <v>46190</v>
      </c>
      <c r="C240" s="92" t="s">
        <v>429</v>
      </c>
      <c r="D240" s="92" t="s">
        <v>267</v>
      </c>
      <c r="E240" s="92"/>
      <c r="F240" s="92"/>
      <c r="G240" s="92"/>
      <c r="H240" s="92"/>
      <c r="I240" s="92"/>
      <c r="Q240" s="92"/>
      <c r="R240" s="92" t="s">
        <v>88</v>
      </c>
      <c r="S240" s="92" t="s">
        <v>286</v>
      </c>
      <c r="T240" s="92" t="s">
        <v>90</v>
      </c>
      <c r="U240" s="1">
        <v>666060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1">
        <v>0</v>
      </c>
      <c r="AK240" s="1">
        <v>0</v>
      </c>
      <c r="AL240" s="1">
        <v>0</v>
      </c>
      <c r="AM240" s="1">
        <v>0</v>
      </c>
      <c r="AN240" s="1">
        <v>0</v>
      </c>
      <c r="AO240" s="1">
        <v>0</v>
      </c>
      <c r="AP240" s="1">
        <v>0</v>
      </c>
    </row>
    <row r="241" spans="1:42" x14ac:dyDescent="0.35">
      <c r="A241">
        <v>240</v>
      </c>
      <c r="B241" s="83">
        <v>46191</v>
      </c>
      <c r="C241" s="92" t="s">
        <v>429</v>
      </c>
      <c r="D241" s="92" t="s">
        <v>111</v>
      </c>
      <c r="E241" s="92" t="s">
        <v>19</v>
      </c>
      <c r="F241" s="92" t="s">
        <v>461</v>
      </c>
      <c r="G241" s="92"/>
      <c r="H241" s="92"/>
      <c r="I241" s="92"/>
      <c r="P241" s="1">
        <v>5000000</v>
      </c>
      <c r="Q241" s="92"/>
      <c r="R241" s="92"/>
      <c r="S241" s="92"/>
      <c r="T241" s="92"/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I241" s="1">
        <v>0</v>
      </c>
      <c r="AJ241" s="1">
        <v>0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</row>
    <row r="242" spans="1:42" x14ac:dyDescent="0.35">
      <c r="A242">
        <v>241</v>
      </c>
      <c r="B242" s="83">
        <v>46190</v>
      </c>
      <c r="C242" s="92" t="s">
        <v>429</v>
      </c>
      <c r="D242" s="92" t="s">
        <v>106</v>
      </c>
      <c r="E242" s="92" t="s">
        <v>19</v>
      </c>
      <c r="F242" s="92" t="s">
        <v>461</v>
      </c>
      <c r="G242" s="92" t="s">
        <v>21</v>
      </c>
      <c r="H242" s="92" t="s">
        <v>23</v>
      </c>
      <c r="I242" s="92" t="s">
        <v>35</v>
      </c>
      <c r="J242" s="1">
        <v>12081</v>
      </c>
      <c r="K242" s="1">
        <v>450</v>
      </c>
      <c r="M242" s="1">
        <v>37</v>
      </c>
      <c r="N242" s="1">
        <v>5883641.7999999998</v>
      </c>
      <c r="Q242" s="92"/>
      <c r="R242" s="92"/>
      <c r="S242" s="92"/>
      <c r="T242" s="92"/>
      <c r="X242" s="1">
        <v>12081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33.333300000000001</v>
      </c>
      <c r="AF242" s="1">
        <v>417</v>
      </c>
      <c r="AG242" s="1">
        <v>5033917</v>
      </c>
      <c r="AH242" s="1">
        <v>6029021.7563180001</v>
      </c>
      <c r="AI242" s="1">
        <v>453.66669999999999</v>
      </c>
      <c r="AJ242" s="1">
        <v>5480928.86938</v>
      </c>
      <c r="AK242" s="1">
        <v>0</v>
      </c>
      <c r="AL242" s="1">
        <v>0</v>
      </c>
      <c r="AM242" s="1">
        <v>499</v>
      </c>
      <c r="AN242" s="1">
        <v>0</v>
      </c>
      <c r="AO242" s="1">
        <v>0</v>
      </c>
      <c r="AP242" s="1">
        <v>447012</v>
      </c>
    </row>
    <row r="243" spans="1:42" x14ac:dyDescent="0.35">
      <c r="A243">
        <v>242</v>
      </c>
      <c r="B243" s="83">
        <v>46190</v>
      </c>
      <c r="C243" s="92" t="s">
        <v>429</v>
      </c>
      <c r="D243" s="92" t="s">
        <v>106</v>
      </c>
      <c r="E243" s="92" t="s">
        <v>263</v>
      </c>
      <c r="F243" s="92" t="s">
        <v>33</v>
      </c>
      <c r="G243" s="92" t="s">
        <v>21</v>
      </c>
      <c r="H243" s="92" t="s">
        <v>23</v>
      </c>
      <c r="I243" s="92" t="s">
        <v>35</v>
      </c>
      <c r="J243" s="1">
        <v>60</v>
      </c>
      <c r="K243" s="1">
        <v>405</v>
      </c>
      <c r="M243" s="1">
        <v>0</v>
      </c>
      <c r="N243" s="1">
        <v>24462</v>
      </c>
      <c r="Q243" s="92"/>
      <c r="R243" s="92"/>
      <c r="S243" s="92"/>
      <c r="T243" s="92"/>
      <c r="X243" s="1">
        <v>60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29.999970000000001</v>
      </c>
      <c r="AF243" s="1">
        <v>375</v>
      </c>
      <c r="AG243" s="1">
        <v>22650</v>
      </c>
      <c r="AH243" s="1">
        <v>24462</v>
      </c>
      <c r="AI243" s="1">
        <v>375.00002999999998</v>
      </c>
      <c r="AJ243" s="1">
        <v>22650.001811999999</v>
      </c>
      <c r="AK243" s="1">
        <v>0</v>
      </c>
      <c r="AL243" s="1">
        <v>0</v>
      </c>
      <c r="AM243" s="1">
        <v>0</v>
      </c>
      <c r="AN243" s="1">
        <v>405</v>
      </c>
      <c r="AO243" s="1">
        <v>0</v>
      </c>
      <c r="AP243" s="1">
        <v>0</v>
      </c>
    </row>
    <row r="244" spans="1:42" x14ac:dyDescent="0.35">
      <c r="A244">
        <v>243</v>
      </c>
      <c r="B244" s="83">
        <v>46190</v>
      </c>
      <c r="C244" s="92" t="s">
        <v>429</v>
      </c>
      <c r="D244" s="92" t="s">
        <v>106</v>
      </c>
      <c r="E244" s="92" t="s">
        <v>19</v>
      </c>
      <c r="F244" s="92" t="s">
        <v>461</v>
      </c>
      <c r="G244" s="92" t="s">
        <v>21</v>
      </c>
      <c r="H244" s="92" t="s">
        <v>26</v>
      </c>
      <c r="I244" s="92" t="s">
        <v>388</v>
      </c>
      <c r="J244" s="1">
        <v>451</v>
      </c>
      <c r="K244" s="1">
        <v>0</v>
      </c>
      <c r="M244" s="1">
        <v>0</v>
      </c>
      <c r="N244" s="1">
        <v>0</v>
      </c>
      <c r="Q244" s="92"/>
      <c r="R244" s="92"/>
      <c r="S244" s="92"/>
      <c r="T244" s="92"/>
      <c r="X244" s="1">
        <v>0</v>
      </c>
      <c r="Y244" s="1">
        <v>0</v>
      </c>
      <c r="Z244" s="1">
        <v>0</v>
      </c>
      <c r="AA244" s="1">
        <v>451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0</v>
      </c>
    </row>
    <row r="245" spans="1:42" x14ac:dyDescent="0.35">
      <c r="A245">
        <v>244</v>
      </c>
      <c r="B245" s="83">
        <v>46190</v>
      </c>
      <c r="C245" s="92" t="s">
        <v>429</v>
      </c>
      <c r="D245" s="92" t="s">
        <v>267</v>
      </c>
      <c r="E245" s="92"/>
      <c r="F245" s="92"/>
      <c r="G245" s="92"/>
      <c r="H245" s="92"/>
      <c r="I245" s="92"/>
      <c r="Q245" s="92"/>
      <c r="R245" s="92" t="s">
        <v>88</v>
      </c>
      <c r="S245" s="92" t="s">
        <v>87</v>
      </c>
      <c r="T245" s="92" t="s">
        <v>95</v>
      </c>
      <c r="U245" s="1">
        <v>59472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</row>
    <row r="246" spans="1:42" x14ac:dyDescent="0.35">
      <c r="A246">
        <v>245</v>
      </c>
      <c r="B246" s="83">
        <v>46191</v>
      </c>
      <c r="C246" s="92" t="s">
        <v>429</v>
      </c>
      <c r="D246" s="92" t="s">
        <v>267</v>
      </c>
      <c r="E246" s="92"/>
      <c r="F246" s="92"/>
      <c r="G246" s="92"/>
      <c r="H246" s="92"/>
      <c r="I246" s="92"/>
      <c r="Q246" s="92"/>
      <c r="R246" s="92" t="s">
        <v>88</v>
      </c>
      <c r="S246" s="92" t="s">
        <v>87</v>
      </c>
      <c r="T246" s="92" t="s">
        <v>95</v>
      </c>
      <c r="U246" s="1">
        <v>179820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</row>
    <row r="247" spans="1:42" x14ac:dyDescent="0.35">
      <c r="A247">
        <v>246</v>
      </c>
      <c r="B247" s="83">
        <v>46192</v>
      </c>
      <c r="C247" s="92" t="s">
        <v>429</v>
      </c>
      <c r="D247" s="92" t="s">
        <v>111</v>
      </c>
      <c r="E247" s="92" t="s">
        <v>19</v>
      </c>
      <c r="F247" s="92" t="s">
        <v>461</v>
      </c>
      <c r="G247" s="92"/>
      <c r="H247" s="92"/>
      <c r="I247" s="92"/>
      <c r="P247" s="1">
        <v>10000000</v>
      </c>
      <c r="Q247" s="92"/>
      <c r="R247" s="92"/>
      <c r="S247" s="92"/>
      <c r="T247" s="92"/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</row>
    <row r="248" spans="1:42" x14ac:dyDescent="0.35">
      <c r="A248">
        <v>247</v>
      </c>
      <c r="B248" s="83">
        <v>46191</v>
      </c>
      <c r="C248" s="92" t="s">
        <v>429</v>
      </c>
      <c r="D248" s="92" t="s">
        <v>106</v>
      </c>
      <c r="E248" s="92" t="s">
        <v>19</v>
      </c>
      <c r="F248" s="92" t="s">
        <v>461</v>
      </c>
      <c r="G248" s="92" t="s">
        <v>21</v>
      </c>
      <c r="H248" s="92" t="s">
        <v>23</v>
      </c>
      <c r="I248" s="92" t="s">
        <v>35</v>
      </c>
      <c r="J248" s="1">
        <v>13523</v>
      </c>
      <c r="K248" s="1">
        <v>450</v>
      </c>
      <c r="M248" s="1">
        <v>37</v>
      </c>
      <c r="N248" s="1">
        <v>6585847.0999999996</v>
      </c>
      <c r="Q248" s="92"/>
      <c r="R248" s="92"/>
      <c r="S248" s="92"/>
      <c r="T248" s="92"/>
      <c r="X248" s="1">
        <v>13523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33.333300000000001</v>
      </c>
      <c r="AF248" s="1">
        <v>417</v>
      </c>
      <c r="AG248" s="1">
        <v>5634709</v>
      </c>
      <c r="AH248" s="1">
        <v>6748577.9725210005</v>
      </c>
      <c r="AI248" s="1">
        <v>453.66669999999999</v>
      </c>
      <c r="AJ248" s="1">
        <v>6135070.88411</v>
      </c>
      <c r="AK248" s="1">
        <v>0</v>
      </c>
      <c r="AL248" s="1">
        <v>0</v>
      </c>
      <c r="AM248" s="1">
        <v>499</v>
      </c>
      <c r="AN248" s="1">
        <v>0</v>
      </c>
      <c r="AO248" s="1">
        <v>0</v>
      </c>
      <c r="AP248" s="1">
        <v>500362</v>
      </c>
    </row>
    <row r="249" spans="1:42" x14ac:dyDescent="0.35">
      <c r="A249">
        <v>248</v>
      </c>
      <c r="B249" s="83">
        <v>46191</v>
      </c>
      <c r="C249" s="92" t="s">
        <v>429</v>
      </c>
      <c r="D249" s="92" t="s">
        <v>106</v>
      </c>
      <c r="E249" s="92" t="s">
        <v>19</v>
      </c>
      <c r="F249" s="92" t="s">
        <v>461</v>
      </c>
      <c r="G249" s="92" t="s">
        <v>21</v>
      </c>
      <c r="H249" s="92" t="s">
        <v>26</v>
      </c>
      <c r="I249" s="92" t="s">
        <v>388</v>
      </c>
      <c r="J249" s="1">
        <v>215</v>
      </c>
      <c r="K249" s="1">
        <v>0</v>
      </c>
      <c r="M249" s="1">
        <v>0</v>
      </c>
      <c r="N249" s="1">
        <v>0</v>
      </c>
      <c r="Q249" s="92"/>
      <c r="R249" s="92"/>
      <c r="S249" s="92"/>
      <c r="T249" s="92"/>
      <c r="X249" s="1">
        <v>0</v>
      </c>
      <c r="Y249" s="1">
        <v>0</v>
      </c>
      <c r="Z249" s="1">
        <v>0</v>
      </c>
      <c r="AA249" s="1">
        <v>215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</row>
    <row r="250" spans="1:42" x14ac:dyDescent="0.35">
      <c r="A250">
        <v>249</v>
      </c>
      <c r="B250" s="83">
        <v>46191</v>
      </c>
      <c r="C250" s="92" t="s">
        <v>429</v>
      </c>
      <c r="D250" s="92" t="s">
        <v>111</v>
      </c>
      <c r="E250" s="92" t="s">
        <v>263</v>
      </c>
      <c r="F250" s="92" t="s">
        <v>475</v>
      </c>
      <c r="G250" s="92"/>
      <c r="H250" s="92"/>
      <c r="I250" s="92"/>
      <c r="P250" s="1">
        <v>1000000</v>
      </c>
      <c r="Q250" s="92"/>
      <c r="R250" s="92"/>
      <c r="S250" s="92"/>
      <c r="T250" s="92"/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</row>
    <row r="251" spans="1:42" x14ac:dyDescent="0.35">
      <c r="A251">
        <v>250</v>
      </c>
      <c r="B251" s="83">
        <v>46192</v>
      </c>
      <c r="C251" s="92" t="s">
        <v>429</v>
      </c>
      <c r="D251" s="92" t="s">
        <v>267</v>
      </c>
      <c r="E251" s="92"/>
      <c r="F251" s="92"/>
      <c r="G251" s="92"/>
      <c r="H251" s="92"/>
      <c r="I251" s="92"/>
      <c r="Q251" s="92"/>
      <c r="R251" s="92" t="s">
        <v>88</v>
      </c>
      <c r="S251" s="92" t="s">
        <v>86</v>
      </c>
      <c r="T251" s="92" t="s">
        <v>474</v>
      </c>
      <c r="U251" s="1">
        <v>137760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</row>
    <row r="252" spans="1:42" x14ac:dyDescent="0.35">
      <c r="A252">
        <v>251</v>
      </c>
      <c r="B252" s="83">
        <v>46192</v>
      </c>
      <c r="C252" s="92" t="s">
        <v>429</v>
      </c>
      <c r="D252" s="92" t="s">
        <v>267</v>
      </c>
      <c r="E252" s="92"/>
      <c r="F252" s="92"/>
      <c r="G252" s="92"/>
      <c r="H252" s="92"/>
      <c r="I252" s="92"/>
      <c r="Q252" s="92"/>
      <c r="R252" s="92" t="s">
        <v>88</v>
      </c>
      <c r="S252" s="92" t="s">
        <v>86</v>
      </c>
      <c r="T252" s="92" t="s">
        <v>94</v>
      </c>
      <c r="U252" s="1">
        <v>429300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</row>
    <row r="253" spans="1:42" x14ac:dyDescent="0.35">
      <c r="A253">
        <v>252</v>
      </c>
      <c r="B253" s="83">
        <v>46192</v>
      </c>
      <c r="C253" s="92" t="s">
        <v>429</v>
      </c>
      <c r="D253" s="92" t="s">
        <v>267</v>
      </c>
      <c r="E253" s="92"/>
      <c r="F253" s="92"/>
      <c r="G253" s="92"/>
      <c r="H253" s="92"/>
      <c r="I253" s="92"/>
      <c r="Q253" s="92"/>
      <c r="R253" s="92" t="s">
        <v>88</v>
      </c>
      <c r="S253" s="92" t="s">
        <v>87</v>
      </c>
      <c r="T253" s="92" t="s">
        <v>95</v>
      </c>
      <c r="U253" s="1">
        <v>61032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</row>
    <row r="254" spans="1:42" x14ac:dyDescent="0.35">
      <c r="A254">
        <v>253</v>
      </c>
      <c r="B254" s="83">
        <v>46192</v>
      </c>
      <c r="C254" s="92" t="s">
        <v>429</v>
      </c>
      <c r="D254" s="92" t="s">
        <v>267</v>
      </c>
      <c r="E254" s="92"/>
      <c r="F254" s="92"/>
      <c r="G254" s="92"/>
      <c r="H254" s="92"/>
      <c r="I254" s="92"/>
      <c r="Q254" s="92"/>
      <c r="R254" s="92" t="s">
        <v>88</v>
      </c>
      <c r="S254" s="92" t="s">
        <v>110</v>
      </c>
      <c r="T254" s="92" t="s">
        <v>93</v>
      </c>
      <c r="U254" s="1">
        <v>200000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</row>
    <row r="255" spans="1:42" x14ac:dyDescent="0.35">
      <c r="A255">
        <v>254</v>
      </c>
      <c r="B255" s="83">
        <v>46192</v>
      </c>
      <c r="C255" s="92" t="s">
        <v>429</v>
      </c>
      <c r="D255" s="92" t="s">
        <v>267</v>
      </c>
      <c r="E255" s="92"/>
      <c r="F255" s="92"/>
      <c r="G255" s="92"/>
      <c r="H255" s="92"/>
      <c r="I255" s="92"/>
      <c r="Q255" s="92"/>
      <c r="R255" s="92" t="s">
        <v>88</v>
      </c>
      <c r="S255" s="92" t="s">
        <v>110</v>
      </c>
      <c r="T255" s="92" t="s">
        <v>466</v>
      </c>
      <c r="U255" s="1">
        <v>200000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</row>
    <row r="256" spans="1:42" x14ac:dyDescent="0.35">
      <c r="A256">
        <v>255</v>
      </c>
      <c r="B256" s="83">
        <v>46192</v>
      </c>
      <c r="C256" s="92" t="s">
        <v>429</v>
      </c>
      <c r="D256" s="92" t="s">
        <v>267</v>
      </c>
      <c r="E256" s="92"/>
      <c r="F256" s="92"/>
      <c r="G256" s="92"/>
      <c r="H256" s="92"/>
      <c r="I256" s="92"/>
      <c r="Q256" s="92"/>
      <c r="R256" s="92" t="s">
        <v>88</v>
      </c>
      <c r="S256" s="92" t="s">
        <v>110</v>
      </c>
      <c r="T256" s="92" t="s">
        <v>468</v>
      </c>
      <c r="U256" s="1">
        <v>68860.820000000007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</row>
    <row r="257" spans="1:42" x14ac:dyDescent="0.35">
      <c r="A257">
        <v>256</v>
      </c>
      <c r="B257" s="83">
        <v>46192</v>
      </c>
      <c r="C257" s="92" t="s">
        <v>429</v>
      </c>
      <c r="D257" s="92" t="s">
        <v>267</v>
      </c>
      <c r="E257" s="92"/>
      <c r="F257" s="92"/>
      <c r="G257" s="92"/>
      <c r="H257" s="92"/>
      <c r="I257" s="92"/>
      <c r="Q257" s="92"/>
      <c r="R257" s="92" t="s">
        <v>88</v>
      </c>
      <c r="S257" s="92" t="s">
        <v>110</v>
      </c>
      <c r="T257" s="92" t="s">
        <v>468</v>
      </c>
      <c r="U257" s="1">
        <v>28800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</row>
    <row r="258" spans="1:42" x14ac:dyDescent="0.35">
      <c r="A258">
        <v>257</v>
      </c>
      <c r="B258" s="83">
        <v>46192</v>
      </c>
      <c r="C258" s="92" t="s">
        <v>429</v>
      </c>
      <c r="D258" s="92" t="s">
        <v>267</v>
      </c>
      <c r="E258" s="92"/>
      <c r="F258" s="92"/>
      <c r="G258" s="92"/>
      <c r="H258" s="92"/>
      <c r="I258" s="92"/>
      <c r="Q258" s="92"/>
      <c r="R258" s="92" t="s">
        <v>88</v>
      </c>
      <c r="S258" s="92" t="s">
        <v>87</v>
      </c>
      <c r="T258" s="92" t="s">
        <v>95</v>
      </c>
      <c r="U258" s="1">
        <v>8240.15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</row>
    <row r="259" spans="1:42" x14ac:dyDescent="0.35">
      <c r="A259">
        <v>258</v>
      </c>
      <c r="B259" s="83">
        <v>46192</v>
      </c>
      <c r="C259" s="92" t="s">
        <v>429</v>
      </c>
      <c r="D259" s="92" t="s">
        <v>267</v>
      </c>
      <c r="E259" s="92"/>
      <c r="F259" s="92"/>
      <c r="G259" s="92"/>
      <c r="H259" s="92"/>
      <c r="I259" s="92"/>
      <c r="Q259" s="92"/>
      <c r="R259" s="92" t="s">
        <v>88</v>
      </c>
      <c r="S259" s="92" t="s">
        <v>84</v>
      </c>
      <c r="T259" s="92" t="s">
        <v>98</v>
      </c>
      <c r="U259" s="1">
        <v>30000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</row>
    <row r="260" spans="1:42" x14ac:dyDescent="0.35">
      <c r="A260">
        <v>259</v>
      </c>
      <c r="B260" s="83">
        <v>46192</v>
      </c>
      <c r="C260" s="92" t="s">
        <v>429</v>
      </c>
      <c r="D260" s="92" t="s">
        <v>267</v>
      </c>
      <c r="E260" s="92"/>
      <c r="F260" s="92"/>
      <c r="G260" s="92"/>
      <c r="H260" s="92"/>
      <c r="I260" s="92"/>
      <c r="Q260" s="92"/>
      <c r="R260" s="92" t="s">
        <v>88</v>
      </c>
      <c r="S260" s="92" t="s">
        <v>87</v>
      </c>
      <c r="T260" s="92" t="s">
        <v>95</v>
      </c>
      <c r="U260" s="1">
        <v>42785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</row>
    <row r="261" spans="1:42" x14ac:dyDescent="0.35">
      <c r="A261">
        <v>260</v>
      </c>
      <c r="B261" s="83">
        <v>46192</v>
      </c>
      <c r="C261" s="92" t="s">
        <v>429</v>
      </c>
      <c r="D261" s="92" t="s">
        <v>267</v>
      </c>
      <c r="E261" s="92"/>
      <c r="F261" s="92"/>
      <c r="G261" s="92"/>
      <c r="H261" s="92"/>
      <c r="I261" s="92"/>
      <c r="Q261" s="92"/>
      <c r="R261" s="92" t="s">
        <v>88</v>
      </c>
      <c r="S261" s="92" t="s">
        <v>87</v>
      </c>
      <c r="T261" s="92" t="s">
        <v>95</v>
      </c>
      <c r="U261" s="1">
        <v>30000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</row>
    <row r="262" spans="1:42" x14ac:dyDescent="0.35">
      <c r="A262">
        <v>261</v>
      </c>
      <c r="B262" s="83">
        <v>46192</v>
      </c>
      <c r="C262" s="92" t="s">
        <v>429</v>
      </c>
      <c r="D262" s="92" t="s">
        <v>111</v>
      </c>
      <c r="E262" s="92" t="s">
        <v>263</v>
      </c>
      <c r="F262" s="92" t="s">
        <v>33</v>
      </c>
      <c r="G262" s="92"/>
      <c r="H262" s="92"/>
      <c r="I262" s="92"/>
      <c r="P262" s="1">
        <v>97658</v>
      </c>
      <c r="Q262" s="92"/>
      <c r="R262" s="92"/>
      <c r="S262" s="92"/>
      <c r="T262" s="92"/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</row>
    <row r="263" spans="1:42" x14ac:dyDescent="0.35">
      <c r="A263">
        <v>262</v>
      </c>
      <c r="B263" s="83">
        <v>46192</v>
      </c>
      <c r="C263" s="92" t="s">
        <v>429</v>
      </c>
      <c r="D263" s="92" t="s">
        <v>267</v>
      </c>
      <c r="E263" s="92"/>
      <c r="F263" s="92"/>
      <c r="G263" s="92"/>
      <c r="H263" s="92"/>
      <c r="I263" s="92"/>
      <c r="Q263" s="92"/>
      <c r="R263" s="92" t="s">
        <v>88</v>
      </c>
      <c r="S263" s="92" t="s">
        <v>85</v>
      </c>
      <c r="T263" s="92" t="s">
        <v>464</v>
      </c>
      <c r="U263" s="1">
        <v>111660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</row>
    <row r="264" spans="1:42" x14ac:dyDescent="0.35">
      <c r="A264">
        <v>263</v>
      </c>
      <c r="B264" s="83">
        <v>46192</v>
      </c>
      <c r="C264" s="92" t="s">
        <v>429</v>
      </c>
      <c r="D264" s="92" t="s">
        <v>106</v>
      </c>
      <c r="E264" s="92" t="s">
        <v>19</v>
      </c>
      <c r="F264" s="92" t="s">
        <v>461</v>
      </c>
      <c r="G264" s="92" t="s">
        <v>21</v>
      </c>
      <c r="H264" s="92" t="s">
        <v>23</v>
      </c>
      <c r="I264" s="92" t="s">
        <v>35</v>
      </c>
      <c r="J264" s="1">
        <v>12124</v>
      </c>
      <c r="K264" s="1">
        <v>450</v>
      </c>
      <c r="M264" s="1">
        <v>37</v>
      </c>
      <c r="N264" s="1">
        <v>5904485.4000000004</v>
      </c>
      <c r="Q264" s="92"/>
      <c r="R264" s="92"/>
      <c r="S264" s="92"/>
      <c r="T264" s="92"/>
      <c r="X264" s="1">
        <v>12124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33.333300000000001</v>
      </c>
      <c r="AF264" s="1">
        <v>417</v>
      </c>
      <c r="AG264" s="1">
        <v>5051750</v>
      </c>
      <c r="AH264" s="1">
        <v>6050380.3845540006</v>
      </c>
      <c r="AI264" s="1">
        <v>453.66669999999999</v>
      </c>
      <c r="AJ264" s="1">
        <v>5500345.8041400006</v>
      </c>
      <c r="AK264" s="1">
        <v>0</v>
      </c>
      <c r="AL264" s="1">
        <v>0</v>
      </c>
      <c r="AM264" s="1">
        <v>499</v>
      </c>
      <c r="AN264" s="1">
        <v>0</v>
      </c>
      <c r="AO264" s="1">
        <v>0</v>
      </c>
      <c r="AP264" s="1">
        <v>448595</v>
      </c>
    </row>
    <row r="265" spans="1:42" x14ac:dyDescent="0.35">
      <c r="A265">
        <v>264</v>
      </c>
      <c r="B265" s="83">
        <v>46192</v>
      </c>
      <c r="C265" s="92" t="s">
        <v>429</v>
      </c>
      <c r="D265" s="92" t="s">
        <v>106</v>
      </c>
      <c r="E265" s="92" t="s">
        <v>19</v>
      </c>
      <c r="F265" s="92" t="s">
        <v>461</v>
      </c>
      <c r="G265" s="92" t="s">
        <v>21</v>
      </c>
      <c r="H265" s="92" t="s">
        <v>26</v>
      </c>
      <c r="I265" s="92" t="s">
        <v>388</v>
      </c>
      <c r="J265" s="1">
        <v>444</v>
      </c>
      <c r="K265" s="1">
        <v>0</v>
      </c>
      <c r="M265" s="1">
        <v>0</v>
      </c>
      <c r="N265" s="1">
        <v>0</v>
      </c>
      <c r="Q265" s="92"/>
      <c r="R265" s="92"/>
      <c r="S265" s="92"/>
      <c r="T265" s="92"/>
      <c r="X265" s="1">
        <v>0</v>
      </c>
      <c r="Y265" s="1">
        <v>0</v>
      </c>
      <c r="Z265" s="1">
        <v>0</v>
      </c>
      <c r="AA265" s="1">
        <v>444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0</v>
      </c>
    </row>
    <row r="266" spans="1:42" x14ac:dyDescent="0.35">
      <c r="A266">
        <v>265</v>
      </c>
      <c r="B266" s="83">
        <v>46192</v>
      </c>
      <c r="C266" s="92" t="s">
        <v>429</v>
      </c>
      <c r="D266" s="92" t="s">
        <v>106</v>
      </c>
      <c r="E266" s="92" t="s">
        <v>263</v>
      </c>
      <c r="F266" s="92" t="s">
        <v>33</v>
      </c>
      <c r="G266" s="92" t="s">
        <v>21</v>
      </c>
      <c r="H266" s="92" t="s">
        <v>23</v>
      </c>
      <c r="I266" s="92" t="s">
        <v>35</v>
      </c>
      <c r="J266" s="1">
        <v>38</v>
      </c>
      <c r="K266" s="1">
        <v>405</v>
      </c>
      <c r="M266" s="1">
        <v>0</v>
      </c>
      <c r="N266" s="1">
        <v>15228</v>
      </c>
      <c r="Q266" s="92"/>
      <c r="R266" s="92"/>
      <c r="S266" s="92"/>
      <c r="T266" s="92"/>
      <c r="X266" s="1">
        <v>38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29.999970000000001</v>
      </c>
      <c r="AF266" s="1">
        <v>375</v>
      </c>
      <c r="AG266" s="1">
        <v>14100</v>
      </c>
      <c r="AH266" s="1">
        <v>15228</v>
      </c>
      <c r="AI266" s="1">
        <v>375.00002999999998</v>
      </c>
      <c r="AJ266" s="1">
        <v>14100.001128</v>
      </c>
      <c r="AK266" s="1">
        <v>0</v>
      </c>
      <c r="AL266" s="1">
        <v>0</v>
      </c>
      <c r="AM266" s="1">
        <v>0</v>
      </c>
      <c r="AN266" s="1">
        <v>405</v>
      </c>
      <c r="AO266" s="1">
        <v>0</v>
      </c>
      <c r="AP266" s="1">
        <v>0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a  ~ a a a ` a a    ~  a  ~ a a a ` a a    ~  a  ~ a a a ` a a    ~  a  ~ a a a ` a a    ~  
</file>

<file path=customXml/item8.xml>�� 
</file>

<file path=customXml/item9.xml>�� 
</file>

<file path=customXml/item10.xml>�� a  ~ a a a ` a a    ~  a  ~ a a a ` a a    ~  
</file>

<file path=customXml/item11.xml>�� a  ~ a a a ` a a    ~  a  ~ a a a ` a a    ~ 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a  ~ a a a ` a a    ~  a  ~ a a a ` a a    ~  
</file>

<file path=customXml/item18.xml>�� 
</file>

<file path=customXml/itemProps1.xml><?xml version="1.0" encoding="utf-8"?>
<ds:datastoreItem xmlns:ds="http://schemas.openxmlformats.org/officeDocument/2006/customXml" ds:itemID="{8D8B3DF3-0AA8-4E3A-8731-7F10704F4E30}">
  <ds:schemaRefs/>
</ds:datastoreItem>
</file>

<file path=customXml/itemProps2.xml><?xml version="1.0" encoding="utf-8"?>
<ds:datastoreItem xmlns:ds="http://schemas.openxmlformats.org/officeDocument/2006/customXml" ds:itemID="{5A32A7F9-4DDA-4C56-A646-5CCB85605DD5}">
  <ds:schemaRefs/>
</ds:datastoreItem>
</file>

<file path=customXml/itemProps3.xml><?xml version="1.0" encoding="utf-8"?>
<ds:datastoreItem xmlns:ds="http://schemas.openxmlformats.org/officeDocument/2006/customXml" ds:itemID="{8FE3DBDD-630F-49E0-BF79-EA50A0F4639E}">
  <ds:schemaRefs/>
</ds:datastoreItem>
</file>

<file path=customXml/itemProps4.xml><?xml version="1.0" encoding="utf-8"?>
<ds:datastoreItem xmlns:ds="http://schemas.openxmlformats.org/officeDocument/2006/customXml" ds:itemID="{1B522837-2A8B-4B61-A699-CA3EC6A84DFA}">
  <ds:schemaRefs/>
</ds:datastoreItem>
</file>

<file path=customXml/itemProps5.xml><?xml version="1.0" encoding="utf-8"?>
<ds:datastoreItem xmlns:ds="http://schemas.openxmlformats.org/officeDocument/2006/customXml" ds:itemID="{5404A8C3-26B5-4BA7-BAD1-FFD2CC339DE1}">
  <ds:schemaRefs/>
</ds:datastoreItem>
</file>

<file path=customXml/itemProps6.xml><?xml version="1.0" encoding="utf-8"?>
<ds:datastoreItem xmlns:ds="http://schemas.openxmlformats.org/officeDocument/2006/customXml" ds:itemID="{BC0EFE31-B9A9-40A1-A985-24FE5A533491}">
  <ds:schemaRefs/>
</ds:datastoreItem>
</file>

<file path=customXml/itemProps7.xml><?xml version="1.0" encoding="utf-8"?>
<ds:datastoreItem xmlns:ds="http://schemas.openxmlformats.org/officeDocument/2006/customXml" ds:itemID="{BDA49B72-6633-4066-B83E-DEF59E663F58}">
  <ds:schemaRefs/>
</ds:datastoreItem>
</file>

<file path=customXml/itemProps8.xml><?xml version="1.0" encoding="utf-8"?>
<ds:datastoreItem xmlns:ds="http://schemas.openxmlformats.org/officeDocument/2006/customXml" ds:itemID="{9B5A6F37-3154-4C4B-9D78-F425B8F48BF6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CD68C4C9-5D50-4315-B7D3-325D98C7620A}">
  <ds:schemaRefs/>
</ds:datastoreItem>
</file>

<file path=customXml/itemProps10.xml><?xml version="1.0" encoding="utf-8"?>
<ds:datastoreItem xmlns:ds="http://schemas.openxmlformats.org/officeDocument/2006/customXml" ds:itemID="{E1D8EAA7-5BB7-447D-BE57-241480DE76FD}">
  <ds:schemaRefs/>
</ds:datastoreItem>
</file>

<file path=customXml/itemProps11.xml><?xml version="1.0" encoding="utf-8"?>
<ds:datastoreItem xmlns:ds="http://schemas.openxmlformats.org/officeDocument/2006/customXml" ds:itemID="{1167E9FE-BC62-42DF-BC0C-DB65223A1537}">
  <ds:schemaRefs/>
</ds:datastoreItem>
</file>

<file path=customXml/itemProps12.xml><?xml version="1.0" encoding="utf-8"?>
<ds:datastoreItem xmlns:ds="http://schemas.openxmlformats.org/officeDocument/2006/customXml" ds:itemID="{6DEFAAD5-E135-48D2-90B8-804B23AE24FB}">
  <ds:schemaRefs/>
</ds:datastoreItem>
</file>

<file path=customXml/itemProps13.xml><?xml version="1.0" encoding="utf-8"?>
<ds:datastoreItem xmlns:ds="http://schemas.openxmlformats.org/officeDocument/2006/customXml" ds:itemID="{3C37935F-2622-4EEC-B3E7-262837340946}">
  <ds:schemaRefs/>
</ds:datastoreItem>
</file>

<file path=customXml/itemProps14.xml><?xml version="1.0" encoding="utf-8"?>
<ds:datastoreItem xmlns:ds="http://schemas.openxmlformats.org/officeDocument/2006/customXml" ds:itemID="{5CF9A1E6-0897-4FA6-90F1-845A4F41EEC8}">
  <ds:schemaRefs/>
</ds:datastoreItem>
</file>

<file path=customXml/itemProps15.xml><?xml version="1.0" encoding="utf-8"?>
<ds:datastoreItem xmlns:ds="http://schemas.openxmlformats.org/officeDocument/2006/customXml" ds:itemID="{C10E4406-C066-4C8D-B41C-DED7CC8F4F5C}">
  <ds:schemaRefs/>
</ds:datastoreItem>
</file>

<file path=customXml/itemProps16.xml><?xml version="1.0" encoding="utf-8"?>
<ds:datastoreItem xmlns:ds="http://schemas.openxmlformats.org/officeDocument/2006/customXml" ds:itemID="{79A3591E-091A-49DB-98D7-EC0AD0F4E990}">
  <ds:schemaRefs/>
</ds:datastoreItem>
</file>

<file path=customXml/itemProps17.xml><?xml version="1.0" encoding="utf-8"?>
<ds:datastoreItem xmlns:ds="http://schemas.openxmlformats.org/officeDocument/2006/customXml" ds:itemID="{D8AACD5C-3C2A-45F6-BEEE-9A792D84483E}">
  <ds:schemaRefs/>
</ds:datastoreItem>
</file>

<file path=customXml/itemProps18.xml><?xml version="1.0" encoding="utf-8"?>
<ds:datastoreItem xmlns:ds="http://schemas.openxmlformats.org/officeDocument/2006/customXml" ds:itemID="{5390B49D-ABB0-47DC-A7A3-5D9D1BBDCB0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Claude Log</vt:lpstr>
      <vt:lpstr>Sadržaj</vt:lpstr>
      <vt:lpstr>Nabavka</vt:lpstr>
      <vt:lpstr>Sheet1</vt:lpstr>
      <vt:lpstr>Kurs</vt:lpstr>
      <vt:lpstr>Prodaja</vt:lpstr>
      <vt:lpstr>Troškovi</vt:lpstr>
      <vt:lpstr>Prerada</vt:lpstr>
      <vt:lpstr>Vrednost Zaliha</vt:lpstr>
      <vt:lpstr>Izveštaj</vt:lpstr>
      <vt:lpstr>Kalkulacija</vt:lpstr>
      <vt:lpstr>Ugovori</vt:lpstr>
      <vt:lpstr>Pivoti za obračun</vt:lpstr>
      <vt:lpstr>Podaci Za Obračun Originali</vt:lpstr>
      <vt:lpstr>Podaci Obračun Sveža</vt:lpstr>
      <vt:lpstr>Baza</vt:lpstr>
      <vt:lpstr>Baza_2</vt:lpstr>
      <vt:lpstr>Kurs!srednjiKurs.faces?lang_cir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Odetta Bane</cp:lastModifiedBy>
  <dcterms:created xsi:type="dcterms:W3CDTF">2006-09-16T00:00:00Z</dcterms:created>
  <dcterms:modified xsi:type="dcterms:W3CDTF">2026-06-20T15:04:07Z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61432546-d4c9-4d35-bcbf-3fc1f554ef5a</vt:lpwstr>
  </property>
</Properties>
</file>