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18.xml" ContentType="application/vnd.openxmlformats-officedocument.spreadsheetml.comments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1" firstSheet="0" minimized="0" showHorizontalScroll="1" showSheetTabs="1" showVerticalScroll="1" tabRatio="600" visibility="visible"/>
  </bookViews>
  <sheets>
    <sheet name="H - INPUT" sheetId="1" r:id="rId4"/>
    <sheet name="Opening H" sheetId="2" state="hidden" r:id="rId5"/>
    <sheet name="Panel H" sheetId="3" state="hidden" r:id="rId6"/>
    <sheet name="Frames" sheetId="4" state="hidden" r:id="rId7"/>
    <sheet name="BF - INPUT" sheetId="5" r:id="rId8"/>
    <sheet name="Opening BF" sheetId="6" state="hidden" r:id="rId9"/>
    <sheet name="Panel BF" sheetId="7" state="hidden" r:id="rId10"/>
    <sheet name="BP - INPUT" sheetId="8" r:id="rId11"/>
    <sheet name="Opening BP" sheetId="9" state="hidden" r:id="rId12"/>
    <sheet name="Panel BP" sheetId="10" state="hidden" r:id="rId13"/>
    <sheet name="Panel Details" sheetId="11" r:id="rId14"/>
    <sheet name="Stiles" sheetId="12" state="hidden" r:id="rId15"/>
    <sheet name="Hardware" sheetId="13" state="hidden" r:id="rId16"/>
    <sheet name="Tracks&amp;Frames" sheetId="14" state="hidden" r:id="rId17"/>
    <sheet name="H - MO" sheetId="15" r:id="rId18"/>
    <sheet name="BF - MO" sheetId="16" r:id="rId19"/>
    <sheet name="BP - MO" sheetId="17" r:id="rId20"/>
    <sheet name="Stock" sheetId="18" state="hidden" r:id="rId21"/>
  </sheets>
  <definedNames>
    <definedName name="Components">'Hardware'!$M$44:$W$57</definedName>
    <definedName name="_xlnm.Print_Area" localSheetId="0">'H - INPUT'!$B$16:$F$52</definedName>
    <definedName name="_xlnm.Print_Area" localSheetId="3">'Frames'!$V$1:$AJ$26</definedName>
    <definedName name="_xlnm.Print_Area" localSheetId="4">'BF - INPUT'!$B$16:$F$71</definedName>
    <definedName name="_xlnm.Print_Area" localSheetId="7">'BP - INPUT'!$B$17:$F$74</definedName>
    <definedName name="_xlnm.Print_Area" localSheetId="11">'Stiles'!$O$17:$P$34</definedName>
    <definedName name="_xlnm.Print_Area" localSheetId="12">'Hardware'!$B$42:$S$90</definedName>
    <definedName name="_xlnm.Print_Area" localSheetId="14">'H - MO'!$A$1:$N$60</definedName>
    <definedName name="_xlnm.Print_Area" localSheetId="15">'BF - MO'!$A$1:$N$64</definedName>
    <definedName name="_xlnm.Print_Area" localSheetId="16">'BP - MO'!$A$1:$N$64</definedName>
  </definedNames>
  <calcPr calcId="999999" calcMode="auto" calcCompleted="0" fullCalcOnLoad="1"/>
</workbook>
</file>

<file path=xl/comments18.xml><?xml version="1.0" encoding="utf-8"?>
<comments xmlns="http://schemas.openxmlformats.org/spreadsheetml/2006/main">
  <authors>
    <author>G Manager</author>
  </authors>
  <commentList>
    <comment ref="I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Hole Strip</t>
        </r>
      </text>
    </comment>
    <comment ref="I1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25 staff @ R70p/h @ 8hrs pd / 40 panels per day = cost per panel x panel QTY</t>
        </r>
      </text>
    </comment>
    <comment ref="I1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R50 per sqm</t>
        </r>
      </text>
    </comment>
    <comment ref="H4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SA Sliding Door</t>
        </r>
      </text>
    </comment>
  </commentList>
</comments>
</file>

<file path=xl/sharedStrings.xml><?xml version="1.0" encoding="utf-8"?>
<sst xmlns="http://schemas.openxmlformats.org/spreadsheetml/2006/main" uniqueCount="710">
  <si>
    <t>AMERICAN shutters/ Dealer</t>
  </si>
  <si>
    <t>Order Number</t>
  </si>
  <si>
    <t>Order Colour</t>
  </si>
  <si>
    <t>Key all same</t>
  </si>
  <si>
    <t>Consultant/ Dealer Name</t>
  </si>
  <si>
    <t>Order Name</t>
  </si>
  <si>
    <t>If 'No', details</t>
  </si>
  <si>
    <t>Ref</t>
  </si>
  <si>
    <t>Qty</t>
  </si>
  <si>
    <t>Room Location</t>
  </si>
  <si>
    <t>Internal / External</t>
  </si>
  <si>
    <t>Type</t>
  </si>
  <si>
    <t>Matching</t>
  </si>
  <si>
    <t>Frame</t>
  </si>
  <si>
    <t>Mount Type</t>
  </si>
  <si>
    <t>Size</t>
  </si>
  <si>
    <t>Panel</t>
  </si>
  <si>
    <t>Divider rail</t>
  </si>
  <si>
    <t>Lock &amp; Handle</t>
  </si>
  <si>
    <t>Split Gear</t>
  </si>
  <si>
    <t>Tracks</t>
  </si>
  <si>
    <t>Header</t>
  </si>
  <si>
    <t>Pelmet</t>
  </si>
  <si>
    <t>Special Notes:</t>
  </si>
  <si>
    <t>Config. Bi-fold</t>
  </si>
  <si>
    <t>Location</t>
  </si>
  <si>
    <t>Lock Type</t>
  </si>
  <si>
    <t>Pull Handle</t>
  </si>
  <si>
    <t>Bottom Track</t>
  </si>
  <si>
    <t>Track/s Length</t>
  </si>
  <si>
    <t>Qty.</t>
  </si>
  <si>
    <t>Config. Hinged &amp; By-pass</t>
  </si>
  <si>
    <t>No of Sides</t>
  </si>
  <si>
    <t>Width (mm)</t>
  </si>
  <si>
    <t>Lock Height</t>
  </si>
  <si>
    <t>Bottom Track Colour</t>
  </si>
  <si>
    <t>Top Track Type</t>
  </si>
  <si>
    <t>Length</t>
  </si>
  <si>
    <t>Returns</t>
  </si>
  <si>
    <t>Ref.</t>
  </si>
  <si>
    <t>If "custom" specify liner width:</t>
  </si>
  <si>
    <t>Height (mm)</t>
  </si>
  <si>
    <t>Fold</t>
  </si>
  <si>
    <t>If "custom" specify height:</t>
  </si>
  <si>
    <t>Track Qty's</t>
  </si>
  <si>
    <t>Face fixed bracket profile</t>
  </si>
  <si>
    <t>If "custom" specify size:</t>
  </si>
  <si>
    <t>Return/s length</t>
  </si>
  <si>
    <t>Hinged</t>
  </si>
  <si>
    <t>N/A</t>
  </si>
  <si>
    <t>Inside Reveal</t>
  </si>
  <si>
    <t>No</t>
  </si>
  <si>
    <t>Dealer / Consultant</t>
  </si>
  <si>
    <t>Item / Ref no.</t>
  </si>
  <si>
    <t>Quantity</t>
  </si>
  <si>
    <t>Colour</t>
  </si>
  <si>
    <t>Matching | Match Type</t>
  </si>
  <si>
    <t>Matching | Item / Ref</t>
  </si>
  <si>
    <t>Frame | Type</t>
  </si>
  <si>
    <t>Frame | No of Sides</t>
  </si>
  <si>
    <t>Shutter Size | Type</t>
  </si>
  <si>
    <t>Shutter Size | Width (mm)</t>
  </si>
  <si>
    <t>Shutter Size | Height (mm)</t>
  </si>
  <si>
    <t>Panel | Configuration</t>
  </si>
  <si>
    <t>Panel | Quantity</t>
  </si>
  <si>
    <t>Divider rail | Location</t>
  </si>
  <si>
    <t>Divider rail | If "custom" specify height:</t>
  </si>
  <si>
    <t>Lock | Type</t>
  </si>
  <si>
    <t>Lock | Height</t>
  </si>
  <si>
    <t>Lock | If "custom" specify height:</t>
  </si>
  <si>
    <t>Split Gear | Location</t>
  </si>
  <si>
    <t>Split Gear | If "custom" specify height:</t>
  </si>
  <si>
    <t>HINGED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</si>
  <si>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</si>
  <si>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Order width</t>
  </si>
  <si>
    <t>Order height</t>
  </si>
  <si>
    <t>Width deduction / addition</t>
  </si>
  <si>
    <t>Height deduction / addition</t>
  </si>
  <si>
    <t>Net opening width</t>
  </si>
  <si>
    <t>Net opening height</t>
  </si>
  <si>
    <t>Deduction per frame side</t>
  </si>
  <si>
    <t>Addition per frame side</t>
  </si>
  <si>
    <t>Window Size</t>
  </si>
  <si>
    <t>Inside reveal</t>
  </si>
  <si>
    <t>Outside reveal</t>
  </si>
  <si>
    <t>Width</t>
  </si>
  <si>
    <t>Height</t>
  </si>
  <si>
    <t>LR</t>
  </si>
  <si>
    <t>LRT</t>
  </si>
  <si>
    <t>LRB</t>
  </si>
  <si>
    <t>LTB</t>
  </si>
  <si>
    <t>RTB</t>
  </si>
  <si>
    <t>LRTB</t>
  </si>
  <si>
    <t>LRT(SP)</t>
  </si>
  <si>
    <t>LRB(SP)</t>
  </si>
  <si>
    <t>LRTB(SP)</t>
  </si>
  <si>
    <t>LRT(SP)B</t>
  </si>
  <si>
    <t>L(SP)RTB</t>
  </si>
  <si>
    <t>LR(SP)TB</t>
  </si>
  <si>
    <t>LRT(SP)B(SP)</t>
  </si>
  <si>
    <t>L(SP)R(SP)TB</t>
  </si>
  <si>
    <t>L(SP)RT(SP)B</t>
  </si>
  <si>
    <t>L(SP)RTB(SP)</t>
  </si>
  <si>
    <t>LR(SP)T(SP)B</t>
  </si>
  <si>
    <t>LR(SP)TB(SP)</t>
  </si>
  <si>
    <t>L(SP)RT(SP)</t>
  </si>
  <si>
    <t>LR(SP)T(SP)</t>
  </si>
  <si>
    <t>L(SP)RB(SP)</t>
  </si>
  <si>
    <t>LR(SP)B(SP)</t>
  </si>
  <si>
    <t>L(SP)R(SP)T</t>
  </si>
  <si>
    <t>L(SP)R(SP)B</t>
  </si>
  <si>
    <r>
      <t xml:space="preserve">Net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FF0000"/>
        <sz val="11"/>
        <u val="single"/>
      </rPr>
      <t xml:space="preserve">Panel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</si>
  <si>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Panel quantity</t>
  </si>
  <si>
    <t>Panel/s across width</t>
  </si>
  <si>
    <t>Panel/s across height</t>
  </si>
  <si>
    <t>Width deductions</t>
  </si>
  <si>
    <t>Height deductions</t>
  </si>
  <si>
    <t>Net panel width</t>
  </si>
  <si>
    <t>*round down</t>
  </si>
  <si>
    <t>Net panel height</t>
  </si>
  <si>
    <t>mm's</t>
  </si>
  <si>
    <t>WIDTH DEDUCTIONS</t>
  </si>
  <si>
    <t>Hinge Gaps</t>
  </si>
  <si>
    <t>Panel to Panel</t>
  </si>
  <si>
    <t>Panel to Frame</t>
  </si>
  <si>
    <t>HEIGHT DEDUCTIONS</t>
  </si>
  <si>
    <t>Top Gap</t>
  </si>
  <si>
    <t>Bottom Gap</t>
  </si>
  <si>
    <t>Max frame to frame</t>
  </si>
  <si>
    <t>WIDTHS</t>
  </si>
  <si>
    <t>HEIGHTS</t>
  </si>
  <si>
    <t>Configuration</t>
  </si>
  <si>
    <t>Hinge Gaps (Qty)</t>
  </si>
  <si>
    <t>Panel to Panel (Qty)</t>
  </si>
  <si>
    <t>Panel to Frame (Qty)</t>
  </si>
  <si>
    <t>TOTAL mm's</t>
  </si>
  <si>
    <t>Top Gap (mm's)</t>
  </si>
  <si>
    <t>Panel to Panel (mm's)</t>
  </si>
  <si>
    <t>Bottom Gap (mm's)</t>
  </si>
  <si>
    <t>Frame Sides</t>
  </si>
  <si>
    <t>Concat.</t>
  </si>
  <si>
    <t>L</t>
  </si>
  <si>
    <t>R</t>
  </si>
  <si>
    <t>LL</t>
  </si>
  <si>
    <t>RR</t>
  </si>
  <si>
    <t>LRR</t>
  </si>
  <si>
    <t>LLR</t>
  </si>
  <si>
    <t>LLRR</t>
  </si>
  <si>
    <t>Tier on Tier (L)</t>
  </si>
  <si>
    <t>Tier on Tier (R)</t>
  </si>
  <si>
    <t>Tier on Tier (LR)</t>
  </si>
  <si>
    <t>FRAME DEDUCTION</t>
  </si>
  <si>
    <t>Width x</t>
  </si>
  <si>
    <t>Height x</t>
  </si>
  <si>
    <r>
      <rPr>
        <rFont val="Calibri"/>
        <b val="true"/>
        <i val="false"/>
        <strike val="false"/>
        <color rgb="FFFF0000"/>
        <sz val="11"/>
        <u val="single"/>
      </rPr>
      <t xml:space="preserve">Frame</t>
    </r>
    <r>
      <rPr>
        <rFont val="Calibri"/>
        <b val="true"/>
        <i val="false"/>
        <strike val="false"/>
        <color rgb="FF000000"/>
        <sz val="11"/>
        <u val="none"/>
      </rPr>
      <t xml:space="preserve"> Length Calculation</t>
    </r>
  </si>
  <si>
    <t>Lock hole location</t>
  </si>
  <si>
    <t>Frame Selected</t>
  </si>
  <si>
    <t>Net Panel Width</t>
  </si>
  <si>
    <t>Deduction from panel edge</t>
  </si>
  <si>
    <t>Inside frame (L&amp;Z)</t>
  </si>
  <si>
    <t>Outside (L frame)</t>
  </si>
  <si>
    <t>Outside (Z Frame)</t>
  </si>
  <si>
    <t>L(SP)</t>
  </si>
  <si>
    <t>R(SP)</t>
  </si>
  <si>
    <t>T</t>
  </si>
  <si>
    <t>T(SP)</t>
  </si>
  <si>
    <t>B</t>
  </si>
  <si>
    <t>B(SP)</t>
  </si>
  <si>
    <t>LHS Frame to Panel Gap</t>
  </si>
  <si>
    <t>Hinge Gap 1</t>
  </si>
  <si>
    <t>Hinge Gap 2</t>
  </si>
  <si>
    <t>Hinge Gap 3</t>
  </si>
  <si>
    <t>Hinge Gap 4</t>
  </si>
  <si>
    <t>RHS Frame to Panel Gap</t>
  </si>
  <si>
    <t>Hole 1</t>
  </si>
  <si>
    <t>Hole 2</t>
  </si>
  <si>
    <t>Hole 3</t>
  </si>
  <si>
    <t xml:space="preserve">In </t>
  </si>
  <si>
    <t>Out</t>
  </si>
  <si>
    <t>Measure From</t>
  </si>
  <si>
    <r>
      <rPr>
        <rFont val="Calibri"/>
        <b val="true"/>
        <i val="false"/>
        <strike val="false"/>
        <color rgb="FFFF0000"/>
        <sz val="9"/>
        <u val="none"/>
      </rPr>
      <t xml:space="preserve">L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</si>
  <si>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.</t>
  </si>
  <si>
    <r>
      <rPr>
        <rFont val="Calibri"/>
        <b val="true"/>
        <i val="false"/>
        <strike val="false"/>
        <color rgb="FFFF0000"/>
        <sz val="9"/>
        <u val="none"/>
      </rPr>
      <t xml:space="preserve">Z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</si>
  <si>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Dust Keep</t>
  </si>
  <si>
    <t>Connectors</t>
  </si>
  <si>
    <t>Multiplier (x lock qty)</t>
  </si>
  <si>
    <t>American Sutters SA</t>
  </si>
  <si>
    <t>57/20180424 Order</t>
  </si>
  <si>
    <t>Charcoal</t>
  </si>
  <si>
    <t>Yes</t>
  </si>
  <si>
    <t>UTest 01</t>
  </si>
  <si>
    <t>20180424 Order</t>
  </si>
  <si>
    <t>Track Qty</t>
  </si>
  <si>
    <t>R1</t>
  </si>
  <si>
    <t>Internal</t>
  </si>
  <si>
    <t>Bi-Fold</t>
  </si>
  <si>
    <t>None</t>
  </si>
  <si>
    <t xml:space="preserve"> </t>
  </si>
  <si>
    <t>1 side</t>
  </si>
  <si>
    <t>Yes, brushed nickel</t>
  </si>
  <si>
    <t>U track</t>
  </si>
  <si>
    <t>Above bottom rail</t>
  </si>
  <si>
    <t>Satin White</t>
  </si>
  <si>
    <t>33x34mm</t>
  </si>
  <si>
    <t>Standard</t>
  </si>
  <si>
    <t>Frame | If "custom" liner specify width:</t>
  </si>
  <si>
    <t>Panel | Fold</t>
  </si>
  <si>
    <t>Bottom track | Type</t>
  </si>
  <si>
    <t>Bottom track | Colour</t>
  </si>
  <si>
    <t>Top track | Type</t>
  </si>
  <si>
    <t>Tracks | Length</t>
  </si>
  <si>
    <t>Header | Type</t>
  </si>
  <si>
    <t>Header | If "custom" specify size:</t>
  </si>
  <si>
    <t>Bracket Top | Face Fixed?</t>
  </si>
  <si>
    <t>Pelmet | Type</t>
  </si>
  <si>
    <t>Pelmet | If "custom" specify size:</t>
  </si>
  <si>
    <t>Pelmet | Length</t>
  </si>
  <si>
    <t>Pelmet | Quantity</t>
  </si>
  <si>
    <t>Pelmet | Returns</t>
  </si>
  <si>
    <t>Pelmet | Return length</t>
  </si>
  <si>
    <t>BI-FOLD SHUTTER</t>
  </si>
  <si>
    <t>Deduction - height</t>
  </si>
  <si>
    <t>Deduction - width per frame side</t>
  </si>
  <si>
    <t>Addition - width</t>
  </si>
  <si>
    <t>Addition - height</t>
  </si>
  <si>
    <t>L(SP)R(SP)</t>
  </si>
  <si>
    <t>L(SP)R</t>
  </si>
  <si>
    <t>LR(SP)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</si>
  <si>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Panel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</si>
  <si>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Side Frame - LHS</t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</si>
  <si>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</si>
  <si>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 Pivot</t>
    </r>
  </si>
  <si>
    <t>Panel set to Panel set</t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</si>
  <si>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Non- Pivot</t>
    </r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</si>
  <si>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</si>
  <si>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t>Side Frame - RHS</t>
  </si>
  <si>
    <t>TOTAL</t>
  </si>
  <si>
    <t>Bottom Clearance</t>
  </si>
  <si>
    <t>Top of Panel to track</t>
  </si>
  <si>
    <t>Hinge gaps per set</t>
  </si>
  <si>
    <t>Set 1</t>
  </si>
  <si>
    <t>Set 2</t>
  </si>
  <si>
    <t>Set 3</t>
  </si>
  <si>
    <t>Set 4</t>
  </si>
  <si>
    <t>Set 5</t>
  </si>
  <si>
    <t>Set 6</t>
  </si>
  <si>
    <t>1L</t>
  </si>
  <si>
    <t>1R</t>
  </si>
  <si>
    <t>Liner / Hang Strip Lookup Table</t>
  </si>
  <si>
    <t>2L</t>
  </si>
  <si>
    <t>Frame Type</t>
  </si>
  <si>
    <t>Sides</t>
  </si>
  <si>
    <t>Concat</t>
  </si>
  <si>
    <t>LHS</t>
  </si>
  <si>
    <t>RHS</t>
  </si>
  <si>
    <t>2R</t>
  </si>
  <si>
    <t>2(F)L</t>
  </si>
  <si>
    <t>71x34mm Std (track)</t>
  </si>
  <si>
    <t>2(F)R</t>
  </si>
  <si>
    <t>3L</t>
  </si>
  <si>
    <t>3R</t>
  </si>
  <si>
    <t>71x34mm Overlap (track)</t>
  </si>
  <si>
    <t>3(F)L</t>
  </si>
  <si>
    <t>3(F)R</t>
  </si>
  <si>
    <t>4L</t>
  </si>
  <si>
    <t>4R</t>
  </si>
  <si>
    <t>4(F)L</t>
  </si>
  <si>
    <t>4(F)R</t>
  </si>
  <si>
    <t>5L</t>
  </si>
  <si>
    <t>5R</t>
  </si>
  <si>
    <t>Hang Strip - 27 x 35mm</t>
  </si>
  <si>
    <t>5(F)L</t>
  </si>
  <si>
    <t>5(F)R</t>
  </si>
  <si>
    <t>6L</t>
  </si>
  <si>
    <t>Hang Strip - 46 x 35mm</t>
  </si>
  <si>
    <t>6R</t>
  </si>
  <si>
    <t>6(F)L</t>
  </si>
  <si>
    <t>6(F)R</t>
  </si>
  <si>
    <t>Liner - 19 x 100mm</t>
  </si>
  <si>
    <t>7L</t>
  </si>
  <si>
    <t>7R</t>
  </si>
  <si>
    <t>7(F)L</t>
  </si>
  <si>
    <t>Liner - 19 x 160mm</t>
  </si>
  <si>
    <t>7(F)R</t>
  </si>
  <si>
    <t>8L</t>
  </si>
  <si>
    <t>8R</t>
  </si>
  <si>
    <t>Liner - 19 x 200mm</t>
  </si>
  <si>
    <t>8(F)L</t>
  </si>
  <si>
    <t>8(F)R</t>
  </si>
  <si>
    <t>9L</t>
  </si>
  <si>
    <t>Liner - 19 x custom</t>
  </si>
  <si>
    <t>9R</t>
  </si>
  <si>
    <t>9(F)L</t>
  </si>
  <si>
    <t>9(F)R</t>
  </si>
  <si>
    <t>10L</t>
  </si>
  <si>
    <t>10R</t>
  </si>
  <si>
    <t>10(F)L</t>
  </si>
  <si>
    <t>10(F)R</t>
  </si>
  <si>
    <t>11L</t>
  </si>
  <si>
    <t>11R</t>
  </si>
  <si>
    <t>11(F)L</t>
  </si>
  <si>
    <t>11(F)R</t>
  </si>
  <si>
    <t>12L</t>
  </si>
  <si>
    <t>12R</t>
  </si>
  <si>
    <t>12(F)L</t>
  </si>
  <si>
    <t>12(F)R</t>
  </si>
  <si>
    <t>By-Pass</t>
  </si>
  <si>
    <t>Tracks | Quantities</t>
  </si>
  <si>
    <t>BY-PASS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</si>
  <si>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</t>
    </r>
    <r>
      <rPr>
        <rFont val="Calibri"/>
        <b val="true"/>
        <i val="false"/>
        <strike val="false"/>
        <color rgb="FF000000"/>
        <sz val="11"/>
        <u val="none"/>
      </rPr>
      <t xml:space="preserve"> Size Calculation</t>
    </r>
  </si>
  <si>
    <t>LHS Frame to Panel</t>
  </si>
  <si>
    <t>Panel Overlaps</t>
  </si>
  <si>
    <t>RHS Frame to Panel</t>
  </si>
  <si>
    <t>1 panel (1 track)</t>
  </si>
  <si>
    <t>2 panels with hinge (1 track)</t>
  </si>
  <si>
    <t>2 panels without hinge (1 track)</t>
  </si>
  <si>
    <t>2 panels side open</t>
  </si>
  <si>
    <t>3 panels centre open</t>
  </si>
  <si>
    <t>4 panels side open with hinge</t>
  </si>
  <si>
    <t>4 panels side open without hinge</t>
  </si>
  <si>
    <t>4 panels centre open</t>
  </si>
  <si>
    <t>6 panels side open with hinge</t>
  </si>
  <si>
    <t>6 panels side open without hinge</t>
  </si>
  <si>
    <t>6 panels centre open with hinge</t>
  </si>
  <si>
    <t>8 panels side open with hinge</t>
  </si>
  <si>
    <t>8 panels centre open with hinge 4/4</t>
  </si>
  <si>
    <t>8 panels centre open with hinge 6/2</t>
  </si>
  <si>
    <t>3 panels centre open (3 track)</t>
  </si>
  <si>
    <t>6 panels side open with hinge (3 track)</t>
  </si>
  <si>
    <t>6 panels side open without hinge (3 track)</t>
  </si>
  <si>
    <t>ALL APPLICATIONS</t>
  </si>
  <si>
    <r>
      <rPr>
        <rFont val="Calibri"/>
        <b val="false"/>
        <i val="false"/>
        <strike val="false"/>
        <color rgb="FFFF0000"/>
        <sz val="9"/>
        <u val="single"/>
      </rPr>
      <t xml:space="preserve">SHUTTER PANEL </t>
    </r>
    <r>
      <rPr>
        <rFont val="Calibri"/>
        <b val="false"/>
        <i val="false"/>
        <strike val="false"/>
        <color rgb="FF000000"/>
        <sz val="9"/>
        <u val="none"/>
      </rPr>
      <t xml:space="preserve">Calculations</t>
    </r>
  </si>
  <si>
    <t>Application</t>
  </si>
  <si>
    <t>Div rail height requested</t>
  </si>
  <si>
    <t>Stile Thickness</t>
  </si>
  <si>
    <t>Stile Width</t>
  </si>
  <si>
    <t>Louvre Cap</t>
  </si>
  <si>
    <t>Plastic Sleeve</t>
  </si>
  <si>
    <t>Operating gap</t>
  </si>
  <si>
    <t>Rail</t>
  </si>
  <si>
    <t>Louvre</t>
  </si>
  <si>
    <t>Hole Strip edge to centre</t>
  </si>
  <si>
    <t>Louvres Top</t>
  </si>
  <si>
    <t>Louvres Bottom</t>
  </si>
  <si>
    <t>Stile</t>
  </si>
  <si>
    <t>Hole strip (top)</t>
  </si>
  <si>
    <t>*round up</t>
  </si>
  <si>
    <t>Hole strip (bottom)</t>
  </si>
  <si>
    <t>Type 1 or Type 2?</t>
  </si>
  <si>
    <t>Parameters (for Type 2)</t>
  </si>
  <si>
    <t>Panel height below, and</t>
  </si>
  <si>
    <t>Adjust in Type 1 bottom rail not bigger than</t>
  </si>
  <si>
    <t>Type Calculated</t>
  </si>
  <si>
    <t>Type 1</t>
  </si>
  <si>
    <t>Standard top rail</t>
  </si>
  <si>
    <t>Top rail to centre top louvre</t>
  </si>
  <si>
    <t>Louvre Centre to centre</t>
  </si>
  <si>
    <t>Bottom rail to bottom louvre</t>
  </si>
  <si>
    <t>Adjustable Bottom Rail - minimum</t>
  </si>
  <si>
    <t>Adjust Bottom Rail - (max)</t>
  </si>
  <si>
    <t>Type 2</t>
  </si>
  <si>
    <t>Parameters</t>
  </si>
  <si>
    <t xml:space="preserve">Bottom Rail - first increases by </t>
  </si>
  <si>
    <t>Then top rail increases</t>
  </si>
  <si>
    <t>Adjustable Top Rail - minimum</t>
  </si>
  <si>
    <t>Adjust Top Rail - (max)</t>
  </si>
  <si>
    <t>DIVIDER RAIL</t>
  </si>
  <si>
    <t>Bi-fold</t>
  </si>
  <si>
    <t>By-pass</t>
  </si>
  <si>
    <t>Height from btm opening</t>
  </si>
  <si>
    <t>Requested height</t>
  </si>
  <si>
    <t>Requested height from bottom of panel</t>
  </si>
  <si>
    <t>Closest louvre section (from bottom)</t>
  </si>
  <si>
    <t>Actual height (from bottom of opening)</t>
  </si>
  <si>
    <t>*round</t>
  </si>
  <si>
    <t>Difference - (Higher) / Lower</t>
  </si>
  <si>
    <t>SPLIT LOUVRE LOCATION</t>
  </si>
  <si>
    <t>Custom</t>
  </si>
  <si>
    <r>
      <t xml:space="preserve">Requested </t>
    </r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</t>
    </r>
  </si>
  <si>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 from bottom of panel</t>
    </r>
  </si>
  <si>
    <t>Centre of Panel</t>
  </si>
  <si>
    <t>Centre - above divider rail</t>
  </si>
  <si>
    <t>Centre - below divider rail</t>
  </si>
  <si>
    <t>Stile Configuration</t>
  </si>
  <si>
    <t>A</t>
  </si>
  <si>
    <t>No rabbet stiles</t>
  </si>
  <si>
    <t>Rabbet front Left</t>
  </si>
  <si>
    <t>C</t>
  </si>
  <si>
    <t>Rabbet back left</t>
  </si>
  <si>
    <t>D</t>
  </si>
  <si>
    <t>Rabbet back right</t>
  </si>
  <si>
    <t>Not likely</t>
  </si>
  <si>
    <t>E</t>
  </si>
  <si>
    <t>Rabbet front right</t>
  </si>
  <si>
    <t>BI-FOLD CONFIG.</t>
  </si>
  <si>
    <t>STANDARD</t>
  </si>
  <si>
    <t>REVERSE</t>
  </si>
  <si>
    <t>HINGED CONFIG.</t>
  </si>
  <si>
    <t>Stile Rabbet - Extended</t>
  </si>
  <si>
    <t>Left shutter bank or on its own</t>
  </si>
  <si>
    <t>Shutter bank meeting another</t>
  </si>
  <si>
    <t>BY-PASS CONFIG.</t>
  </si>
  <si>
    <t>AB</t>
  </si>
  <si>
    <t>AC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</si>
  <si>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</si>
  <si>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</si>
  <si>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</t>
    </r>
  </si>
  <si>
    <t>AA</t>
  </si>
  <si>
    <t>AAA</t>
  </si>
  <si>
    <t>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</si>
  <si>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BB</t>
    </r>
  </si>
  <si>
    <t>ABC</t>
  </si>
  <si>
    <t>ACB</t>
  </si>
  <si>
    <t>ABB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</si>
  <si>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</si>
  <si>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</t>
    </r>
  </si>
  <si>
    <t>AABA</t>
  </si>
  <si>
    <t>ABBB</t>
  </si>
  <si>
    <t>ABBABB</t>
  </si>
  <si>
    <t>ABCB</t>
  </si>
  <si>
    <t>ACBC</t>
  </si>
  <si>
    <t>ABABAB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</si>
  <si>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</si>
  <si>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</si>
  <si>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</t>
    </r>
  </si>
  <si>
    <t>ABBBABBB</t>
  </si>
  <si>
    <t>ABABBBAB</t>
  </si>
  <si>
    <t>ABBABABB</t>
  </si>
  <si>
    <t>ABCBC</t>
  </si>
  <si>
    <t>ACBCB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</si>
  <si>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</si>
  <si>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</t>
    </r>
  </si>
  <si>
    <t>ABCBCB</t>
  </si>
  <si>
    <t>ACBCBC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</si>
  <si>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</si>
  <si>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</t>
    </r>
  </si>
  <si>
    <t>ABCBCBC</t>
  </si>
  <si>
    <t>ACBCBCB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</si>
  <si>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</si>
  <si>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</t>
    </r>
  </si>
  <si>
    <t>ABCBCBCB</t>
  </si>
  <si>
    <t>ACBCBCBC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</si>
  <si>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</si>
  <si>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</t>
    </r>
  </si>
  <si>
    <t>ABCBCBCBC</t>
  </si>
  <si>
    <t>ACBCBCBCB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</si>
  <si>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</si>
  <si>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</t>
    </r>
  </si>
  <si>
    <t>ABCBCBCBCB</t>
  </si>
  <si>
    <t>ACBCBCBCBC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</si>
  <si>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</si>
  <si>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</t>
    </r>
  </si>
  <si>
    <t>ABCBCBCBCBC</t>
  </si>
  <si>
    <t>ACBCBCBCBCB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</si>
  <si>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</si>
  <si>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</t>
    </r>
  </si>
  <si>
    <t>ABCBCBCBCBCB</t>
  </si>
  <si>
    <t>ACBCBCBCBCBC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</si>
  <si>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</si>
  <si>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CBCBCBCBCBC</t>
    </r>
  </si>
  <si>
    <t>Hardware Calculations</t>
  </si>
  <si>
    <t>HINGES</t>
  </si>
  <si>
    <t>(hinged &amp; bi-fold only)</t>
  </si>
  <si>
    <t>Panel Height</t>
  </si>
  <si>
    <t>Qty Hinges</t>
  </si>
  <si>
    <t>From</t>
  </si>
  <si>
    <t>To</t>
  </si>
  <si>
    <t>Std</t>
  </si>
  <si>
    <t>Top</t>
  </si>
  <si>
    <t>LOCK HEIGHT</t>
  </si>
  <si>
    <t>Bottom Rail</t>
  </si>
  <si>
    <t>Height of panel to top of div rail</t>
  </si>
  <si>
    <t>Single Hinge length</t>
  </si>
  <si>
    <t>Bolt Throw (out)</t>
  </si>
  <si>
    <t>Rod Connector</t>
  </si>
  <si>
    <t>Key hole to Bottom Lock</t>
  </si>
  <si>
    <t>Key Hole</t>
  </si>
  <si>
    <t>Above divider rail</t>
  </si>
  <si>
    <t>ROD LENGTHS</t>
  </si>
  <si>
    <t>Gap (Top)</t>
  </si>
  <si>
    <t>Rod Connector Gap (Top)</t>
  </si>
  <si>
    <t>Bolt Length</t>
  </si>
  <si>
    <t>Rod Connector Gap (Btm)</t>
  </si>
  <si>
    <t>Gap (Btm)</t>
  </si>
  <si>
    <t>Other</t>
  </si>
  <si>
    <t>OTHER HARDWARE</t>
  </si>
  <si>
    <t>Hardware - Manufacturing</t>
  </si>
  <si>
    <t>Hardware - Installation</t>
  </si>
  <si>
    <t>Plastics</t>
  </si>
  <si>
    <t>Bolts &amp; Nuts</t>
  </si>
  <si>
    <t>Hinged : Configuration</t>
  </si>
  <si>
    <t>Lock</t>
  </si>
  <si>
    <t>Slider</t>
  </si>
  <si>
    <t>Cap Bolt/Guide</t>
  </si>
  <si>
    <t>Bolt Round Head 6x20mm</t>
  </si>
  <si>
    <t>Nut M6</t>
  </si>
  <si>
    <t>Bolt Hex Head 6x60mm</t>
  </si>
  <si>
    <t>Rivet Hinge 4 x 10mm</t>
  </si>
  <si>
    <t>Wedge</t>
  </si>
  <si>
    <t>*multiply qty of hinges</t>
  </si>
  <si>
    <t>Component Breakdown</t>
  </si>
  <si>
    <t>Bi-Fold : Configuration</t>
  </si>
  <si>
    <t>Wheel</t>
  </si>
  <si>
    <t>Top Pivot</t>
  </si>
  <si>
    <t>Bottom Pivot</t>
  </si>
  <si>
    <t>Bottom Guide</t>
  </si>
  <si>
    <t>Sliding System (Wheel)</t>
  </si>
  <si>
    <t>Top Pivot (33x34mm track)</t>
  </si>
  <si>
    <t>Top Pivot (71x34mm track)</t>
  </si>
  <si>
    <t>Top Pivot (60x25mm track)</t>
  </si>
  <si>
    <t>Bottom Keep</t>
  </si>
  <si>
    <t>Bolt Round Head 6x30mm</t>
  </si>
  <si>
    <t>Wheel carrier</t>
  </si>
  <si>
    <t>Nut M6 (2mm)</t>
  </si>
  <si>
    <t>Nut M6 (4mm)</t>
  </si>
  <si>
    <t>Screw Grub 5 x 16mm</t>
  </si>
  <si>
    <t>Screw Grub 4 x 12mm</t>
  </si>
  <si>
    <t>Screw Grub 5 x 30mm</t>
  </si>
  <si>
    <t>Washer - top pivot</t>
  </si>
  <si>
    <t>Sleeve - wheel</t>
  </si>
  <si>
    <t>By-Pass : Configuration</t>
  </si>
  <si>
    <t>Stopper</t>
  </si>
  <si>
    <t>Hinges</t>
  </si>
  <si>
    <t>Top Track</t>
  </si>
  <si>
    <t>Height Deduction</t>
  </si>
  <si>
    <t>Top Wheel</t>
  </si>
  <si>
    <t>71x34mm Std</t>
  </si>
  <si>
    <t>71x34mm Overlap</t>
  </si>
  <si>
    <t>60x25mm</t>
  </si>
  <si>
    <t>Side Frame Option</t>
  </si>
  <si>
    <t>Track Name</t>
  </si>
  <si>
    <r>
      <rPr>
        <rFont val="Calibri"/>
        <b val="true"/>
        <i val="false"/>
        <strike val="false"/>
        <color rgb="FFFF0000"/>
        <sz val="9"/>
        <u val="none"/>
      </rPr>
      <t xml:space="preserve">Timber</t>
    </r>
    <r>
      <rPr>
        <rFont val="Calibri"/>
        <b val="true"/>
        <i val="false"/>
        <strike val="false"/>
        <color rgb="FF000000"/>
        <sz val="9"/>
        <u val="none"/>
      </rPr>
      <t xml:space="preserve"> Side Frame</t>
    </r>
  </si>
  <si>
    <t>Timber Side Frame Depth</t>
  </si>
  <si>
    <t>Timber Side Frame Width</t>
  </si>
  <si>
    <t>Vlookup- columns deductions</t>
  </si>
  <si>
    <t>Left Frame</t>
  </si>
  <si>
    <t>Right Frame</t>
  </si>
  <si>
    <t>Multiplier</t>
  </si>
  <si>
    <t>Liner Height Deduction</t>
  </si>
  <si>
    <t>VHS Height Deduction</t>
  </si>
  <si>
    <t>Header - 19 x 100mm</t>
  </si>
  <si>
    <t>Header - 19 x 160mm</t>
  </si>
  <si>
    <t>Header - 19 x 200mm</t>
  </si>
  <si>
    <t>Header - 19 x custom</t>
  </si>
  <si>
    <t>Pelmet - 12 x 53mm</t>
  </si>
  <si>
    <t>Pelmet - 12 x 101mm</t>
  </si>
  <si>
    <t>Pelmet - 12 x custom</t>
  </si>
  <si>
    <t>Bracket Top</t>
  </si>
  <si>
    <t>Bi-Fold - Top Fixing Screws</t>
  </si>
  <si>
    <t>Details</t>
  </si>
  <si>
    <t>Bracket Top 44 x 70mm</t>
  </si>
  <si>
    <t>every 500, starting and ending with 2 at 50mm and 100mm</t>
  </si>
  <si>
    <t>every 500, starting and ending with 2 at 50mm and 100mm, plus 3 for fixing track laterally into wall</t>
  </si>
  <si>
    <t>every 500, starting and ending with 1 at 100mm (x 2 because 2 lines of holes)</t>
  </si>
  <si>
    <t>By-Pass - Top Fixing Screws</t>
  </si>
  <si>
    <t>Hinged - MO</t>
  </si>
  <si>
    <t>Order</t>
  </si>
  <si>
    <t>Aluminium</t>
  </si>
  <si>
    <t>Top Rail</t>
  </si>
  <si>
    <t>Rail Standard</t>
  </si>
  <si>
    <t>Item Quantity</t>
  </si>
  <si>
    <t>Rail Adjustable Inner</t>
  </si>
  <si>
    <t>Rail Adjustable Outer</t>
  </si>
  <si>
    <t>Adjustment</t>
  </si>
  <si>
    <t>Rail Divider</t>
  </si>
  <si>
    <t>Sizes</t>
  </si>
  <si>
    <t>Order sizes</t>
  </si>
  <si>
    <t>Mount</t>
  </si>
  <si>
    <t>Net opening sizes</t>
  </si>
  <si>
    <t>Net panel sizes</t>
  </si>
  <si>
    <t>Configuration &amp; Frame</t>
  </si>
  <si>
    <t>Panel configuration</t>
  </si>
  <si>
    <t>Frame type</t>
  </si>
  <si>
    <t>Stile Butt</t>
  </si>
  <si>
    <t>Frame sides</t>
  </si>
  <si>
    <t>Stile Rabbet</t>
  </si>
  <si>
    <t>Panel / Stile config.</t>
  </si>
  <si>
    <t>Other Requirements</t>
  </si>
  <si>
    <t>Divider Rail: Section</t>
  </si>
  <si>
    <t>Height (btm holes)</t>
  </si>
  <si>
    <t>Hole Strip</t>
  </si>
  <si>
    <t>Divider Rail: Diff to order</t>
  </si>
  <si>
    <t>Lock type</t>
  </si>
  <si>
    <t>Lock height - ordered</t>
  </si>
  <si>
    <t>Frame Cover</t>
  </si>
  <si>
    <t>Lock height - calculated</t>
  </si>
  <si>
    <t>Key all same?</t>
  </si>
  <si>
    <t>Split gear location</t>
  </si>
  <si>
    <t>Inside</t>
  </si>
  <si>
    <t>Outside</t>
  </si>
  <si>
    <t>Left</t>
  </si>
  <si>
    <t>Right</t>
  </si>
  <si>
    <t>Fixatives</t>
  </si>
  <si>
    <t>Screw Hinge 4 x 10mm</t>
  </si>
  <si>
    <t>Bottom</t>
  </si>
  <si>
    <t>Screw Top Track 5.5 x 70mm SS</t>
  </si>
  <si>
    <t>Screw Bottom Track 3.8 x 38mm SS</t>
  </si>
  <si>
    <t>Screw Frame / Liner 5.5 x 50mm SS</t>
  </si>
  <si>
    <t>Screw Track to header 5.5 x 16mm SS</t>
  </si>
  <si>
    <t>Frame Holes - Lock</t>
  </si>
  <si>
    <t>Rivet (Frame Connectors) 4 x 10mm</t>
  </si>
  <si>
    <t>Screw (Frame Connectors)</t>
  </si>
  <si>
    <t>Plug 5mm</t>
  </si>
  <si>
    <t>Plug 8mm</t>
  </si>
  <si>
    <t>Cap - 12mm nut cover</t>
  </si>
  <si>
    <t>Hinge 100mm</t>
  </si>
  <si>
    <t>Sundries</t>
  </si>
  <si>
    <t>Hinge spacers</t>
  </si>
  <si>
    <t>Dust Keeps</t>
  </si>
  <si>
    <t>Rod Threaded 6mm</t>
  </si>
  <si>
    <t>top</t>
  </si>
  <si>
    <t>Bracket 100mm x 50mm</t>
  </si>
  <si>
    <t>bottom</t>
  </si>
  <si>
    <t>Guides / Pivots / Wheels etc</t>
  </si>
  <si>
    <t>Stopper - Top Track</t>
  </si>
  <si>
    <t>Timber</t>
  </si>
  <si>
    <t>Int. / Ext.</t>
  </si>
  <si>
    <t>Depth</t>
  </si>
  <si>
    <t>Key Code Supplied:</t>
  </si>
  <si>
    <t>Parts:</t>
  </si>
  <si>
    <t>Hardware Manufacture</t>
  </si>
  <si>
    <t>Screw Rail 4 x 30mm</t>
  </si>
  <si>
    <t>Screw Louvre 4 x 50mm</t>
  </si>
  <si>
    <t>Screw Bolt 5 x 8mm</t>
  </si>
  <si>
    <t>Rivet Lock 3.2 x 18mm</t>
  </si>
  <si>
    <t>Cap Louvre</t>
  </si>
  <si>
    <t>Rack</t>
  </si>
  <si>
    <t>Sleeve Hole Strip</t>
  </si>
  <si>
    <t>Cap Bolt/Guide (adjusted)</t>
  </si>
  <si>
    <t>Washer - Tension Louvre</t>
  </si>
  <si>
    <t>Sleeve Frame</t>
  </si>
  <si>
    <t>Cylinder 1 side</t>
  </si>
  <si>
    <t>Cylinder 2 sided</t>
  </si>
  <si>
    <t>Screw Lock M5x25mm</t>
  </si>
  <si>
    <t>Frame Connector</t>
  </si>
  <si>
    <t>Bi-Fold - MO</t>
  </si>
  <si>
    <t>Panel Fold</t>
  </si>
  <si>
    <t>Divider rail section</t>
  </si>
  <si>
    <t>Side Frame</t>
  </si>
  <si>
    <t>Side</t>
  </si>
  <si>
    <t>Mitre</t>
  </si>
  <si>
    <t>Finish</t>
  </si>
  <si>
    <t>Header:</t>
  </si>
  <si>
    <t>Pelmets:</t>
  </si>
  <si>
    <t>Returns:</t>
  </si>
  <si>
    <t>Sides:</t>
  </si>
  <si>
    <t>Cap Bolt / Guide</t>
  </si>
  <si>
    <t>Guides / Pivots / Wheels etc (Components)</t>
  </si>
  <si>
    <t>By-Pass - MO</t>
  </si>
  <si>
    <t>Order Sizes</t>
  </si>
  <si>
    <t>Fixing Screws etc.</t>
  </si>
  <si>
    <t>Special Notes</t>
  </si>
  <si>
    <t>R:$</t>
  </si>
  <si>
    <t>R:EUR</t>
  </si>
  <si>
    <t>$ per ton</t>
  </si>
  <si>
    <t>Customs</t>
  </si>
  <si>
    <t>(Timber)</t>
  </si>
  <si>
    <t>(Alum &amp; Screws)</t>
  </si>
  <si>
    <t>TYPE</t>
  </si>
  <si>
    <t>Hardware - Other</t>
  </si>
  <si>
    <t>Hardware - Fixitives</t>
  </si>
  <si>
    <t>Hardware - Plastics</t>
  </si>
  <si>
    <t>COST OF SALES</t>
  </si>
  <si>
    <t>Manufacturing</t>
  </si>
  <si>
    <t>Packaging</t>
  </si>
  <si>
    <t>Wastage</t>
  </si>
  <si>
    <t>TOTAL COSTS</t>
  </si>
  <si>
    <t>PRICED</t>
  </si>
  <si>
    <t>CATEGORY 1</t>
  </si>
  <si>
    <t>CATEGORY 2</t>
  </si>
  <si>
    <t>SUPPLIER</t>
  </si>
  <si>
    <t>DESCRIPTION</t>
  </si>
  <si>
    <t>QTY</t>
  </si>
  <si>
    <t>$ / EUR</t>
  </si>
  <si>
    <t>Kg/m</t>
  </si>
  <si>
    <t>R/m | R's</t>
  </si>
  <si>
    <t>TOTAL COST</t>
  </si>
  <si>
    <t>Fenglu</t>
  </si>
  <si>
    <t>Stile Rabbet Extended</t>
  </si>
  <si>
    <t>Frame Z</t>
  </si>
  <si>
    <t>Frame L</t>
  </si>
  <si>
    <t>M track</t>
  </si>
  <si>
    <t>Recess track</t>
  </si>
  <si>
    <t>Track Top Cover</t>
  </si>
  <si>
    <t>Track Top Cover Small</t>
  </si>
  <si>
    <t>SA Sliding Door</t>
  </si>
  <si>
    <t>Light Block</t>
  </si>
  <si>
    <t>Midalpro</t>
  </si>
  <si>
    <t>Hinge</t>
  </si>
  <si>
    <t>Prefer</t>
  </si>
  <si>
    <t>Lock &amp; Cylinder (1 side)</t>
  </si>
  <si>
    <t>Lock &amp; Cylinder (2 sided)</t>
  </si>
  <si>
    <t>Bolt Fast</t>
  </si>
  <si>
    <t>6mm threaded rod</t>
  </si>
  <si>
    <t>Castaway Components</t>
  </si>
  <si>
    <t>Key ring</t>
  </si>
  <si>
    <t>Gasket &amp; Shim</t>
  </si>
  <si>
    <t>Hinge Spacers</t>
  </si>
  <si>
    <t>Hardware - Manufacture</t>
  </si>
  <si>
    <t>King Tower</t>
  </si>
  <si>
    <t>Rivco</t>
  </si>
  <si>
    <t>SPI</t>
  </si>
  <si>
    <t>RCCN</t>
  </si>
  <si>
    <t>Hilti</t>
  </si>
  <si>
    <t>Rocco</t>
  </si>
  <si>
    <t>Bolt It</t>
  </si>
  <si>
    <t>Essentra</t>
  </si>
  <si>
    <t>Nienmade</t>
  </si>
  <si>
    <t>Pelmet - 12 x 62mm</t>
  </si>
  <si>
    <t>Local</t>
  </si>
</sst>
</file>

<file path=xl/styles.xml><?xml version="1.0" encoding="utf-8"?>
<styleSheet xmlns="http://schemas.openxmlformats.org/spreadsheetml/2006/main" xml:space="preserve">
  <numFmts count="4">
    <numFmt numFmtId="164" formatCode="_ * #,##0_ ;_ * \-#,##0_ ;_ * &quot;-&quot;??_ ;_ @_ "/>
    <numFmt numFmtId="165" formatCode="_ * #,##0.000_ ;_ * \-#,##0.000_ ;_ * &quot;-&quot;??_ ;_ @_ "/>
    <numFmt numFmtId="166" formatCode="_ * #,##0.0_ ;_ * \-#,##0.0_ ;_ * &quot;-&quot;??_ ;_ @_ "/>
    <numFmt numFmtId="167" formatCode="0.000"/>
  </numFmts>
  <fonts count="29"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FF0000"/>
      <name val="Calibri"/>
    </font>
    <font>
      <b val="1"/>
      <i val="0"/>
      <strike val="0"/>
      <u val="none"/>
      <sz val="9"/>
      <color rgb="FFFFFFFF"/>
      <name val="Calibri"/>
    </font>
    <font>
      <b val="0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1"/>
      <strike val="0"/>
      <u val="none"/>
      <sz val="9"/>
      <color rgb="FF00B050"/>
      <name val="Calibri"/>
    </font>
    <font>
      <b val="0"/>
      <i val="1"/>
      <strike val="0"/>
      <u val="none"/>
      <sz val="10"/>
      <color rgb="FF000000"/>
      <name val="Calibri"/>
    </font>
    <font>
      <b val="0"/>
      <i val="1"/>
      <strike val="0"/>
      <u val="none"/>
      <sz val="9"/>
      <color rgb="FFFF0000"/>
      <name val="Calibri"/>
    </font>
    <font>
      <b val="1"/>
      <i val="0"/>
      <strike val="0"/>
      <u val="none"/>
      <sz val="9"/>
      <color rgb="FF3B608D"/>
      <name val="Calibri"/>
    </font>
    <font>
      <b val="1"/>
      <i val="0"/>
      <strike val="0"/>
      <u val="none"/>
      <sz val="9"/>
      <color rgb="FF00B050"/>
      <name val="Calibri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3"/>
      <color rgb="FF000000"/>
      <name val="Calibri"/>
    </font>
    <font>
      <b val="1"/>
      <i val="0"/>
      <strike val="0"/>
      <u val="none"/>
      <sz val="9"/>
      <color rgb="FF1F497D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3"/>
      <color rgb="FF000000"/>
      <name val="Calibri"/>
    </font>
    <font>
      <b val="0"/>
      <i val="0"/>
      <strike val="0"/>
      <u val="none"/>
      <sz val="9"/>
      <color rgb="FFFF0000"/>
      <name val="Calibri"/>
    </font>
    <font>
      <b val="0"/>
      <i val="0"/>
      <strike val="0"/>
      <u val="none"/>
      <sz val="10"/>
      <color rgb="FFFF0000"/>
      <name val="Calibri"/>
    </font>
    <font>
      <b val="0"/>
      <i val="1"/>
      <strike val="0"/>
      <u val="none"/>
      <sz val="8"/>
      <color rgb="FFFF0000"/>
      <name val="Calibri"/>
    </font>
    <font>
      <b val="1"/>
      <i val="0"/>
      <strike val="0"/>
      <u val="single"/>
      <sz val="9"/>
      <color rgb="FF000000"/>
      <name val="Calibri"/>
    </font>
    <font>
      <b val="0"/>
      <i val="0"/>
      <strike val="0"/>
      <u val="none"/>
      <sz val="9"/>
      <color rgb="FFFFFFFF"/>
      <name val="Calibri"/>
    </font>
    <font>
      <b val="0"/>
      <i val="1"/>
      <strike val="0"/>
      <u val="none"/>
      <sz val="8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8"/>
      <color rgb="FF000000"/>
      <name val="Calibri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CC0D9"/>
        <bgColor rgb="FFFFFFFF"/>
      </patternFill>
    </fill>
    <fill>
      <patternFill patternType="solid">
        <fgColor rgb="FF3B608D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95B3D7"/>
        <bgColor rgb="FFFFFFFF"/>
      </patternFill>
    </fill>
  </fills>
  <borders count="186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7F7F7F"/>
      </top>
      <bottom style="thin">
        <color rgb="FF7F7F7F"/>
      </bottom>
    </border>
    <border>
      <bottom style="thin">
        <color rgb="FF7F7F7F"/>
      </bottom>
    </border>
    <border>
      <left style="medium">
        <color rgb="FF7F7F7F"/>
      </left>
      <top style="medium">
        <color rgb="FF7F7F7F"/>
      </top>
      <bottom style="medium">
        <color rgb="FF7F7F7F"/>
      </bottom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7F7F7F"/>
      </left>
      <top style="thin">
        <color rgb="FF7F7F7F"/>
      </top>
      <bottom style="thin">
        <color rgb="FF7F7F7F"/>
      </bottom>
    </border>
    <border>
      <left style="medium">
        <color rgb="FF7F7F7F"/>
      </left>
    </border>
    <border>
      <right style="medium">
        <color rgb="FF7F7F7F"/>
      </right>
    </border>
    <border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thin">
        <color rgb="FF7F7F7F"/>
      </top>
      <bottom style="medium">
        <color rgb="FF7F7F7F"/>
      </bottom>
    </border>
    <border>
      <top style="thin">
        <color rgb="FF7F7F7F"/>
      </top>
      <bottom style="medium">
        <color rgb="FF7F7F7F"/>
      </bottom>
    </border>
    <border>
      <right style="medium">
        <color rgb="FF7F7F7F"/>
      </right>
      <top style="thin">
        <color rgb="FF7F7F7F"/>
      </top>
      <bottom style="medium">
        <color rgb="FF7F7F7F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7F7F7F"/>
      </left>
      <top style="thin">
        <color rgb="FF7F7F7F"/>
      </top>
    </border>
    <border>
      <top style="thin">
        <color rgb="FF7F7F7F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7F7F7F"/>
      </left>
      <bottom style="thin">
        <color rgb="FF7F7F7F"/>
      </bottom>
    </border>
    <border>
      <right style="medium">
        <color rgb="FF7F7F7F"/>
      </right>
      <bottom style="thin">
        <color rgb="FF7F7F7F"/>
      </bottom>
    </border>
    <border>
      <right style="medium">
        <color rgb="FF7F7F7F"/>
      </right>
      <top style="thin">
        <color rgb="FF7F7F7F"/>
      </top>
    </border>
    <border>
      <top style="medium">
        <color rgb="FF7F7F7F"/>
      </top>
      <bottom style="medium">
        <color rgb="FF7F7F7F"/>
      </bottom>
    </border>
    <border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medium">
        <color rgb="FF7F7F7F"/>
      </top>
    </border>
    <border>
      <top style="medium">
        <color rgb="FF7F7F7F"/>
      </top>
    </border>
    <border>
      <right style="medium">
        <color rgb="FF7F7F7F"/>
      </right>
      <top style="medium">
        <color rgb="FF7F7F7F"/>
      </top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medium">
        <color rgb="FF7F7F7F"/>
      </right>
      <bottom style="thin">
        <color rgb="FF7F7F7F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bottom style="medium">
        <color rgb="FF7F7F7F"/>
      </bottom>
    </border>
    <border>
      <right style="medium">
        <color rgb="FF7F7F7F"/>
      </right>
      <bottom style="medium">
        <color rgb="FF7F7F7F"/>
      </bottom>
    </border>
    <border>
      <left style="thin">
        <color rgb="FF7F7F7F"/>
      </left>
      <top style="medium">
        <color rgb="FF7F7F7F"/>
      </top>
    </border>
    <border>
      <left style="thin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</border>
    <border>
      <left style="thin">
        <color rgb="FF7F7F7F"/>
      </left>
      <top style="thin">
        <color rgb="FF7F7F7F"/>
      </top>
      <bottom style="medium">
        <color rgb="FF7F7F7F"/>
      </bottom>
    </border>
    <border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7F7F7F"/>
      </right>
      <top style="thin">
        <color rgb="FF7F7F7F"/>
      </top>
    </border>
    <border>
      <left style="medium">
        <color rgb="FF7F7F7F"/>
      </left>
      <top style="medium">
        <color rgb="FF7F7F7F"/>
      </top>
      <bottom style="thin">
        <color rgb="FF7F7F7F"/>
      </bottom>
    </border>
    <border>
      <top style="medium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thin">
        <color rgb="FF7F7F7F"/>
      </bottom>
    </border>
    <border>
      <right style="medium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  <top style="medium">
        <color rgb="FF7F7F7F"/>
      </top>
    </border>
    <border>
      <left style="dashed">
        <color rgb="FF7F7F7F"/>
      </left>
      <top style="thin">
        <color rgb="FF7F7F7F"/>
      </top>
      <bottom style="medium">
        <color rgb="FF7F7F7F"/>
      </bottom>
    </border>
    <border>
      <left style="thin">
        <color rgb="FF7F7F7F"/>
      </left>
      <top style="dashed">
        <color rgb="FF7F7F7F"/>
      </top>
      <bottom style="medium">
        <color rgb="FF7F7F7F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medium">
        <color rgb="FF7F7F7F"/>
      </left>
      <right style="thin">
        <color rgb="FF7F7F7F"/>
      </right>
      <top style="thin">
        <color rgb="FF7F7F7F"/>
      </top>
    </border>
    <border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7F7F7F"/>
      </left>
      <top style="medium">
        <color rgb="FF7F7F7F"/>
      </top>
      <bottom style="thin">
        <color rgb="FF7F7F7F"/>
      </bottom>
    </border>
    <border>
      <right style="thin">
        <color rgb="FF000000"/>
      </right>
      <top style="medium">
        <color rgb="FF000000"/>
      </top>
    </border>
    <border>
      <left style="thin">
        <color rgb="FF7F7F7F"/>
      </left>
      <top style="medium">
        <color rgb="FF7F7F7F"/>
      </top>
      <bottom style="dashed">
        <color rgb="FF7F7F7F"/>
      </bottom>
    </border>
    <border>
      <left style="dott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7F7F7F"/>
      </right>
      <top style="medium">
        <color rgb="FF7F7F7F"/>
      </top>
      <bottom style="thin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bottom style="medium">
        <color rgb="FF7F7F7F"/>
      </bottom>
    </border>
    <border>
      <left style="thin">
        <color rgb="FF7F7F7F"/>
      </left>
      <right style="thin">
        <color rgb="FF7F7F7F"/>
      </right>
    </border>
    <border>
      <left style="thin">
        <color rgb="FF7F7F7F"/>
      </left>
      <right style="thin">
        <color rgb="FF7F7F7F"/>
      </right>
      <bottom style="dashed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bottom style="dashed">
        <color rgb="FF7F7F7F"/>
      </bottom>
    </border>
    <border>
      <left style="dashed">
        <color rgb="FF7F7F7F"/>
      </left>
      <right style="thin">
        <color rgb="FF7F7F7F"/>
      </right>
      <bottom style="dashed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</border>
    <border>
      <left style="thin">
        <color rgb="FF7F7F7F"/>
      </left>
      <right style="medium">
        <color rgb="FF7F7F7F"/>
      </right>
    </border>
    <border>
      <left style="thin">
        <color rgb="FF7F7F7F"/>
      </left>
      <right style="medium">
        <color rgb="FF7F7F7F"/>
      </right>
      <bottom style="medium">
        <color rgb="FF7F7F7F"/>
      </bottom>
    </border>
    <border>
      <left style="dashed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thin">
        <color rgb="FF7F7F7F"/>
      </left>
      <top style="dashed">
        <color rgb="FF7F7F7F"/>
      </top>
      <bottom style="dashed">
        <color rgb="FF7F7F7F"/>
      </bottom>
    </border>
    <border>
      <top style="dashed">
        <color rgb="FF7F7F7F"/>
      </top>
      <bottom style="dashed">
        <color rgb="FF7F7F7F"/>
      </bottom>
    </border>
    <border>
      <right style="thin">
        <color rgb="FF7F7F7F"/>
      </right>
      <top style="dashed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</border>
    <border>
      <left style="dashed">
        <color rgb="FF7F7F7F"/>
      </left>
      <top style="medium">
        <color rgb="FF7F7F7F"/>
      </top>
      <bottom style="thin">
        <color rgb="FF7F7F7F"/>
      </bottom>
    </border>
    <border>
      <left style="dashed">
        <color rgb="FF7F7F7F"/>
      </left>
      <top style="medium">
        <color rgb="FF7F7F7F"/>
      </top>
    </border>
    <border>
      <left style="dashed">
        <color rgb="FF7F7F7F"/>
      </left>
      <bottom style="medium">
        <color rgb="FF7F7F7F"/>
      </bottom>
    </border>
    <border>
      <right style="dashed">
        <color rgb="FF7F7F7F"/>
      </right>
      <top style="medium">
        <color rgb="FF7F7F7F"/>
      </top>
    </border>
    <border>
      <right style="dashed">
        <color rgb="FF7F7F7F"/>
      </right>
      <bottom style="medium">
        <color rgb="FF7F7F7F"/>
      </bottom>
    </border>
    <border>
      <top style="dashed">
        <color rgb="FF7F7F7F"/>
      </top>
      <bottom style="medium">
        <color rgb="FF7F7F7F"/>
      </bottom>
    </border>
    <border>
      <right style="thin">
        <color rgb="FF7F7F7F"/>
      </right>
      <top style="dashed">
        <color rgb="FF7F7F7F"/>
      </top>
      <bottom style="medium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</border>
    <border>
      <left style="dashed">
        <color rgb="FF7F7F7F"/>
      </left>
      <right style="thin">
        <color rgb="FF7F7F7F"/>
      </right>
    </border>
    <border>
      <left style="dashed">
        <color rgb="FF7F7F7F"/>
      </left>
      <right style="thin">
        <color rgb="FF7F7F7F"/>
      </right>
      <bottom style="medium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right style="thin">
        <color rgb="FF7F7F7F"/>
      </right>
    </border>
    <border>
      <left style="medium">
        <color rgb="FF7F7F7F"/>
      </left>
      <right style="thin">
        <color rgb="FF7F7F7F"/>
      </right>
      <bottom style="medium">
        <color rgb="FF7F7F7F"/>
      </bottom>
    </border>
    <border>
      <left style="thin">
        <color rgb="FF7F7F7F"/>
      </left>
      <right style="thin">
        <color rgb="FF7F7F7F"/>
      </right>
      <bottom style="medium">
        <color rgb="FF7F7F7F"/>
      </bottom>
    </border>
    <border>
      <left style="thin">
        <color rgb="FF7F7F7F"/>
      </left>
      <top style="thin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thin">
        <color rgb="FF7F7F7F"/>
      </top>
      <bottom style="dashed">
        <color rgb="FF7F7F7F"/>
      </bottom>
    </border>
    <border>
      <right style="thin">
        <color rgb="FF7F7F7F"/>
      </right>
      <top style="thin">
        <color rgb="FF7F7F7F"/>
      </top>
      <bottom style="dashed">
        <color rgb="FF7F7F7F"/>
      </bottom>
    </border>
    <border>
      <left style="thin">
        <color rgb="FF7F7F7F"/>
      </left>
      <right style="dashed">
        <color rgb="FF7F7F7F"/>
      </right>
      <top style="thin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left style="dott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</border>
    <border>
      <right style="thin">
        <color rgb="FF7F7F7F"/>
      </right>
      <bottom style="medium">
        <color rgb="FF7F7F7F"/>
      </bottom>
    </border>
    <border>
      <left style="thin">
        <color rgb="FF7F7F7F"/>
      </left>
    </border>
  </borders>
  <cellStyleXfs count="1">
    <xf numFmtId="0" fontId="0" fillId="0" borderId="0"/>
  </cellStyleXfs>
  <cellXfs count="123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3" borderId="3" applyFont="1" applyNumberFormat="0" applyFill="1" applyBorder="1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64" fillId="3" borderId="3" applyFont="1" applyNumberFormat="1" applyFill="1" applyBorder="1" applyAlignment="0">
      <alignment horizontal="general" vertical="bottom" textRotation="0" wrapText="false" shrinkToFit="false"/>
    </xf>
    <xf xfId="0" fontId="4" numFmtId="164" fillId="3" borderId="1" applyFont="1" applyNumberFormat="1" applyFill="1" applyBorder="1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4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4" borderId="9" applyFont="0" applyNumberFormat="0" applyFill="1" applyBorder="1" applyAlignment="1">
      <alignment horizontal="center" vertical="bottom" textRotation="0" wrapText="false" shrinkToFit="false"/>
    </xf>
    <xf xfId="0" fontId="0" numFmtId="0" fillId="4" borderId="10" applyFont="0" applyNumberFormat="0" applyFill="1" applyBorder="1" applyAlignment="1">
      <alignment horizontal="center" vertical="bottom" textRotation="0" wrapText="false" shrinkToFit="false"/>
    </xf>
    <xf xfId="0" fontId="0" numFmtId="0" fillId="4" borderId="8" applyFont="0" applyNumberFormat="0" applyFill="1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2" numFmtId="0" fillId="2" borderId="14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2" numFmtId="0" fillId="5" borderId="1" applyFont="1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true" shrinkToFit="false"/>
    </xf>
    <xf xfId="0" fontId="0" numFmtId="0" fillId="5" borderId="2" applyFont="0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right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0" applyFont="1" applyNumberFormat="0" applyFill="1" applyBorder="1" applyAlignment="0">
      <alignment horizontal="general" vertical="bottom" textRotation="0" wrapText="false" shrinkToFit="false"/>
    </xf>
    <xf xfId="0" fontId="2" numFmtId="0" fillId="6" borderId="21" applyFont="1" applyNumberFormat="0" applyFill="1" applyBorder="1" applyAlignment="0">
      <alignment horizontal="general" vertical="bottom" textRotation="0" wrapText="false" shrinkToFit="false"/>
    </xf>
    <xf xfId="0" fontId="2" numFmtId="0" fillId="2" borderId="22" applyFont="1" applyNumberFormat="0" applyFill="0" applyBorder="1" applyAlignment="1">
      <alignment horizontal="center" vertical="bottom" textRotation="0" wrapText="tru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6" borderId="9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6" borderId="23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4" borderId="16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2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0">
      <alignment horizontal="general" vertical="bottom" textRotation="0" wrapText="false" shrinkToFit="false"/>
    </xf>
    <xf xfId="0" fontId="0" numFmtId="0" fillId="2" borderId="27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9" applyFont="1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28" applyFont="0" applyNumberFormat="0" applyFill="0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3" numFmtId="0" fillId="6" borderId="18" applyFont="1" applyNumberFormat="0" applyFill="1" applyBorder="1" applyAlignment="1">
      <alignment horizontal="center" vertical="bottom" textRotation="0" wrapText="false" shrinkToFit="false"/>
    </xf>
    <xf xfId="0" fontId="3" numFmtId="0" fillId="6" borderId="10" applyFont="1" applyNumberFormat="0" applyFill="1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" applyFont="0" applyNumberFormat="0" applyFill="0" applyBorder="1" applyAlignment="1">
      <alignment horizontal="center" vertical="bottom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48" applyFont="1" applyNumberFormat="0" applyFill="1" applyBorder="1" applyAlignment="1">
      <alignment horizontal="left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8" numFmtId="0" fillId="6" borderId="57" applyFont="1" applyNumberFormat="0" applyFill="1" applyBorder="1" applyAlignment="0">
      <alignment horizontal="general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0">
      <alignment horizontal="general" vertical="bottom" textRotation="0" wrapText="false" shrinkToFit="false"/>
    </xf>
    <xf xfId="0" fontId="2" numFmtId="0" fillId="6" borderId="11" applyFont="1" applyNumberFormat="0" applyFill="1" applyBorder="1" applyAlignment="0">
      <alignment horizontal="general" vertical="bottom" textRotation="0" wrapText="false" shrinkToFit="false"/>
    </xf>
    <xf xfId="0" fontId="0" numFmtId="0" fillId="6" borderId="22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0" numFmtId="0" fillId="6" borderId="29" applyFont="0" applyNumberFormat="0" applyFill="1" applyBorder="1" applyAlignment="0">
      <alignment horizontal="general" vertical="bottom" textRotation="0" wrapText="false" shrinkToFit="false"/>
    </xf>
    <xf xfId="0" fontId="3" numFmtId="0" fillId="6" borderId="2" applyFont="1" applyNumberFormat="0" applyFill="1" applyBorder="1" applyAlignment="1">
      <alignment horizontal="center" vertical="bottom" textRotation="0" wrapText="false" shrinkToFit="false"/>
    </xf>
    <xf xfId="0" fontId="3" numFmtId="0" fillId="6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44" fillId="7" borderId="0" applyFont="0" applyNumberFormat="1" applyFill="1" applyBorder="0" applyAlignment="0">
      <alignment horizontal="general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6" borderId="65" applyFont="0" applyNumberFormat="0" applyFill="1" applyBorder="1" applyAlignment="0">
      <alignment horizontal="general" vertical="bottom" textRotation="0" wrapText="false" shrinkToFit="false"/>
    </xf>
    <xf xfId="0" fontId="0" numFmtId="0" fillId="6" borderId="6" applyFont="0" applyNumberFormat="0" applyFill="1" applyBorder="1" applyAlignment="0">
      <alignment horizontal="general" vertical="bottom" textRotation="0" wrapText="false" shrinkToFit="false"/>
    </xf>
    <xf xfId="0" fontId="2" numFmtId="0" fillId="5" borderId="66" applyFont="1" applyNumberFormat="0" applyFill="1" applyBorder="1" applyAlignment="0">
      <alignment horizontal="general" vertical="bottom" textRotation="0" wrapText="false" shrinkToFit="false"/>
    </xf>
    <xf xfId="0" fontId="4" numFmtId="44" fillId="3" borderId="0" applyFont="1" applyNumberFormat="1" applyFill="1" applyBorder="0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tru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3" numFmtId="0" fillId="2" borderId="16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6" numFmtId="0" fillId="6" borderId="68" applyFont="1" applyNumberFormat="0" applyFill="1" applyBorder="1" applyAlignment="0">
      <alignment horizontal="general" vertical="bottom" textRotation="0" wrapText="false" shrinkToFit="false"/>
    </xf>
    <xf xfId="0" fontId="6" numFmtId="0" fillId="6" borderId="69" applyFont="1" applyNumberFormat="0" applyFill="1" applyBorder="1" applyAlignment="0">
      <alignment horizontal="general" vertical="bottom" textRotation="0" wrapText="false" shrinkToFit="false"/>
    </xf>
    <xf xfId="0" fontId="6" numFmtId="0" fillId="6" borderId="70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0" applyBorder="1" applyAlignment="0">
      <alignment horizontal="general" vertical="bottom" textRotation="0" wrapText="false" shrinkToFit="false"/>
    </xf>
    <xf xfId="0" fontId="3" numFmtId="0" fillId="2" borderId="18" applyFont="1" applyNumberFormat="0" applyFill="0" applyBorder="1" applyAlignment="1">
      <alignment horizontal="center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2" numFmtId="0" fillId="5" borderId="75" applyFont="1" applyNumberFormat="0" applyFill="1" applyBorder="1" applyAlignment="1">
      <alignment horizontal="left" vertical="bottom" textRotation="0" wrapText="false" shrinkToFit="false"/>
    </xf>
    <xf xfId="0" fontId="0" numFmtId="0" fillId="6" borderId="76" applyFont="0" applyNumberFormat="0" applyFill="1" applyBorder="1" applyAlignment="1">
      <alignment horizontal="left" vertical="bottom" textRotation="0" wrapText="false" shrinkToFit="false"/>
    </xf>
    <xf xfId="0" fontId="0" numFmtId="0" fillId="6" borderId="5" applyFont="0" applyNumberFormat="0" applyFill="1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4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4" borderId="0" applyFont="1" applyNumberFormat="0" applyFill="1" applyBorder="0" applyAlignment="1">
      <alignment horizontal="left" vertical="bottom" textRotation="0" wrapText="false" shrinkToFit="false"/>
    </xf>
    <xf xfId="0" fontId="3" numFmtId="44" fillId="4" borderId="0" applyFont="1" applyNumberFormat="1" applyFill="1" applyBorder="0" applyAlignment="0">
      <alignment horizontal="general" vertical="bottom" textRotation="0" wrapText="false" shrinkToFit="false"/>
    </xf>
    <xf xfId="0" fontId="3" numFmtId="164" fillId="4" borderId="0" applyFont="1" applyNumberFormat="1" applyFill="1" applyBorder="0" applyAlignment="0">
      <alignment horizontal="general" vertical="bottom" textRotation="0" wrapText="false" shrinkToFit="false"/>
    </xf>
    <xf xfId="0" fontId="3" numFmtId="9" fillId="4" borderId="0" applyFont="1" applyNumberFormat="1" applyFill="1" applyBorder="0" applyAlignment="0">
      <alignment horizontal="general" vertical="bottom" textRotation="0" wrapText="false" shrinkToFit="false"/>
    </xf>
    <xf xfId="0" fontId="11" numFmtId="0" fillId="4" borderId="0" applyFont="1" applyNumberFormat="0" applyFill="1" applyBorder="0" applyAlignment="0">
      <alignment horizontal="general" vertical="bottom" textRotation="0" wrapText="false" shrinkToFit="false"/>
    </xf>
    <xf xfId="0" fontId="0" numFmtId="44" fillId="4" borderId="0" applyFont="0" applyNumberFormat="1" applyFill="1" applyBorder="0" applyAlignment="0">
      <alignment horizontal="general" vertical="bottom" textRotation="0" wrapText="false" shrinkToFit="false"/>
    </xf>
    <xf xfId="0" fontId="0" numFmtId="44" fillId="4" borderId="9" applyFont="0" applyNumberFormat="1" applyFill="1" applyBorder="1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44" fillId="4" borderId="0" applyFont="1" applyNumberFormat="1" applyFill="1" applyBorder="0" applyAlignment="0">
      <alignment horizontal="general" vertical="bottom" textRotation="0" wrapText="false" shrinkToFit="false"/>
    </xf>
    <xf xfId="0" fontId="2" numFmtId="44" fillId="4" borderId="77" applyFont="1" applyNumberFormat="1" applyFill="1" applyBorder="1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44" fillId="8" borderId="0" applyFont="0" applyNumberFormat="1" applyFill="1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0" fillId="9" borderId="2" applyFont="1" applyNumberFormat="0" applyFill="1" applyBorder="1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10" borderId="1" applyFont="1" applyNumberFormat="0" applyFill="1" applyBorder="1" applyAlignment="0">
      <alignment horizontal="general" vertical="bottom" textRotation="0" wrapText="false" shrinkToFit="false"/>
    </xf>
    <xf xfId="0" fontId="2" numFmtId="0" fillId="9" borderId="1" applyFont="1" applyNumberFormat="0" applyFill="1" applyBorder="1" applyAlignment="0">
      <alignment horizontal="general" vertical="bottom" textRotation="0" wrapText="false" shrinkToFit="false"/>
    </xf>
    <xf xfId="0" fontId="3" numFmtId="0" fillId="2" borderId="25" applyFont="1" applyNumberFormat="0" applyFill="0" applyBorder="1" applyAlignment="1">
      <alignment horizontal="center" vertical="bottom" textRotation="0" wrapText="false" shrinkToFit="false"/>
    </xf>
    <xf xfId="0" fontId="3" numFmtId="0" fillId="2" borderId="75" applyFont="1" applyNumberFormat="0" applyFill="0" applyBorder="1" applyAlignment="1">
      <alignment horizontal="center" vertical="bottom" textRotation="0" wrapText="false" shrinkToFit="false"/>
    </xf>
    <xf xfId="0" fontId="12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5" applyFont="1" applyNumberFormat="0" applyFill="0" applyBorder="1" applyAlignment="1">
      <alignment horizontal="general" vertical="bottom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0" numFmtId="0" fillId="2" borderId="79" applyFont="0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80" applyFont="0" applyNumberFormat="0" applyFill="0" applyBorder="1" applyAlignment="1">
      <alignment horizontal="left" vertical="bottom" textRotation="0" wrapText="false" shrinkToFit="false"/>
    </xf>
    <xf xfId="0" fontId="0" numFmtId="0" fillId="2" borderId="81" applyFont="0" applyNumberFormat="0" applyFill="0" applyBorder="1" applyAlignment="1">
      <alignment horizontal="left" vertical="bottom" textRotation="0" wrapText="false" shrinkToFit="false"/>
    </xf>
    <xf xfId="0" fontId="3" numFmtId="0" fillId="2" borderId="82" applyFont="1" applyNumberFormat="0" applyFill="0" applyBorder="1" applyAlignment="1">
      <alignment horizontal="center" vertical="bottom" textRotation="0" wrapText="false" shrinkToFit="false"/>
    </xf>
    <xf xfId="0" fontId="3" numFmtId="0" fillId="2" borderId="23" applyFont="1" applyNumberFormat="0" applyFill="0" applyBorder="1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false" shrinkToFit="false"/>
    </xf>
    <xf xfId="0" fontId="3" numFmtId="0" fillId="2" borderId="76" applyFont="1" applyNumberFormat="0" applyFill="0" applyBorder="1" applyAlignment="1">
      <alignment horizontal="center" vertical="bottom" textRotation="0" wrapText="false" shrinkToFit="false"/>
    </xf>
    <xf xfId="0" fontId="3" numFmtId="0" fillId="2" borderId="83" applyFont="1" applyNumberFormat="0" applyFill="0" applyBorder="1" applyAlignment="1">
      <alignment horizontal="center" vertical="bottom" textRotation="0" wrapText="false" shrinkToFit="false"/>
    </xf>
    <xf xfId="0" fontId="3" numFmtId="0" fillId="2" borderId="84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0" numFmtId="0" fillId="2" borderId="78" applyFont="0" applyNumberFormat="0" applyFill="0" applyBorder="1" applyAlignment="1">
      <alignment horizontal="general" vertical="center" textRotation="0" wrapText="true" shrinkToFit="false"/>
    </xf>
    <xf xfId="0" fontId="0" numFmtId="0" fillId="2" borderId="26" applyFont="0" applyNumberFormat="0" applyFill="0" applyBorder="1" applyAlignment="1">
      <alignment horizontal="center" vertical="center" textRotation="0" wrapText="false" shrinkToFit="false"/>
    </xf>
    <xf xfId="0" fontId="0" numFmtId="0" fillId="2" borderId="46" applyFont="0" applyNumberFormat="0" applyFill="0" applyBorder="1" applyAlignment="1">
      <alignment horizontal="center" vertical="center" textRotation="0" wrapText="true" shrinkToFit="false"/>
    </xf>
    <xf xfId="0" fontId="0" numFmtId="0" fillId="2" borderId="79" applyFont="0" applyNumberFormat="0" applyFill="0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7" numFmtId="0" fillId="6" borderId="35" applyFont="1" applyNumberFormat="0" applyFill="1" applyBorder="1" applyAlignment="1">
      <alignment horizontal="left" vertical="bottom" textRotation="0" wrapText="false" shrinkToFit="false"/>
    </xf>
    <xf xfId="0" fontId="7" numFmtId="0" fillId="6" borderId="31" applyFont="1" applyNumberFormat="0" applyFill="1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2" numFmtId="0" fillId="5" borderId="11" applyFont="1" applyNumberFormat="0" applyFill="1" applyBorder="1" applyAlignment="0">
      <alignment horizontal="general" vertical="bottom" textRotation="0" wrapText="false" shrinkToFit="false"/>
    </xf>
    <xf xfId="0" fontId="2" numFmtId="0" fillId="5" borderId="12" applyFont="1" applyNumberFormat="0" applyFill="1" applyBorder="1" applyAlignment="1">
      <alignment horizontal="center" vertical="bottom" textRotation="0" wrapText="false" shrinkToFit="false"/>
    </xf>
    <xf xfId="0" fontId="6" numFmtId="0" fillId="6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74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0" numFmtId="0" fillId="7" borderId="2" applyFont="0" applyNumberFormat="0" applyFill="1" applyBorder="1" applyAlignment="1">
      <alignment horizontal="left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true" shrinkToFit="false"/>
    </xf>
    <xf xfId="0" fontId="6" numFmtId="0" fillId="5" borderId="23" applyFont="1" applyNumberFormat="0" applyFill="1" applyBorder="1" applyAlignment="0">
      <alignment horizontal="general" vertical="bottom" textRotation="0" wrapText="false" shrinkToFit="false"/>
    </xf>
    <xf xfId="0" fontId="6" numFmtId="0" fillId="5" borderId="18" applyFont="1" applyNumberFormat="0" applyFill="1" applyBorder="1" applyAlignment="0">
      <alignment horizontal="general" vertical="bottom" textRotation="0" wrapText="false" shrinkToFit="false"/>
    </xf>
    <xf xfId="0" fontId="6" numFmtId="0" fillId="5" borderId="17" applyFont="1" applyNumberFormat="0" applyFill="1" applyBorder="1" applyAlignment="1">
      <alignment horizontal="left" vertical="bottom" textRotation="0" wrapText="false" shrinkToFit="false"/>
    </xf>
    <xf xfId="0" fontId="6" numFmtId="0" fillId="5" borderId="23" applyFont="1" applyNumberFormat="0" applyFill="1" applyBorder="1" applyAlignment="1">
      <alignment horizontal="left" vertical="bottom" textRotation="0" wrapText="false" shrinkToFit="false"/>
    </xf>
    <xf xfId="0" fontId="6" numFmtId="0" fillId="5" borderId="18" applyFont="1" applyNumberFormat="0" applyFill="1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4" borderId="104" applyFont="0" applyNumberFormat="0" applyFill="1" applyBorder="1" applyAlignment="1">
      <alignment horizontal="center" vertical="bottom" textRotation="0" wrapText="false" shrinkToFit="false"/>
    </xf>
    <xf xfId="0" fontId="0" numFmtId="0" fillId="4" borderId="105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9" applyFont="1" applyNumberFormat="0" applyFill="0" applyBorder="1" applyAlignment="1">
      <alignment horizontal="general" vertical="center" textRotation="0" wrapText="false" shrinkToFit="false"/>
    </xf>
    <xf xfId="0" fontId="2" numFmtId="0" fillId="2" borderId="21" applyFont="1" applyNumberFormat="0" applyFill="0" applyBorder="1" applyAlignment="0">
      <alignment horizontal="general" vertical="bottom" textRotation="0" wrapText="false" shrinkToFit="false"/>
    </xf>
    <xf xfId="0" fontId="2" numFmtId="0" fillId="2" borderId="13" applyFont="1" applyNumberFormat="0" applyFill="0" applyBorder="1" applyAlignment="1">
      <alignment horizontal="general" vertical="bottom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1">
      <alignment horizontal="right" vertical="bottom" textRotation="0" wrapText="false" shrinkToFit="false"/>
    </xf>
    <xf xfId="0" fontId="6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2" numFmtId="0" fillId="5" borderId="11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center" vertical="bottom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6" numFmtId="0" fillId="6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111" applyFont="1" applyNumberFormat="0" applyFill="1" applyBorder="1" applyAlignment="1">
      <alignment horizontal="center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112" applyFont="1" applyNumberFormat="0" applyFill="1" applyBorder="1" applyAlignment="0">
      <alignment horizontal="general" vertical="bottom" textRotation="0" wrapText="false" shrinkToFit="false"/>
    </xf>
    <xf xfId="0" fontId="6" numFmtId="0" fillId="6" borderId="72" applyFont="1" applyNumberFormat="0" applyFill="1" applyBorder="1" applyAlignment="1">
      <alignment horizontal="center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6" numFmtId="0" fillId="4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6" borderId="114" applyFont="1" applyNumberFormat="0" applyFill="1" applyBorder="1" applyAlignment="1">
      <alignment horizontal="left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8" numFmtId="0" fillId="6" borderId="116" applyFont="1" applyNumberFormat="0" applyFill="1" applyBorder="1" applyAlignment="0">
      <alignment horizontal="general" vertical="bottom" textRotation="0" wrapText="false" shrinkToFit="false"/>
    </xf>
    <xf xfId="0" fontId="6" numFmtId="0" fillId="4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center" vertical="bottom" textRotation="0" wrapText="fals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0" numFmtId="166" fillId="2" borderId="2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2" numFmtId="0" fillId="5" borderId="117" applyFont="1" applyNumberFormat="0" applyFill="1" applyBorder="1" applyAlignment="1">
      <alignment horizontal="center" vertical="bottom" textRotation="0" wrapText="false" shrinkToFit="false"/>
    </xf>
    <xf xfId="0" fontId="17" numFmtId="0" fillId="2" borderId="4" applyFont="1" applyNumberFormat="0" applyFill="0" applyBorder="1" applyAlignment="1">
      <alignment horizontal="center" vertical="bottom" textRotation="0" wrapText="true" shrinkToFit="false"/>
    </xf>
    <xf xfId="0" fontId="1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7" applyFont="0" applyNumberFormat="1" applyFill="0" applyBorder="1" applyAlignment="0">
      <alignment horizontal="general" vertical="bottom" textRotation="0" wrapText="false" shrinkToFit="false"/>
    </xf>
    <xf xfId="0" fontId="0" numFmtId="166" fillId="2" borderId="9" applyFont="0" applyNumberFormat="1" applyFill="0" applyBorder="1" applyAlignment="0">
      <alignment horizontal="general" vertical="bottom" textRotation="0" wrapText="false" shrinkToFit="false"/>
    </xf>
    <xf xfId="0" fontId="0" numFmtId="166" fillId="2" borderId="10" applyFont="0" applyNumberFormat="1" applyFill="0" applyBorder="1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4" borderId="0" applyFont="0" applyNumberFormat="1" applyFill="1" applyBorder="0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1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119" applyFont="0" applyNumberFormat="0" applyFill="0" applyBorder="1" applyAlignment="1">
      <alignment horizontal="center" vertical="bottom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2" numFmtId="0" fillId="5" borderId="11" applyFont="1" applyNumberFormat="0" applyFill="1" applyBorder="1" applyAlignment="1">
      <alignment horizontal="center" vertical="bottom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0" numFmtId="0" fillId="7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7" borderId="16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7" borderId="10" applyFont="0" applyNumberFormat="0" applyFill="1" applyBorder="1" applyAlignment="1">
      <alignment horizontal="center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0" numFmtId="0" fillId="2" borderId="45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center" textRotation="0" wrapText="false" shrinkToFit="false"/>
    </xf>
    <xf xfId="0" fontId="0" numFmtId="0" fillId="2" borderId="2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23" applyFont="0" applyNumberFormat="0" applyFill="0" applyBorder="1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left" vertical="bottom" textRotation="0" wrapText="false" shrinkToFit="false"/>
    </xf>
    <xf xfId="0" fontId="0" numFmtId="0" fillId="2" borderId="124" applyFont="0" applyNumberFormat="0" applyFill="0" applyBorder="1" applyAlignment="0">
      <alignment horizontal="general" vertical="bottom" textRotation="0" wrapText="false" shrinkToFit="false"/>
    </xf>
    <xf xfId="0" fontId="0" numFmtId="0" fillId="2" borderId="125" applyFont="0" applyNumberFormat="0" applyFill="0" applyBorder="1" applyAlignment="1">
      <alignment horizontal="left" vertical="bottom" textRotation="0" wrapText="false" shrinkToFit="false"/>
    </xf>
    <xf xfId="0" fontId="0" numFmtId="0" fillId="2" borderId="26" applyFont="0" applyNumberFormat="0" applyFill="0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0">
      <alignment horizontal="general" vertical="bottom" textRotation="0" wrapText="false" shrinkToFit="false"/>
    </xf>
    <xf xfId="0" fontId="0" numFmtId="0" fillId="2" borderId="126" applyFont="0" applyNumberFormat="0" applyFill="0" applyBorder="1" applyAlignment="0">
      <alignment horizontal="general" vertical="bottom" textRotation="0" wrapText="false" shrinkToFit="false"/>
    </xf>
    <xf xfId="0" fontId="0" numFmtId="0" fillId="2" borderId="79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4" borderId="5" applyFont="1" applyNumberFormat="0" applyFill="1" applyBorder="1" applyAlignment="1">
      <alignment horizontal="center" vertical="bottom" textRotation="0" wrapText="true" shrinkToFit="false"/>
    </xf>
    <xf xfId="0" fontId="2" numFmtId="0" fillId="4" borderId="28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7" applyFont="1" applyNumberFormat="0" applyFill="1" applyBorder="1" applyAlignment="1">
      <alignment horizontal="center" vertical="bottom" textRotation="0" wrapText="false" shrinkToFit="false"/>
    </xf>
    <xf xfId="0" fontId="2" numFmtId="0" fillId="4" borderId="10" applyFont="1" applyNumberFormat="0" applyFill="1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4" borderId="123" applyFont="1" applyNumberFormat="0" applyFill="1" applyBorder="1" applyAlignment="1">
      <alignment horizontal="center" vertical="bottom" textRotation="0" wrapText="false" shrinkToFit="false"/>
    </xf>
    <xf xfId="0" fontId="2" numFmtId="0" fillId="4" borderId="126" applyFont="1" applyNumberFormat="0" applyFill="1" applyBorder="1" applyAlignment="1">
      <alignment horizontal="center" vertical="bottom" textRotation="0" wrapText="false" shrinkToFit="false"/>
    </xf>
    <xf xfId="0" fontId="2" numFmtId="0" fillId="4" borderId="79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2" numFmtId="0" fillId="4" borderId="13" applyFont="1" applyNumberFormat="0" applyFill="1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127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2" numFmtId="0" fillId="4" borderId="129" applyFont="1" applyNumberFormat="0" applyFill="1" applyBorder="1" applyAlignment="1">
      <alignment horizontal="center" vertical="bottom" textRotation="0" wrapText="false" shrinkToFit="false"/>
    </xf>
    <xf xfId="0" fontId="2" numFmtId="0" fillId="4" borderId="130" applyFont="1" applyNumberFormat="0" applyFill="1" applyBorder="1" applyAlignment="1">
      <alignment horizontal="center" vertical="bottom" textRotation="0" wrapText="false" shrinkToFit="false"/>
    </xf>
    <xf xfId="0" fontId="2" numFmtId="0" fillId="4" borderId="131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76" applyFont="0" applyNumberFormat="0" applyFill="0" applyBorder="1" applyAlignment="1">
      <alignment horizontal="center" vertical="bottom" textRotation="0" wrapText="false" shrinkToFit="false"/>
    </xf>
    <xf xfId="0" fontId="0" numFmtId="0" fillId="2" borderId="132" applyFont="0" applyNumberFormat="0" applyFill="0" applyBorder="1" applyAlignment="1">
      <alignment horizontal="center" vertical="bottom" textRotation="0" wrapText="false" shrinkToFit="false"/>
    </xf>
    <xf xfId="0" fontId="0" numFmtId="0" fillId="2" borderId="13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31" applyFont="0" applyNumberFormat="0" applyFill="0" applyBorder="1" applyAlignment="1">
      <alignment horizontal="center" vertical="bottom" textRotation="0" wrapText="false" shrinkToFit="false"/>
    </xf>
    <xf xfId="0" fontId="0" numFmtId="0" fillId="2" borderId="134" applyFont="0" applyNumberFormat="0" applyFill="0" applyBorder="1" applyAlignment="0">
      <alignment horizontal="general" vertical="bottom" textRotation="0" wrapText="false" shrinkToFit="false"/>
    </xf>
    <xf xfId="0" fontId="0" numFmtId="0" fillId="2" borderId="135" applyFont="0" applyNumberFormat="0" applyFill="0" applyBorder="1" applyAlignment="0">
      <alignment horizontal="general" vertical="bottom" textRotation="0" wrapText="false" shrinkToFit="false"/>
    </xf>
    <xf xfId="0" fontId="0" numFmtId="0" fillId="2" borderId="136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80" applyFont="0" applyNumberFormat="0" applyFill="0" applyBorder="1" applyAlignment="0">
      <alignment horizontal="general" vertical="bottom" textRotation="0" wrapText="false" shrinkToFit="false"/>
    </xf>
    <xf xfId="0" fontId="0" numFmtId="0" fillId="2" borderId="81" applyFont="0" applyNumberFormat="0" applyFill="0" applyBorder="1" applyAlignment="0">
      <alignment horizontal="general" vertical="bottom" textRotation="0" wrapText="false" shrinkToFit="false"/>
    </xf>
    <xf xfId="0" fontId="0" numFmtId="0" fillId="2" borderId="137" applyFont="0" applyNumberFormat="0" applyFill="0" applyBorder="1" applyAlignment="0">
      <alignment horizontal="general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138" applyFont="0" applyNumberFormat="0" applyFill="0" applyBorder="1" applyAlignment="1">
      <alignment horizontal="center" vertical="bottom" textRotation="0" wrapText="false" shrinkToFit="false"/>
    </xf>
    <xf xfId="0" fontId="0" numFmtId="0" fillId="2" borderId="139" applyFont="0" applyNumberFormat="0" applyFill="0" applyBorder="1" applyAlignment="1">
      <alignment horizontal="center" vertical="bottom" textRotation="0" wrapText="false" shrinkToFit="false"/>
    </xf>
    <xf xfId="0" fontId="0" numFmtId="0" fillId="12" borderId="7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125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26" applyFont="0" applyNumberFormat="0" applyFill="1" applyBorder="1" applyAlignment="1">
      <alignment horizontal="center" vertical="bottom" textRotation="0" wrapText="false" shrinkToFit="false"/>
    </xf>
    <xf xfId="0" fontId="0" numFmtId="0" fillId="12" borderId="24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46" applyFont="0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12" borderId="123" applyFont="0" applyNumberFormat="0" applyFill="1" applyBorder="1" applyAlignment="1">
      <alignment horizontal="center" vertical="bottom" textRotation="0" wrapText="false" shrinkToFit="false"/>
    </xf>
    <xf xfId="0" fontId="0" numFmtId="0" fillId="12" borderId="126" applyFont="0" applyNumberFormat="0" applyFill="1" applyBorder="1" applyAlignment="1">
      <alignment horizontal="center" vertical="bottom" textRotation="0" wrapText="false" shrinkToFit="false"/>
    </xf>
    <xf xfId="0" fontId="0" numFmtId="0" fillId="12" borderId="79" applyFont="0" applyNumberFormat="0" applyFill="1" applyBorder="1" applyAlignment="1">
      <alignment horizontal="center" vertical="bottom" textRotation="0" wrapText="false" shrinkToFit="false"/>
    </xf>
    <xf xfId="0" fontId="20" numFmtId="0" fillId="2" borderId="2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2" borderId="14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1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1">
      <alignment horizontal="general" vertical="center" textRotation="0" wrapText="true" shrinkToFit="false"/>
    </xf>
    <xf xfId="0" fontId="0" numFmtId="0" fillId="2" borderId="128" applyFont="0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3" numFmtId="0" fillId="2" borderId="17" applyFont="1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0">
      <alignment horizontal="general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6" numFmtId="0" fillId="2" borderId="7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52" applyFont="1" applyNumberFormat="0" applyFill="0" applyBorder="1" applyAlignment="0">
      <alignment horizontal="general" vertical="bottom" textRotation="0" wrapText="false" shrinkToFit="false"/>
    </xf>
    <xf xfId="0" fontId="6" numFmtId="0" fillId="2" borderId="34" applyFont="1" applyNumberFormat="0" applyFill="0" applyBorder="1" applyAlignment="0">
      <alignment horizontal="general" vertical="bottom" textRotation="0" wrapText="false" shrinkToFit="false"/>
    </xf>
    <xf xfId="0" fontId="6" numFmtId="0" fillId="2" borderId="30" applyFont="1" applyNumberFormat="0" applyFill="0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1">
      <alignment horizontal="center" vertical="bottom" textRotation="0" wrapText="false" shrinkToFit="false"/>
    </xf>
    <xf xfId="0" fontId="0" numFmtId="16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1">
      <alignment horizontal="left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" fillId="6" borderId="17" applyFont="0" applyNumberFormat="1" applyFill="1" applyBorder="1" applyAlignment="1">
      <alignment horizontal="left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true" shrinkToFit="false"/>
    </xf>
    <xf xfId="0" fontId="0" numFmtId="0" fillId="2" borderId="25" applyFont="0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true" shrinkToFit="false"/>
    </xf>
    <xf xfId="0" fontId="3" numFmtId="0" fillId="2" borderId="6" applyFont="1" applyNumberFormat="0" applyFill="0" applyBorder="1" applyAlignment="1">
      <alignment horizontal="center" vertical="bottom" textRotation="0" wrapText="true" shrinkToFit="false"/>
    </xf>
    <xf xfId="0" fontId="3" numFmtId="0" fillId="2" borderId="4" applyFont="1" applyNumberFormat="0" applyFill="0" applyBorder="1" applyAlignment="1">
      <alignment horizontal="center" vertical="bottom" textRotation="0" wrapText="true" shrinkToFit="false"/>
    </xf>
    <xf xfId="0" fontId="3" numFmtId="0" fillId="7" borderId="4" applyFont="1" applyNumberFormat="0" applyFill="1" applyBorder="1" applyAlignment="1">
      <alignment horizontal="center" vertical="bottom" textRotation="0" wrapText="tru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4" numFmtId="164" fillId="3" borderId="0" applyFont="1" applyNumberFormat="1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center" vertical="bottom" textRotation="0" wrapText="true" shrinkToFit="false"/>
    </xf>
    <xf xfId="0" fontId="3" numFmtId="0" fillId="2" borderId="76" applyFont="1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4" numFmtId="0" fillId="3" borderId="2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0" numFmtId="0" fillId="2" borderId="14" applyFont="0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6" borderId="104" applyFont="0" applyNumberFormat="0" applyFill="1" applyBorder="1" applyAlignment="0">
      <alignment horizontal="general" vertical="bottom" textRotation="0" wrapText="false" shrinkToFit="false"/>
    </xf>
    <xf xfId="0" fontId="0" numFmtId="0" fillId="6" borderId="105" applyFont="0" applyNumberFormat="0" applyFill="1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24" numFmtId="0" fillId="3" borderId="1" applyFont="1" applyNumberFormat="0" applyFill="1" applyBorder="1" applyAlignment="0">
      <alignment horizontal="general" vertical="bottom" textRotation="0" wrapText="false" shrinkToFit="false"/>
    </xf>
    <xf xfId="0" fontId="24" numFmtId="0" fillId="3" borderId="3" applyFont="1" applyNumberFormat="0" applyFill="1" applyBorder="1" applyAlignment="0">
      <alignment horizontal="general" vertical="bottom" textRotation="0" wrapText="false" shrinkToFit="false"/>
    </xf>
    <xf xfId="0" fontId="2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6" numFmtId="0" fillId="13" borderId="30" applyFont="1" applyNumberFormat="0" applyFill="1" applyBorder="1" applyAlignment="0">
      <alignment horizontal="general" vertical="bottom" textRotation="0" wrapText="false" shrinkToFit="false"/>
    </xf>
    <xf xfId="0" fontId="6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10" borderId="71" applyFont="1" applyNumberFormat="0" applyFill="1" applyBorder="1" applyAlignment="1">
      <alignment horizontal="left" vertical="bottom" textRotation="0" wrapText="false" shrinkToFit="false"/>
    </xf>
    <xf xfId="0" fontId="6" numFmtId="0" fillId="10" borderId="30" applyFont="1" applyNumberFormat="0" applyFill="1" applyBorder="1" applyAlignment="0">
      <alignment horizontal="general" vertical="bottom" textRotation="0" wrapText="false" shrinkToFit="false"/>
    </xf>
    <xf xfId="0" fontId="6" numFmtId="0" fillId="10" borderId="56" applyFont="1" applyNumberFormat="0" applyFill="1" applyBorder="1" applyAlignment="0">
      <alignment horizontal="general" vertical="bottom" textRotation="0" wrapText="false" shrinkToFit="false"/>
    </xf>
    <xf xfId="0" fontId="6" numFmtId="0" fillId="13" borderId="52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14" numFmtId="0" fillId="13" borderId="30" applyFont="1" applyNumberFormat="0" applyFill="1" applyBorder="1" applyAlignment="0">
      <alignment horizontal="general" vertical="bottom" textRotation="0" wrapText="false" shrinkToFit="false"/>
    </xf>
    <xf xfId="0" fontId="14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1">
      <alignment horizontal="left" vertical="bottom" textRotation="0" wrapText="false" shrinkToFit="false"/>
    </xf>
    <xf xfId="0" fontId="6" numFmtId="0" fillId="6" borderId="114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0" applyFont="1" applyNumberFormat="0" applyFill="1" applyBorder="0" applyAlignment="1">
      <alignment horizontal="center" vertical="bottom" textRotation="0" wrapText="false" shrinkToFit="false"/>
    </xf>
    <xf xfId="0" fontId="6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164" fillId="4" borderId="0" applyFont="1" applyNumberFormat="1" applyFill="1" applyBorder="0" applyAlignment="0">
      <alignment horizontal="general" vertical="bottom" textRotation="0" wrapText="false" shrinkToFit="false"/>
    </xf>
    <xf xfId="0" fontId="6" numFmtId="0" fillId="6" borderId="143" applyFont="1" applyNumberFormat="0" applyFill="1" applyBorder="1" applyAlignment="0">
      <alignment horizontal="general" vertical="bottom" textRotation="0" wrapText="false" shrinkToFit="false"/>
    </xf>
    <xf xfId="0" fontId="6" numFmtId="164" fillId="6" borderId="61" applyFont="1" applyNumberFormat="1" applyFill="1" applyBorder="1" applyAlignment="0">
      <alignment horizontal="general" vertical="bottom" textRotation="0" wrapText="false" shrinkToFit="false"/>
    </xf>
    <xf xfId="0" fontId="6" numFmtId="164" fillId="6" borderId="62" applyFont="1" applyNumberFormat="1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7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21" numFmtId="0" fillId="4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6" numFmtId="0" fillId="4" borderId="89" applyFont="1" applyNumberFormat="0" applyFill="1" applyBorder="1" applyAlignment="1">
      <alignment horizontal="right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2" borderId="94" applyFont="1" applyNumberFormat="0" applyFill="0" applyBorder="1" applyAlignment="1">
      <alignment horizontal="center" vertical="center" textRotation="0" wrapText="true" shrinkToFit="false"/>
    </xf>
    <xf xfId="0" fontId="6" numFmtId="0" fillId="2" borderId="107" applyFont="1" applyNumberFormat="0" applyFill="0" applyBorder="1" applyAlignment="1">
      <alignment horizontal="center" vertical="center" textRotation="0" wrapText="true" shrinkToFit="false"/>
    </xf>
    <xf xfId="0" fontId="6" numFmtId="0" fillId="2" borderId="108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top" textRotation="0" wrapText="tru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44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146" applyFont="1" applyNumberFormat="0" applyFill="1" applyBorder="1" applyAlignment="1">
      <alignment horizontal="center" vertical="center" textRotation="0" wrapText="true" shrinkToFit="false"/>
    </xf>
    <xf xfId="0" fontId="6" numFmtId="0" fillId="6" borderId="147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48" applyFont="1" applyNumberFormat="0" applyFill="1" applyBorder="1" applyAlignment="1">
      <alignment horizontal="center" vertical="center" textRotation="0" wrapText="true" shrinkToFit="false"/>
    </xf>
    <xf xfId="0" fontId="6" numFmtId="0" fillId="2" borderId="149" applyFont="1" applyNumberFormat="0" applyFill="0" applyBorder="1" applyAlignment="1">
      <alignment horizontal="left" vertical="top" textRotation="0" wrapText="true" shrinkToFit="false"/>
    </xf>
    <xf xfId="0" fontId="6" numFmtId="0" fillId="2" borderId="150" applyFont="1" applyNumberFormat="0" applyFill="0" applyBorder="1" applyAlignment="1">
      <alignment horizontal="left" vertical="top" textRotation="0" wrapText="true" shrinkToFit="false"/>
    </xf>
    <xf xfId="0" fontId="6" numFmtId="0" fillId="2" borderId="151" applyFont="1" applyNumberFormat="0" applyFill="0" applyBorder="1" applyAlignment="1">
      <alignment horizontal="left" vertical="top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52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8" borderId="153" applyFont="1" applyNumberFormat="0" applyFill="1" applyBorder="1" applyAlignment="1">
      <alignment horizontal="center" vertical="center" textRotation="0" wrapText="false" shrinkToFit="false"/>
    </xf>
    <xf xfId="0" fontId="6" numFmtId="0" fillId="8" borderId="154" applyFont="1" applyNumberFormat="0" applyFill="1" applyBorder="1" applyAlignment="1">
      <alignment horizontal="center" vertical="center" textRotation="0" wrapText="false" shrinkToFit="false"/>
    </xf>
    <xf xfId="0" fontId="6" numFmtId="0" fillId="8" borderId="155" applyFont="1" applyNumberFormat="0" applyFill="1" applyBorder="1" applyAlignment="1">
      <alignment horizontal="center" vertical="center" textRotation="0" wrapText="false" shrinkToFit="false"/>
    </xf>
    <xf xfId="0" fontId="6" numFmtId="0" fillId="2" borderId="120" applyFont="1" applyNumberFormat="0" applyFill="0" applyBorder="1" applyAlignment="1">
      <alignment horizontal="center" vertical="center" textRotation="0" wrapText="true" shrinkToFit="false"/>
    </xf>
    <xf xfId="0" fontId="6" numFmtId="0" fillId="2" borderId="153" applyFont="1" applyNumberFormat="0" applyFill="0" applyBorder="1" applyAlignment="1">
      <alignment horizontal="center" vertical="center" textRotation="0" wrapText="true" shrinkToFit="false"/>
    </xf>
    <xf xfId="0" fontId="6" numFmtId="0" fillId="2" borderId="103" applyFont="1" applyNumberFormat="0" applyFill="0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16" numFmtId="0" fillId="6" borderId="157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5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58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59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6" numFmtId="0" fillId="6" borderId="159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0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1" applyFont="1" applyNumberFormat="0" applyFill="1" applyBorder="1" applyAlignment="1">
      <alignment horizontal="center" vertical="center" textRotation="0" wrapText="tru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false" shrinkToFit="false"/>
    </xf>
    <xf xfId="0" fontId="14" numFmtId="0" fillId="5" borderId="163" applyFont="1" applyNumberFormat="0" applyFill="1" applyBorder="1" applyAlignment="1">
      <alignment horizontal="center" vertical="center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13" borderId="43" applyFont="1" applyNumberFormat="0" applyFill="1" applyBorder="1" applyAlignment="1">
      <alignment horizontal="left" vertical="top" textRotation="0" wrapText="true" shrinkToFit="false"/>
    </xf>
    <xf xfId="0" fontId="6" numFmtId="0" fillId="13" borderId="0" applyFont="1" applyNumberFormat="0" applyFill="1" applyBorder="0" applyAlignment="1">
      <alignment horizontal="left" vertical="top" textRotation="0" wrapText="true" shrinkToFit="false"/>
    </xf>
    <xf xfId="0" fontId="6" numFmtId="0" fillId="2" borderId="120" applyFont="1" applyNumberFormat="0" applyFill="0" applyBorder="1" applyAlignment="1">
      <alignment horizontal="center" vertical="top" textRotation="0" wrapText="true" shrinkToFit="false"/>
    </xf>
    <xf xfId="0" fontId="6" numFmtId="0" fillId="2" borderId="153" applyFont="1" applyNumberFormat="0" applyFill="0" applyBorder="1" applyAlignment="1">
      <alignment horizontal="center" vertical="top" textRotation="0" wrapText="true" shrinkToFit="false"/>
    </xf>
    <xf xfId="0" fontId="6" numFmtId="0" fillId="2" borderId="103" applyFont="1" applyNumberFormat="0" applyFill="0" applyBorder="1" applyAlignment="1">
      <alignment horizontal="center" vertical="top" textRotation="0" wrapText="true" shrinkToFit="false"/>
    </xf>
    <xf xfId="0" fontId="6" numFmtId="0" fillId="2" borderId="106" applyFont="1" applyNumberFormat="0" applyFill="0" applyBorder="1" applyAlignment="1">
      <alignment horizontal="center" vertical="top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62" applyFont="1" applyNumberFormat="0" applyFill="1" applyBorder="1" applyAlignment="1">
      <alignment horizontal="center" vertical="bottom" textRotation="0" wrapText="false" shrinkToFit="false"/>
    </xf>
    <xf xfId="0" fontId="6" numFmtId="0" fillId="6" borderId="163" applyFont="1" applyNumberFormat="0" applyFill="1" applyBorder="1" applyAlignment="1">
      <alignment horizontal="center" vertical="bottom" textRotation="0" wrapText="fals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4" numFmtId="0" fillId="5" borderId="165" applyFont="1" applyNumberFormat="0" applyFill="1" applyBorder="1" applyAlignment="1">
      <alignment horizontal="center" vertical="center" textRotation="0" wrapText="true" shrinkToFit="false"/>
    </xf>
    <xf xfId="0" fontId="14" numFmtId="0" fillId="5" borderId="166" applyFont="1" applyNumberFormat="0" applyFill="1" applyBorder="1" applyAlignment="1">
      <alignment horizontal="center" vertical="center" textRotation="0" wrapText="true" shrinkToFit="false"/>
    </xf>
    <xf xfId="0" fontId="14" numFmtId="0" fillId="5" borderId="148" applyFont="1" applyNumberFormat="0" applyFill="1" applyBorder="1" applyAlignment="1">
      <alignment horizontal="center" vertical="center" textRotation="0" wrapText="true" shrinkToFit="false"/>
    </xf>
    <xf xfId="0" fontId="6" numFmtId="0" fillId="6" borderId="167" applyFont="1" applyNumberFormat="0" applyFill="1" applyBorder="1" applyAlignment="1">
      <alignment horizontal="center" vertical="top" textRotation="0" wrapText="false" shrinkToFit="false"/>
    </xf>
    <xf xfId="0" fontId="6" numFmtId="0" fillId="6" borderId="168" applyFont="1" applyNumberFormat="0" applyFill="1" applyBorder="1" applyAlignment="1">
      <alignment horizontal="center" vertical="top" textRotation="0" wrapText="false" shrinkToFit="false"/>
    </xf>
    <xf xfId="0" fontId="6" numFmtId="0" fillId="6" borderId="169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44" applyFont="1" applyNumberFormat="0" applyFill="1" applyBorder="1" applyAlignment="1">
      <alignment horizontal="center" vertical="top" textRotation="0" wrapText="false" shrinkToFit="false"/>
    </xf>
    <xf xfId="0" fontId="6" numFmtId="0" fillId="6" borderId="170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8" numFmtId="0" fillId="6" borderId="98" applyFont="1" applyNumberFormat="0" applyFill="1" applyBorder="1" applyAlignment="1">
      <alignment horizontal="center" vertical="top" textRotation="0" wrapText="false" shrinkToFit="false"/>
    </xf>
    <xf xfId="0" fontId="8" numFmtId="0" fillId="6" borderId="144" applyFont="1" applyNumberFormat="0" applyFill="1" applyBorder="1" applyAlignment="1">
      <alignment horizontal="center" vertical="top" textRotation="0" wrapText="false" shrinkToFit="false"/>
    </xf>
    <xf xfId="0" fontId="8" numFmtId="0" fillId="6" borderId="170" applyFont="1" applyNumberFormat="0" applyFill="1" applyBorder="1" applyAlignment="1">
      <alignment horizontal="center" vertical="top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71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center" textRotation="0" wrapText="true" shrinkToFit="false"/>
    </xf>
    <xf xfId="0" fontId="14" numFmtId="0" fillId="5" borderId="172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71" applyFont="1" applyNumberFormat="0" applyFill="1" applyBorder="1" applyAlignment="1">
      <alignment horizontal="center" vertical="bottom" textRotation="0" wrapText="false" shrinkToFit="false"/>
    </xf>
    <xf xfId="0" fontId="14" numFmtId="0" fillId="5" borderId="173" applyFont="1" applyNumberFormat="0" applyFill="1" applyBorder="1" applyAlignment="1">
      <alignment horizontal="center" vertical="bottom" textRotation="0" wrapText="false" shrinkToFit="false"/>
    </xf>
    <xf xfId="0" fontId="14" numFmtId="0" fillId="5" borderId="174" applyFont="1" applyNumberFormat="0" applyFill="1" applyBorder="1" applyAlignment="1">
      <alignment horizontal="center" vertical="bottom" textRotation="0" wrapText="false" shrinkToFit="false"/>
    </xf>
    <xf xfId="0" fontId="14" numFmtId="0" fillId="5" borderId="17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76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bottom" textRotation="0" wrapText="false" shrinkToFit="false"/>
    </xf>
    <xf xfId="0" fontId="14" numFmtId="0" fillId="5" borderId="154" applyFont="1" applyNumberFormat="0" applyFill="1" applyBorder="1" applyAlignment="1">
      <alignment horizontal="center" vertical="bottom" textRotation="0" wrapText="false" shrinkToFit="false"/>
    </xf>
    <xf xfId="0" fontId="14" numFmtId="0" fillId="5" borderId="155" applyFont="1" applyNumberFormat="0" applyFill="1" applyBorder="1" applyAlignment="1">
      <alignment horizontal="center" vertical="bottom" textRotation="0" wrapText="false" shrinkToFit="false"/>
    </xf>
    <xf xfId="0" fontId="14" numFmtId="0" fillId="5" borderId="153" applyFont="1" applyNumberFormat="0" applyFill="1" applyBorder="1" applyAlignment="1">
      <alignment horizontal="center" vertical="center" textRotation="0" wrapText="false" shrinkToFit="false"/>
    </xf>
    <xf xfId="0" fontId="14" numFmtId="0" fillId="5" borderId="154" applyFont="1" applyNumberFormat="0" applyFill="1" applyBorder="1" applyAlignment="1">
      <alignment horizontal="center" vertical="center" textRotation="0" wrapText="false" shrinkToFit="false"/>
    </xf>
    <xf xfId="0" fontId="14" numFmtId="0" fillId="5" borderId="155" applyFont="1" applyNumberFormat="0" applyFill="1" applyBorder="1" applyAlignment="1">
      <alignment horizontal="center" vertical="center" textRotation="0" wrapText="false" shrinkToFit="false"/>
    </xf>
    <xf xfId="0" fontId="2" numFmtId="0" fillId="2" borderId="81" applyFont="1" applyNumberFormat="0" applyFill="0" applyBorder="1" applyAlignment="1">
      <alignment horizontal="center" vertical="bottom" textRotation="0" wrapText="false" shrinkToFit="false"/>
    </xf>
    <xf xfId="0" fontId="2" numFmtId="0" fillId="2" borderId="177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2" numFmtId="0" fillId="2" borderId="75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tru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2" numFmtId="0" fillId="2" borderId="11" applyFont="1" applyNumberFormat="0" applyFill="0" applyBorder="1" applyAlignment="1">
      <alignment horizontal="center" vertical="bottom" textRotation="0" wrapText="false" shrinkToFit="false"/>
    </xf>
    <xf xfId="0" fontId="2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false" shrinkToFit="false"/>
    </xf>
    <xf xfId="0" fontId="2" numFmtId="0" fillId="2" borderId="20" applyFont="1" applyNumberFormat="0" applyFill="0" applyBorder="1" applyAlignment="1">
      <alignment horizontal="center" vertical="bottom" textRotation="0" wrapText="false" shrinkToFit="false"/>
    </xf>
    <xf xfId="0" fontId="2" numFmtId="0" fillId="2" borderId="29" applyFont="1" applyNumberFormat="0" applyFill="0" applyBorder="1" applyAlignment="1">
      <alignment horizontal="center" vertical="bottom" textRotation="0" wrapText="false" shrinkToFit="false"/>
    </xf>
    <xf xfId="0" fontId="0" numFmtId="0" fillId="2" borderId="179" applyFont="0" applyNumberFormat="0" applyFill="0" applyBorder="1" applyAlignment="1">
      <alignment horizontal="center" vertical="bottom" textRotation="0" wrapText="false" shrinkToFit="false"/>
    </xf>
    <xf xfId="0" fontId="0" numFmtId="0" fillId="2" borderId="180" applyFont="0" applyNumberFormat="0" applyFill="0" applyBorder="1" applyAlignment="1">
      <alignment horizontal="center" vertical="bottom" textRotation="0" wrapText="false" shrinkToFit="false"/>
    </xf>
    <xf xfId="0" fontId="0" numFmtId="0" fillId="2" borderId="25" applyFont="0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false" shrinkToFit="false"/>
    </xf>
    <xf xfId="0" fontId="0" numFmtId="0" fillId="2" borderId="178" applyFont="0" applyNumberFormat="0" applyFill="0" applyBorder="1" applyAlignment="1">
      <alignment horizontal="center" vertical="bottom" textRotation="0" wrapText="false" shrinkToFit="false"/>
    </xf>
    <xf xfId="0" fontId="2" numFmtId="0" fillId="2" borderId="140" applyFont="1" applyNumberFormat="0" applyFill="0" applyBorder="1" applyAlignment="1">
      <alignment horizontal="center" vertical="bottom" textRotation="0" wrapText="false" shrinkToFit="false"/>
    </xf>
    <xf xfId="0" fontId="2" numFmtId="0" fillId="2" borderId="181" applyFont="1" applyNumberFormat="0" applyFill="0" applyBorder="1" applyAlignment="1">
      <alignment horizontal="center" vertical="bottom" textRotation="0" wrapText="false" shrinkToFit="false"/>
    </xf>
    <xf xfId="0" fontId="2" numFmtId="0" fillId="2" borderId="129" applyFont="1" applyNumberFormat="0" applyFill="0" applyBorder="1" applyAlignment="1">
      <alignment horizontal="center" vertical="bottom" textRotation="0" wrapText="false" shrinkToFit="false"/>
    </xf>
    <xf xfId="0" fontId="0" numFmtId="0" fillId="2" borderId="80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6" numFmtId="0" fillId="6" borderId="149" applyFont="1" applyNumberFormat="0" applyFill="1" applyBorder="1" applyAlignment="1">
      <alignment horizontal="left" vertical="top" textRotation="0" wrapText="true" shrinkToFit="false"/>
    </xf>
    <xf xfId="0" fontId="6" numFmtId="0" fillId="6" borderId="150" applyFont="1" applyNumberFormat="0" applyFill="1" applyBorder="1" applyAlignment="1">
      <alignment horizontal="left" vertical="top" textRotation="0" wrapText="true" shrinkToFit="false"/>
    </xf>
    <xf xfId="0" fontId="6" numFmtId="0" fillId="6" borderId="151" applyFont="1" applyNumberFormat="0" applyFill="1" applyBorder="1" applyAlignment="1">
      <alignment horizontal="left" vertical="top" textRotation="0" wrapText="true" shrinkToFit="false"/>
    </xf>
    <xf xfId="0" fontId="6" numFmtId="0" fillId="6" borderId="146" applyFont="1" applyNumberFormat="0" applyFill="1" applyBorder="1" applyAlignment="1">
      <alignment horizontal="center" vertical="center" textRotation="0" wrapText="true" shrinkToFit="false"/>
    </xf>
    <xf xfId="0" fontId="6" numFmtId="0" fillId="6" borderId="147" applyFont="1" applyNumberFormat="0" applyFill="1" applyBorder="1" applyAlignment="1">
      <alignment horizontal="center" vertical="center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44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48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17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52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53" applyFont="1" applyNumberFormat="0" applyFill="1" applyBorder="1" applyAlignment="1">
      <alignment horizontal="center" vertical="center" textRotation="0" wrapText="false" shrinkToFit="false"/>
    </xf>
    <xf xfId="0" fontId="6" numFmtId="0" fillId="6" borderId="154" applyFont="1" applyNumberFormat="0" applyFill="1" applyBorder="1" applyAlignment="1">
      <alignment horizontal="center" vertical="center" textRotation="0" wrapText="false" shrinkToFit="false"/>
    </xf>
    <xf xfId="0" fontId="6" numFmtId="0" fillId="6" borderId="155" applyFont="1" applyNumberFormat="0" applyFill="1" applyBorder="1" applyAlignment="1">
      <alignment horizontal="center" vertical="center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62" applyFont="1" applyNumberFormat="0" applyFill="1" applyBorder="1" applyAlignment="1">
      <alignment horizontal="center" vertical="bottom" textRotation="0" wrapText="false" shrinkToFit="false"/>
    </xf>
    <xf xfId="0" fontId="6" numFmtId="0" fillId="6" borderId="163" applyFont="1" applyNumberFormat="0" applyFill="1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53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53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16" numFmtId="0" fillId="6" borderId="158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59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6" numFmtId="0" fillId="6" borderId="157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71" applyFont="1" applyNumberFormat="0" applyFill="1" applyBorder="1" applyAlignment="1">
      <alignment horizontal="center" vertical="bottom" textRotation="0" wrapText="false" shrinkToFit="false"/>
    </xf>
    <xf xfId="0" fontId="14" numFmtId="0" fillId="5" borderId="173" applyFont="1" applyNumberFormat="0" applyFill="1" applyBorder="1" applyAlignment="1">
      <alignment horizontal="center" vertical="bottom" textRotation="0" wrapText="false" shrinkToFit="false"/>
    </xf>
    <xf xfId="0" fontId="14" numFmtId="0" fillId="5" borderId="174" applyFont="1" applyNumberFormat="0" applyFill="1" applyBorder="1" applyAlignment="1">
      <alignment horizontal="center" vertical="bottom" textRotation="0" wrapText="false" shrinkToFit="false"/>
    </xf>
    <xf xfId="0" fontId="14" numFmtId="0" fillId="5" borderId="172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76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bottom" textRotation="0" wrapText="false" shrinkToFit="false"/>
    </xf>
    <xf xfId="0" fontId="14" numFmtId="0" fillId="5" borderId="154" applyFont="1" applyNumberFormat="0" applyFill="1" applyBorder="1" applyAlignment="1">
      <alignment horizontal="center" vertical="bottom" textRotation="0" wrapText="false" shrinkToFit="false"/>
    </xf>
    <xf xfId="0" fontId="14" numFmtId="0" fillId="5" borderId="155" applyFont="1" applyNumberFormat="0" applyFill="1" applyBorder="1" applyAlignment="1">
      <alignment horizontal="center" vertical="bottom" textRotation="0" wrapText="fals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4" numFmtId="0" fillId="5" borderId="148" applyFont="1" applyNumberFormat="0" applyFill="1" applyBorder="1" applyAlignment="1">
      <alignment horizontal="center" vertical="center" textRotation="0" wrapText="tru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0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1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5" applyFont="1" applyNumberFormat="0" applyFill="1" applyBorder="1" applyAlignment="1">
      <alignment horizontal="center" vertical="center" textRotation="0" wrapText="true" shrinkToFit="false"/>
    </xf>
    <xf xfId="0" fontId="14" numFmtId="0" fillId="5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159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6" numFmtId="0" fillId="6" borderId="15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4" numFmtId="0" fillId="5" borderId="171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center" textRotation="0" wrapText="false" shrinkToFit="false"/>
    </xf>
    <xf xfId="0" fontId="14" numFmtId="0" fillId="5" borderId="154" applyFont="1" applyNumberFormat="0" applyFill="1" applyBorder="1" applyAlignment="1">
      <alignment horizontal="center" vertical="center" textRotation="0" wrapText="false" shrinkToFit="false"/>
    </xf>
    <xf xfId="0" fontId="14" numFmtId="0" fillId="5" borderId="155" applyFont="1" applyNumberFormat="0" applyFill="1" applyBorder="1" applyAlignment="1">
      <alignment horizontal="center" vertical="center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false" shrinkToFit="false"/>
    </xf>
    <xf xfId="0" fontId="14" numFmtId="0" fillId="5" borderId="163" applyFont="1" applyNumberFormat="0" applyFill="1" applyBorder="1" applyAlignment="1">
      <alignment horizontal="center" vertical="center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6" numFmtId="0" fillId="6" borderId="167" applyFont="1" applyNumberFormat="0" applyFill="1" applyBorder="1" applyAlignment="1">
      <alignment horizontal="center" vertical="top" textRotation="0" wrapText="false" shrinkToFit="false"/>
    </xf>
    <xf xfId="0" fontId="6" numFmtId="0" fillId="6" borderId="168" applyFont="1" applyNumberFormat="0" applyFill="1" applyBorder="1" applyAlignment="1">
      <alignment horizontal="center" vertical="top" textRotation="0" wrapText="false" shrinkToFit="false"/>
    </xf>
    <xf xfId="0" fontId="6" numFmtId="0" fillId="6" borderId="169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44" applyFont="1" applyNumberFormat="0" applyFill="1" applyBorder="1" applyAlignment="1">
      <alignment horizontal="center" vertical="top" textRotation="0" wrapText="false" shrinkToFit="false"/>
    </xf>
    <xf xfId="0" fontId="6" numFmtId="0" fillId="6" borderId="17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false" shrinkToFit="false"/>
    </xf>
    <xf xfId="0" fontId="2" numFmtId="0" fillId="5" borderId="20" applyFont="1" applyNumberFormat="0" applyFill="1" applyBorder="1" applyAlignment="1">
      <alignment horizontal="center" vertical="bottom" textRotation="0" wrapText="false" shrinkToFit="false"/>
    </xf>
    <xf xfId="0" fontId="2" numFmtId="0" fillId="5" borderId="29" applyFont="1" applyNumberFormat="0" applyFill="1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true" shrinkToFit="false"/>
    </xf>
    <xf xfId="0" fontId="2" numFmtId="0" fillId="2" borderId="82" applyFont="1" applyNumberFormat="0" applyFill="0" applyBorder="1" applyAlignment="1">
      <alignment horizontal="center" vertical="bottom" textRotation="0" wrapText="true" shrinkToFit="false"/>
    </xf>
    <xf xfId="0" fontId="2" numFmtId="0" fillId="2" borderId="178" applyFont="1" applyNumberFormat="0" applyFill="0" applyBorder="1" applyAlignment="1">
      <alignment horizontal="center" vertical="bottom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71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center" textRotation="0" wrapText="true" shrinkToFit="false"/>
    </xf>
    <xf xfId="0" fontId="14" numFmtId="0" fillId="5" borderId="172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71" applyFont="1" applyNumberFormat="0" applyFill="1" applyBorder="1" applyAlignment="1">
      <alignment horizontal="center" vertical="bottom" textRotation="0" wrapText="false" shrinkToFit="false"/>
    </xf>
    <xf xfId="0" fontId="14" numFmtId="0" fillId="5" borderId="173" applyFont="1" applyNumberFormat="0" applyFill="1" applyBorder="1" applyAlignment="1">
      <alignment horizontal="center" vertical="bottom" textRotation="0" wrapText="false" shrinkToFit="false"/>
    </xf>
    <xf xfId="0" fontId="14" numFmtId="0" fillId="5" borderId="174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false" shrinkToFit="false"/>
    </xf>
    <xf xfId="0" fontId="14" numFmtId="0" fillId="5" borderId="163" applyFont="1" applyNumberFormat="0" applyFill="1" applyBorder="1" applyAlignment="1">
      <alignment horizontal="center" vertical="center" textRotation="0" wrapText="false" shrinkToFit="false"/>
    </xf>
    <xf xfId="0" fontId="14" numFmtId="0" fillId="5" borderId="153" applyFont="1" applyNumberFormat="0" applyFill="1" applyBorder="1" applyAlignment="1">
      <alignment horizontal="center" vertical="bottom" textRotation="0" wrapText="false" shrinkToFit="false"/>
    </xf>
    <xf xfId="0" fontId="14" numFmtId="0" fillId="5" borderId="154" applyFont="1" applyNumberFormat="0" applyFill="1" applyBorder="1" applyAlignment="1">
      <alignment horizontal="center" vertical="bottom" textRotation="0" wrapText="false" shrinkToFit="false"/>
    </xf>
    <xf xfId="0" fontId="14" numFmtId="0" fillId="5" borderId="155" applyFont="1" applyNumberFormat="0" applyFill="1" applyBorder="1" applyAlignment="1">
      <alignment horizontal="center" vertical="bottom" textRotation="0" wrapText="false" shrinkToFit="false"/>
    </xf>
    <xf xfId="0" fontId="14" numFmtId="0" fillId="5" borderId="153" applyFont="1" applyNumberFormat="0" applyFill="1" applyBorder="1" applyAlignment="1">
      <alignment horizontal="center" vertical="center" textRotation="0" wrapText="false" shrinkToFit="false"/>
    </xf>
    <xf xfId="0" fontId="14" numFmtId="0" fillId="5" borderId="154" applyFont="1" applyNumberFormat="0" applyFill="1" applyBorder="1" applyAlignment="1">
      <alignment horizontal="center" vertical="center" textRotation="0" wrapText="false" shrinkToFit="false"/>
    </xf>
    <xf xfId="0" fontId="14" numFmtId="0" fillId="5" borderId="155" applyFont="1" applyNumberFormat="0" applyFill="1" applyBorder="1" applyAlignment="1">
      <alignment horizontal="center" vertical="center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7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76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6" numFmtId="0" fillId="6" borderId="149" applyFont="1" applyNumberFormat="0" applyFill="1" applyBorder="1" applyAlignment="1">
      <alignment horizontal="left" vertical="top" textRotation="0" wrapText="true" shrinkToFit="false"/>
    </xf>
    <xf xfId="0" fontId="6" numFmtId="0" fillId="6" borderId="150" applyFont="1" applyNumberFormat="0" applyFill="1" applyBorder="1" applyAlignment="1">
      <alignment horizontal="left" vertical="top" textRotation="0" wrapText="true" shrinkToFit="false"/>
    </xf>
    <xf xfId="0" fontId="6" numFmtId="0" fillId="6" borderId="151" applyFont="1" applyNumberFormat="0" applyFill="1" applyBorder="1" applyAlignment="1">
      <alignment horizontal="left" vertical="top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4" numFmtId="0" fillId="5" borderId="148" applyFont="1" applyNumberFormat="0" applyFill="1" applyBorder="1" applyAlignment="1">
      <alignment horizontal="center" vertical="center" textRotation="0" wrapText="tru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5" applyFont="1" applyNumberFormat="0" applyFill="1" applyBorder="1" applyAlignment="1">
      <alignment horizontal="center" vertical="center" textRotation="0" wrapText="true" shrinkToFit="false"/>
    </xf>
    <xf xfId="0" fontId="14" numFmtId="0" fillId="5" borderId="166" applyFont="1" applyNumberFormat="0" applyFill="1" applyBorder="1" applyAlignment="1">
      <alignment horizontal="center" vertical="center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153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53" applyFont="1" applyNumberFormat="0" applyFill="1" applyBorder="1" applyAlignment="1">
      <alignment horizontal="center" vertical="center" textRotation="0" wrapText="false" shrinkToFit="false"/>
    </xf>
    <xf xfId="0" fontId="6" numFmtId="0" fillId="6" borderId="154" applyFont="1" applyNumberFormat="0" applyFill="1" applyBorder="1" applyAlignment="1">
      <alignment horizontal="center" vertical="center" textRotation="0" wrapText="false" shrinkToFit="false"/>
    </xf>
    <xf xfId="0" fontId="6" numFmtId="0" fillId="6" borderId="155" applyFont="1" applyNumberFormat="0" applyFill="1" applyBorder="1" applyAlignment="1">
      <alignment horizontal="center" vertical="center" textRotation="0" wrapText="fals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53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true" shrinkToFit="false"/>
    </xf>
    <xf xfId="0" fontId="2" numFmtId="0" fillId="2" borderId="20" applyFont="1" applyNumberFormat="0" applyFill="0" applyBorder="1" applyAlignment="1">
      <alignment horizontal="center" vertical="bottom" textRotation="0" wrapText="true" shrinkToFit="false"/>
    </xf>
    <xf xfId="0" fontId="2" numFmtId="0" fillId="2" borderId="29" applyFont="1" applyNumberFormat="0" applyFill="0" applyBorder="1" applyAlignment="1">
      <alignment horizontal="center" vertical="bottom" textRotation="0" wrapText="true" shrinkToFit="false"/>
    </xf>
    <xf xfId="0" fontId="2" numFmtId="0" fillId="2" borderId="66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0" numFmtId="0" fillId="5" borderId="80" applyFont="0" applyNumberFormat="0" applyFill="1" applyBorder="1" applyAlignment="1">
      <alignment horizontal="center" vertical="bottom" textRotation="0" wrapText="false" shrinkToFit="false"/>
    </xf>
    <xf xfId="0" fontId="0" numFmtId="0" fillId="5" borderId="82" applyFont="0" applyNumberFormat="0" applyFill="1" applyBorder="1" applyAlignment="1">
      <alignment horizontal="center" vertical="bottom" textRotation="0" wrapText="false" shrinkToFit="false"/>
    </xf>
    <xf xfId="0" fontId="0" numFmtId="0" fillId="5" borderId="178" applyFont="0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14" borderId="80" applyFont="0" applyNumberFormat="0" applyFill="1" applyBorder="1" applyAlignment="1">
      <alignment horizontal="center" vertical="bottom" textRotation="0" wrapText="false" shrinkToFit="false"/>
    </xf>
    <xf xfId="0" fontId="0" numFmtId="0" fillId="14" borderId="82" applyFont="0" applyNumberFormat="0" applyFill="1" applyBorder="1" applyAlignment="1">
      <alignment horizontal="center" vertical="bottom" textRotation="0" wrapText="false" shrinkToFit="false"/>
    </xf>
    <xf xfId="0" fontId="0" numFmtId="0" fillId="14" borderId="178" applyFont="0" applyNumberFormat="0" applyFill="1" applyBorder="1" applyAlignment="1">
      <alignment horizontal="center" vertical="bottom" textRotation="0" wrapText="fals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2" borderId="82" applyFont="0" applyNumberFormat="0" applyFill="0" applyBorder="1" applyAlignment="0">
      <alignment horizontal="general" vertical="bottom" textRotation="0" wrapText="false" shrinkToFit="false"/>
    </xf>
    <xf xfId="0" fontId="0" numFmtId="0" fillId="2" borderId="178" applyFont="0" applyNumberFormat="0" applyFill="0" applyBorder="1" applyAlignment="0">
      <alignment horizontal="general" vertical="bottom" textRotation="0" wrapText="false" shrinkToFit="false"/>
    </xf>
    <xf xfId="0" fontId="0" numFmtId="0" fillId="2" borderId="177" applyFont="0" applyNumberFormat="0" applyFill="0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true" shrinkToFit="false"/>
    </xf>
    <xf xfId="0" fontId="2" numFmtId="0" fillId="5" borderId="29" applyFont="1" applyNumberFormat="0" applyFill="1" applyBorder="1" applyAlignment="1">
      <alignment horizontal="center" vertical="bottom" textRotation="0" wrapText="true" shrinkToFit="false"/>
    </xf>
    <xf xfId="0" fontId="2" numFmtId="0" fillId="5" borderId="22" applyFont="1" applyNumberFormat="0" applyFill="1" applyBorder="1" applyAlignment="1">
      <alignment horizontal="center" vertical="bottom" textRotation="0" wrapText="tru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35" applyFont="1" applyNumberFormat="0" applyFill="1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7" numFmtId="0" fillId="6" borderId="183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28" numFmtId="0" fillId="6" borderId="69" applyFont="1" applyNumberFormat="0" applyFill="1" applyBorder="1" applyAlignment="1">
      <alignment horizontal="center" vertical="center" textRotation="0" wrapText="false" shrinkToFit="false"/>
    </xf>
    <xf xfId="0" fontId="28" numFmtId="0" fillId="6" borderId="54" applyFont="1" applyNumberFormat="0" applyFill="1" applyBorder="1" applyAlignment="1">
      <alignment horizontal="center" vertical="center" textRotation="0" wrapText="false" shrinkToFit="false"/>
    </xf>
    <xf xfId="0" fontId="28" numFmtId="0" fillId="6" borderId="55" applyFont="1" applyNumberFormat="0" applyFill="1" applyBorder="1" applyAlignment="1">
      <alignment horizontal="center" vertical="center" textRotation="0" wrapText="false" shrinkToFit="false"/>
    </xf>
    <xf xfId="0" fontId="28" numFmtId="0" fillId="6" borderId="185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28" numFmtId="0" fillId="6" borderId="36" applyFont="1" applyNumberFormat="0" applyFill="1" applyBorder="1" applyAlignment="1">
      <alignment horizontal="center" vertical="center" textRotation="0" wrapText="false" shrinkToFit="false"/>
    </xf>
    <xf xfId="0" fontId="28" numFmtId="0" fillId="6" borderId="70" applyFont="1" applyNumberFormat="0" applyFill="1" applyBorder="1" applyAlignment="1">
      <alignment horizontal="center" vertical="center" textRotation="0" wrapText="false" shrinkToFit="false"/>
    </xf>
    <xf xfId="0" fontId="28" numFmtId="0" fillId="6" borderId="67" applyFont="1" applyNumberFormat="0" applyFill="1" applyBorder="1" applyAlignment="1">
      <alignment horizontal="center" vertical="center" textRotation="0" wrapText="false" shrinkToFit="false"/>
    </xf>
    <xf xfId="0" fontId="28" numFmtId="0" fillId="6" borderId="68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185" applyFont="1" applyNumberFormat="0" applyFill="1" applyBorder="1" applyAlignment="1">
      <alignment horizontal="left" vertical="top" textRotation="0" wrapText="true" shrinkToFit="false"/>
    </xf>
    <xf xfId="0" fontId="6" numFmtId="0" fillId="6" borderId="114" applyFont="1" applyNumberFormat="0" applyFill="1" applyBorder="1" applyAlignment="1">
      <alignment horizontal="left" vertical="top" textRotation="0" wrapText="true" shrinkToFit="false"/>
    </xf>
    <xf xfId="0" fontId="6" numFmtId="0" fillId="6" borderId="31" applyFont="1" applyNumberFormat="0" applyFill="1" applyBorder="1" applyAlignment="1">
      <alignment horizontal="left" vertical="top" textRotation="0" wrapText="true" shrinkToFit="false"/>
    </xf>
    <xf xfId="0" fontId="6" numFmtId="0" fillId="6" borderId="48" applyFont="1" applyNumberFormat="0" applyFill="1" applyBorder="1" applyAlignment="1">
      <alignment horizontal="left" vertical="top" textRotation="0" wrapText="tru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21"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D8D8D8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0000"/>
        </patternFill>
      </fill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fill>
        <patternFill patternType="none"/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jpeg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image" Target="../media/image13.jpeg"/></Relationships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0</xdr:row>
      <xdr:rowOff>28575</xdr:rowOff>
    </xdr:from>
    <xdr:ext cx="1447800" cy="49530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323850</xdr:colOff>
      <xdr:row>0</xdr:row>
      <xdr:rowOff>0</xdr:rowOff>
    </xdr:from>
    <xdr:ext cx="1419225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0</xdr:row>
      <xdr:rowOff>0</xdr:rowOff>
    </xdr:from>
    <xdr:ext cx="1409700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8.vml"/><Relationship Id="rId_comments1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B54"/>
  <sheetViews>
    <sheetView tabSelected="0" workbookViewId="0" showGridLines="true" showRowColHeaders="1">
      <selection activeCell="F14" sqref="F14"/>
    </sheetView>
  </sheetViews>
  <sheetFormatPr defaultRowHeight="14.4" outlineLevelRow="0" outlineLevelCol="0"/>
  <cols>
    <col min="1" max="1" width="4.83203125" customWidth="true" style="703"/>
    <col min="2" max="2" width="4.83203125" customWidth="true" style="703"/>
    <col min="3" max="3" width="14.1640625" customWidth="true" style="703"/>
    <col min="4" max="4" width="10.83203125" customWidth="true" style="704"/>
    <col min="5" max="5" width="8.6640625" customWidth="true" style="703"/>
    <col min="6" max="6" width="10.83203125" customWidth="true" style="703"/>
    <col min="7" max="7" width="14.5" customWidth="true" style="703"/>
    <col min="8" max="8" width="9.33203125" customWidth="true" style="703"/>
    <col min="9" max="9" width="11.33203125" customWidth="true" style="703"/>
    <col min="10" max="10" width="3.6640625" customWidth="true" style="703"/>
    <col min="11" max="11" width="4.6640625" customWidth="true" style="703"/>
    <col min="12" max="12" width="3.6640625" customWidth="true" style="703"/>
    <col min="13" max="13" width="4.6640625" customWidth="true" style="703"/>
    <col min="14" max="14" width="3.6640625" customWidth="true" style="703"/>
    <col min="15" max="15" width="4.6640625" customWidth="true" style="703"/>
    <col min="16" max="16" width="3.6640625" customWidth="true" style="703"/>
    <col min="17" max="17" width="4.6640625" customWidth="true" style="703"/>
    <col min="18" max="18" width="12.5" customWidth="true" style="703"/>
    <col min="19" max="19" width="11.5" customWidth="true" style="703"/>
    <col min="20" max="20" width="11.5" customWidth="true" style="703"/>
    <col min="21" max="21" width="11.5" customWidth="true" style="703"/>
    <col min="22" max="22" width="13.1640625" customWidth="true" style="703"/>
    <col min="23" max="23" width="13.1640625" customWidth="true" style="703"/>
    <col min="24" max="24" width="11.1640625" customWidth="true" style="703"/>
    <col min="25" max="25" width="11.33203125" customWidth="true" style="703"/>
    <col min="26" max="26" width="11.33203125" customWidth="true" style="703"/>
    <col min="27" max="27" width="96.1640625" customWidth="true" style="703"/>
    <col min="28" max="28" width="9.33203125" customWidth="true" style="703"/>
  </cols>
  <sheetData>
    <row r="1" spans="1:28" customHeight="1" ht="6"/>
    <row r="2" spans="1:28" customHeight="1" ht="17.25">
      <c r="A2" s="705" t="s">
        <v>0</v>
      </c>
      <c r="B2" s="706"/>
      <c r="C2" s="707"/>
      <c r="D2" s="707"/>
      <c r="E2" s="708"/>
      <c r="F2" s="881"/>
      <c r="G2" s="882"/>
      <c r="H2" s="432" t="s">
        <v>1</v>
      </c>
      <c r="I2" s="433"/>
      <c r="J2" s="878"/>
      <c r="K2" s="879"/>
      <c r="L2" s="879"/>
      <c r="M2" s="879"/>
      <c r="N2" s="879"/>
      <c r="O2" s="879"/>
      <c r="P2" s="879"/>
      <c r="Q2" s="879"/>
      <c r="R2" s="880"/>
      <c r="S2" s="892" t="s">
        <v>2</v>
      </c>
      <c r="T2" s="893"/>
      <c r="U2" s="883"/>
      <c r="V2" s="884"/>
      <c r="W2" s="432" t="s">
        <v>3</v>
      </c>
      <c r="X2" s="426"/>
      <c r="Y2" s="878"/>
      <c r="Z2" s="879"/>
      <c r="AA2" s="880"/>
    </row>
    <row r="3" spans="1:28" customHeight="1" ht="18">
      <c r="A3" s="709" t="s">
        <v>4</v>
      </c>
      <c r="B3" s="710"/>
      <c r="C3" s="710"/>
      <c r="D3" s="711"/>
      <c r="E3" s="712"/>
      <c r="F3" s="887"/>
      <c r="G3" s="888"/>
      <c r="H3" s="434" t="s">
        <v>5</v>
      </c>
      <c r="I3" s="435"/>
      <c r="J3" s="889"/>
      <c r="K3" s="890"/>
      <c r="L3" s="890"/>
      <c r="M3" s="890"/>
      <c r="N3" s="890"/>
      <c r="O3" s="890"/>
      <c r="P3" s="890"/>
      <c r="Q3" s="890"/>
      <c r="R3" s="891"/>
      <c r="S3" s="894"/>
      <c r="T3" s="895"/>
      <c r="U3" s="885"/>
      <c r="V3" s="886"/>
      <c r="W3" s="436" t="s">
        <v>6</v>
      </c>
      <c r="X3" s="429"/>
      <c r="Y3" s="351"/>
      <c r="Z3" s="350"/>
      <c r="AA3" s="352"/>
    </row>
    <row r="4" spans="1:28" customHeight="1" ht="6.75">
      <c r="A4" s="713"/>
      <c r="B4" s="713"/>
      <c r="C4" s="713"/>
      <c r="D4" s="713"/>
      <c r="E4" s="713"/>
      <c r="F4" s="713"/>
      <c r="G4" s="713"/>
      <c r="H4" s="713"/>
      <c r="I4" s="713"/>
      <c r="J4" s="713"/>
      <c r="K4" s="713"/>
      <c r="L4" s="713"/>
      <c r="M4" s="713"/>
      <c r="N4" s="713"/>
      <c r="O4" s="713"/>
      <c r="P4" s="713"/>
      <c r="Q4" s="713"/>
      <c r="R4" s="713"/>
      <c r="S4" s="713"/>
      <c r="T4" s="713"/>
      <c r="U4" s="713"/>
      <c r="V4" s="713"/>
      <c r="W4" s="713"/>
      <c r="X4" s="713"/>
      <c r="Y4" s="713"/>
      <c r="Z4" s="713"/>
      <c r="AA4" s="713"/>
    </row>
    <row r="5" spans="1:28" customHeight="1" ht="15">
      <c r="A5" s="936" t="s">
        <v>7</v>
      </c>
      <c r="B5" s="939" t="s">
        <v>8</v>
      </c>
      <c r="C5" s="939" t="s">
        <v>9</v>
      </c>
      <c r="D5" s="939" t="s">
        <v>10</v>
      </c>
      <c r="E5" s="939" t="s">
        <v>11</v>
      </c>
      <c r="F5" s="714" t="s">
        <v>12</v>
      </c>
      <c r="G5" s="714" t="s">
        <v>13</v>
      </c>
      <c r="H5" s="939" t="s">
        <v>14</v>
      </c>
      <c r="I5" s="715" t="s">
        <v>15</v>
      </c>
      <c r="J5" s="896" t="s">
        <v>16</v>
      </c>
      <c r="K5" s="897"/>
      <c r="L5" s="897"/>
      <c r="M5" s="897"/>
      <c r="N5" s="897"/>
      <c r="O5" s="897"/>
      <c r="P5" s="897"/>
      <c r="Q5" s="898"/>
      <c r="R5" s="714" t="s">
        <v>17</v>
      </c>
      <c r="S5" s="915" t="s">
        <v>18</v>
      </c>
      <c r="T5" s="916"/>
      <c r="U5" s="714" t="s">
        <v>19</v>
      </c>
      <c r="V5" s="899" t="s">
        <v>20</v>
      </c>
      <c r="W5" s="899"/>
      <c r="X5" s="714" t="s">
        <v>21</v>
      </c>
      <c r="Y5" s="899" t="s">
        <v>22</v>
      </c>
      <c r="Z5" s="899"/>
      <c r="AA5" s="944" t="s">
        <v>23</v>
      </c>
    </row>
    <row r="6" spans="1:28" customHeight="1" ht="15">
      <c r="A6" s="937"/>
      <c r="B6" s="940"/>
      <c r="C6" s="940"/>
      <c r="D6" s="940"/>
      <c r="E6" s="942"/>
      <c r="F6" s="947" t="s">
        <v>11</v>
      </c>
      <c r="G6" s="949" t="s">
        <v>11</v>
      </c>
      <c r="H6" s="940"/>
      <c r="I6" s="949" t="s">
        <v>11</v>
      </c>
      <c r="J6" s="951" t="s">
        <v>24</v>
      </c>
      <c r="K6" s="952"/>
      <c r="L6" s="952"/>
      <c r="M6" s="952"/>
      <c r="N6" s="952"/>
      <c r="O6" s="952"/>
      <c r="P6" s="952"/>
      <c r="Q6" s="953"/>
      <c r="R6" s="949" t="s">
        <v>25</v>
      </c>
      <c r="S6" s="949" t="s">
        <v>26</v>
      </c>
      <c r="T6" s="917" t="s">
        <v>27</v>
      </c>
      <c r="U6" s="949" t="s">
        <v>25</v>
      </c>
      <c r="V6" s="954" t="s">
        <v>28</v>
      </c>
      <c r="W6" s="917" t="s">
        <v>29</v>
      </c>
      <c r="X6" s="949" t="s">
        <v>11</v>
      </c>
      <c r="Y6" s="954" t="s">
        <v>11</v>
      </c>
      <c r="Z6" s="956" t="s">
        <v>30</v>
      </c>
      <c r="AA6" s="945"/>
    </row>
    <row r="7" spans="1:28">
      <c r="A7" s="937"/>
      <c r="B7" s="940"/>
      <c r="C7" s="940"/>
      <c r="D7" s="940"/>
      <c r="E7" s="942"/>
      <c r="F7" s="948"/>
      <c r="G7" s="950"/>
      <c r="H7" s="940"/>
      <c r="I7" s="950"/>
      <c r="J7" s="958" t="s">
        <v>31</v>
      </c>
      <c r="K7" s="959"/>
      <c r="L7" s="959"/>
      <c r="M7" s="959"/>
      <c r="N7" s="959"/>
      <c r="O7" s="959"/>
      <c r="P7" s="959"/>
      <c r="Q7" s="960"/>
      <c r="R7" s="950"/>
      <c r="S7" s="950"/>
      <c r="T7" s="918"/>
      <c r="U7" s="950"/>
      <c r="V7" s="955"/>
      <c r="W7" s="920"/>
      <c r="X7" s="950"/>
      <c r="Y7" s="955"/>
      <c r="Z7" s="957"/>
      <c r="AA7" s="945"/>
    </row>
    <row r="8" spans="1:28" customHeight="1" ht="30">
      <c r="A8" s="937"/>
      <c r="B8" s="940"/>
      <c r="C8" s="940"/>
      <c r="D8" s="940"/>
      <c r="E8" s="942"/>
      <c r="F8" s="948"/>
      <c r="G8" s="716" t="s">
        <v>32</v>
      </c>
      <c r="H8" s="940"/>
      <c r="I8" s="717" t="s">
        <v>33</v>
      </c>
      <c r="J8" s="961" t="s">
        <v>30</v>
      </c>
      <c r="K8" s="962"/>
      <c r="L8" s="962"/>
      <c r="M8" s="962"/>
      <c r="N8" s="962"/>
      <c r="O8" s="962"/>
      <c r="P8" s="962"/>
      <c r="Q8" s="963"/>
      <c r="R8" s="950"/>
      <c r="S8" s="716" t="s">
        <v>34</v>
      </c>
      <c r="T8" s="918"/>
      <c r="U8" s="950"/>
      <c r="V8" s="718" t="s">
        <v>35</v>
      </c>
      <c r="W8" s="719" t="s">
        <v>36</v>
      </c>
      <c r="X8" s="950"/>
      <c r="Y8" s="720" t="s">
        <v>37</v>
      </c>
      <c r="Z8" s="721" t="s">
        <v>38</v>
      </c>
      <c r="AA8" s="945"/>
    </row>
    <row r="9" spans="1:28" customHeight="1" ht="52.5">
      <c r="A9" s="938"/>
      <c r="B9" s="941"/>
      <c r="C9" s="941"/>
      <c r="D9" s="941"/>
      <c r="E9" s="943"/>
      <c r="F9" s="722" t="s">
        <v>39</v>
      </c>
      <c r="G9" s="723" t="s">
        <v>40</v>
      </c>
      <c r="H9" s="941"/>
      <c r="I9" s="724" t="s">
        <v>41</v>
      </c>
      <c r="J9" s="900" t="s">
        <v>42</v>
      </c>
      <c r="K9" s="901"/>
      <c r="L9" s="901"/>
      <c r="M9" s="901"/>
      <c r="N9" s="901"/>
      <c r="O9" s="901"/>
      <c r="P9" s="901"/>
      <c r="Q9" s="902"/>
      <c r="R9" s="723" t="s">
        <v>43</v>
      </c>
      <c r="S9" s="723" t="s">
        <v>43</v>
      </c>
      <c r="T9" s="919"/>
      <c r="U9" s="723" t="s">
        <v>43</v>
      </c>
      <c r="V9" s="725" t="s">
        <v>44</v>
      </c>
      <c r="W9" s="726" t="s">
        <v>45</v>
      </c>
      <c r="X9" s="723" t="s">
        <v>46</v>
      </c>
      <c r="Y9" s="727" t="s">
        <v>46</v>
      </c>
      <c r="Z9" s="726" t="s">
        <v>47</v>
      </c>
      <c r="AA9" s="946"/>
    </row>
    <row r="10" spans="1:28" customHeight="1" ht="8.25">
      <c r="A10" s="713"/>
      <c r="B10" s="713"/>
      <c r="C10" s="713"/>
      <c r="D10" s="713"/>
      <c r="E10" s="713"/>
      <c r="F10" s="713"/>
      <c r="G10" s="713"/>
      <c r="H10" s="713"/>
      <c r="I10" s="713"/>
      <c r="J10" s="713"/>
      <c r="K10" s="713"/>
      <c r="L10" s="713"/>
      <c r="M10" s="713"/>
      <c r="N10" s="713"/>
      <c r="O10" s="713"/>
      <c r="P10" s="713"/>
      <c r="Q10" s="713"/>
      <c r="R10" s="713"/>
      <c r="S10" s="713"/>
      <c r="T10" s="713"/>
      <c r="U10" s="713"/>
      <c r="V10" s="713"/>
      <c r="W10" s="713"/>
      <c r="X10" s="713"/>
      <c r="Y10" s="713"/>
      <c r="Z10" s="713"/>
      <c r="AA10" s="713"/>
    </row>
    <row r="11" spans="1:28" customHeight="1" ht="34.5">
      <c r="A11" s="921"/>
      <c r="B11" s="924"/>
      <c r="C11" s="927"/>
      <c r="D11" s="930"/>
      <c r="E11" s="933" t="s">
        <v>48</v>
      </c>
      <c r="F11" s="856" t="s">
        <v>49</v>
      </c>
      <c r="G11" s="903"/>
      <c r="H11" s="906" t="s">
        <v>50</v>
      </c>
      <c r="I11" s="909"/>
      <c r="J11" s="850"/>
      <c r="K11" s="851"/>
      <c r="L11" s="851"/>
      <c r="M11" s="851"/>
      <c r="N11" s="851"/>
      <c r="O11" s="851"/>
      <c r="P11" s="851"/>
      <c r="Q11" s="852"/>
      <c r="R11" s="903"/>
      <c r="S11" s="372"/>
      <c r="T11" s="874" t="s">
        <v>51</v>
      </c>
      <c r="U11" s="903" t="s">
        <v>49</v>
      </c>
      <c r="V11" s="338"/>
      <c r="W11" s="734"/>
      <c r="X11" s="856"/>
      <c r="Y11" s="859"/>
      <c r="Z11" s="861"/>
      <c r="AA11" s="863"/>
    </row>
    <row r="12" spans="1:28" customHeight="1" ht="27">
      <c r="A12" s="922"/>
      <c r="B12" s="925"/>
      <c r="C12" s="928"/>
      <c r="D12" s="931"/>
      <c r="E12" s="934"/>
      <c r="F12" s="858"/>
      <c r="G12" s="869"/>
      <c r="H12" s="907"/>
      <c r="I12" s="910"/>
      <c r="J12" s="866"/>
      <c r="K12" s="867"/>
      <c r="L12" s="867"/>
      <c r="M12" s="867"/>
      <c r="N12" s="867"/>
      <c r="O12" s="867"/>
      <c r="P12" s="867"/>
      <c r="Q12" s="868"/>
      <c r="R12" s="869"/>
      <c r="S12" s="869"/>
      <c r="T12" s="875"/>
      <c r="U12" s="869"/>
      <c r="V12" s="870"/>
      <c r="W12" s="877"/>
      <c r="X12" s="857"/>
      <c r="Y12" s="860"/>
      <c r="Z12" s="862"/>
      <c r="AA12" s="864"/>
    </row>
    <row r="13" spans="1:28" customHeight="1" ht="27.75">
      <c r="A13" s="922"/>
      <c r="B13" s="925"/>
      <c r="C13" s="928"/>
      <c r="D13" s="931"/>
      <c r="E13" s="934"/>
      <c r="F13" s="869"/>
      <c r="G13" s="373"/>
      <c r="H13" s="907"/>
      <c r="I13" s="853"/>
      <c r="J13" s="871" t="str">
        <f>IF(E11="Hinged",IF(J12="N/A",1,IF(OR(J12="Tier on tier (L)",J12="Tier on Tier (R)"),2,IF(J12="Tier on Tier (LR)",4,LEN(J12)))),IF(E11="Bi-fold",SUM(J11:Q11),IF(J12="Other","Advise in special notes",LEFT(J12,1))))</f>
        <v>0</v>
      </c>
      <c r="K13" s="872"/>
      <c r="L13" s="872"/>
      <c r="M13" s="872"/>
      <c r="N13" s="872"/>
      <c r="O13" s="872"/>
      <c r="P13" s="872"/>
      <c r="Q13" s="873"/>
      <c r="R13" s="869"/>
      <c r="S13" s="869"/>
      <c r="T13" s="875"/>
      <c r="U13" s="869"/>
      <c r="V13" s="870"/>
      <c r="W13" s="862"/>
      <c r="X13" s="858"/>
      <c r="Y13" s="340"/>
      <c r="Z13" s="339"/>
      <c r="AA13" s="864"/>
    </row>
    <row r="14" spans="1:28" customHeight="1" ht="28.5">
      <c r="A14" s="923"/>
      <c r="B14" s="926"/>
      <c r="C14" s="929"/>
      <c r="D14" s="932"/>
      <c r="E14" s="935"/>
      <c r="F14" s="911"/>
      <c r="G14" s="341"/>
      <c r="H14" s="908"/>
      <c r="I14" s="854"/>
      <c r="J14" s="912"/>
      <c r="K14" s="913"/>
      <c r="L14" s="913"/>
      <c r="M14" s="913"/>
      <c r="N14" s="913"/>
      <c r="O14" s="913"/>
      <c r="P14" s="913"/>
      <c r="Q14" s="914"/>
      <c r="R14" s="374"/>
      <c r="S14" s="374"/>
      <c r="T14" s="876"/>
      <c r="U14" s="374"/>
      <c r="V14" s="855"/>
      <c r="W14" s="450"/>
      <c r="X14" s="341"/>
      <c r="Y14" s="343"/>
      <c r="Z14" s="342"/>
      <c r="AA14" s="865"/>
    </row>
    <row r="16" spans="1:28">
      <c r="B16" s="728" t="s">
        <v>0</v>
      </c>
      <c r="D16" s="703"/>
      <c r="F16" s="729" t="str">
        <f>IF(F2="AMERICAN Shutters","AS",F2)</f>
        <v>0</v>
      </c>
      <c r="G16" s="730"/>
      <c r="H16" s="731"/>
    </row>
    <row r="17" spans="1:28">
      <c r="B17" s="704" t="s">
        <v>52</v>
      </c>
      <c r="D17" s="703"/>
      <c r="F17" s="729" t="str">
        <f>F3</f>
        <v>0</v>
      </c>
      <c r="G17" s="730"/>
      <c r="H17" s="731"/>
    </row>
    <row r="18" spans="1:28">
      <c r="B18" s="704" t="s">
        <v>1</v>
      </c>
      <c r="D18" s="703"/>
      <c r="F18" s="729" t="str">
        <f>J2</f>
        <v>0</v>
      </c>
      <c r="G18" s="730"/>
      <c r="H18" s="731"/>
    </row>
    <row r="19" spans="1:28">
      <c r="B19" s="704" t="s">
        <v>5</v>
      </c>
      <c r="D19" s="703"/>
      <c r="F19" s="729" t="str">
        <f>J3</f>
        <v>0</v>
      </c>
      <c r="G19" s="730"/>
      <c r="H19" s="731"/>
    </row>
    <row r="20" spans="1:28">
      <c r="B20" s="704" t="s">
        <v>53</v>
      </c>
      <c r="D20" s="703"/>
      <c r="F20" s="729" t="str">
        <f>A11</f>
        <v>0</v>
      </c>
      <c r="G20" s="730"/>
      <c r="H20" s="731"/>
    </row>
    <row r="21" spans="1:28">
      <c r="B21" s="704" t="s">
        <v>54</v>
      </c>
      <c r="D21" s="703"/>
      <c r="F21" s="729" t="str">
        <f>B11</f>
        <v>0</v>
      </c>
      <c r="G21" s="730"/>
      <c r="H21" s="731"/>
    </row>
    <row r="22" spans="1:28">
      <c r="B22" s="704" t="s">
        <v>9</v>
      </c>
      <c r="D22" s="703"/>
      <c r="F22" s="729" t="str">
        <f>C11</f>
        <v>0</v>
      </c>
      <c r="G22" s="730"/>
      <c r="H22" s="731"/>
    </row>
    <row r="23" spans="1:28">
      <c r="B23" s="704" t="s">
        <v>10</v>
      </c>
      <c r="D23" s="703"/>
      <c r="F23" s="729" t="str">
        <f>D11</f>
        <v>0</v>
      </c>
      <c r="G23" s="730"/>
      <c r="H23" s="731"/>
    </row>
    <row r="24" spans="1:28">
      <c r="B24" s="704" t="s">
        <v>55</v>
      </c>
      <c r="D24" s="703"/>
      <c r="F24" s="729" t="str">
        <f>U2</f>
        <v>0</v>
      </c>
      <c r="G24" s="730"/>
      <c r="H24" s="731"/>
    </row>
    <row r="25" spans="1:28" customHeight="1" ht="3.75">
      <c r="B25" s="704"/>
      <c r="D25" s="703"/>
      <c r="F25" s="732"/>
      <c r="G25" s="733"/>
      <c r="H25" s="733"/>
    </row>
    <row r="26" spans="1:28">
      <c r="B26" s="704" t="s">
        <v>56</v>
      </c>
      <c r="D26" s="703"/>
      <c r="F26" s="729" t="str">
        <f>F11</f>
        <v>0</v>
      </c>
      <c r="G26" s="730"/>
      <c r="H26" s="731"/>
    </row>
    <row r="27" spans="1:28">
      <c r="B27" s="704" t="s">
        <v>57</v>
      </c>
      <c r="D27" s="703"/>
      <c r="F27" s="729" t="str">
        <f>F13</f>
        <v>0</v>
      </c>
      <c r="G27" s="730"/>
      <c r="H27" s="731"/>
    </row>
    <row r="28" spans="1:28" customHeight="1" ht="3.75">
      <c r="B28" s="704"/>
      <c r="D28" s="703"/>
      <c r="F28" s="732"/>
      <c r="G28" s="733"/>
      <c r="H28" s="733"/>
    </row>
    <row r="29" spans="1:28">
      <c r="B29" s="704" t="s">
        <v>58</v>
      </c>
      <c r="D29" s="703"/>
      <c r="F29" s="729" t="str">
        <f>G11</f>
        <v>0</v>
      </c>
      <c r="G29" s="730"/>
      <c r="H29" s="731"/>
    </row>
    <row r="30" spans="1:28">
      <c r="B30" s="704" t="s">
        <v>59</v>
      </c>
      <c r="D30" s="703"/>
      <c r="F30" s="729" t="str">
        <f>G13</f>
        <v>0</v>
      </c>
      <c r="G30" s="730"/>
      <c r="H30" s="731"/>
    </row>
    <row r="31" spans="1:28" customHeight="1" ht="3.75">
      <c r="B31" s="704"/>
      <c r="D31" s="703"/>
      <c r="F31" s="732"/>
      <c r="G31" s="733"/>
      <c r="H31" s="733"/>
    </row>
    <row r="32" spans="1:28">
      <c r="B32" s="704" t="s">
        <v>14</v>
      </c>
      <c r="D32" s="703"/>
      <c r="F32" s="729" t="str">
        <f>H11</f>
        <v>0</v>
      </c>
      <c r="G32" s="730"/>
      <c r="H32" s="731"/>
    </row>
    <row r="33" spans="1:28" customHeight="1" ht="3.75">
      <c r="B33" s="704"/>
      <c r="D33" s="703"/>
      <c r="F33" s="732"/>
      <c r="G33" s="733"/>
      <c r="H33" s="733"/>
    </row>
    <row r="34" spans="1:28">
      <c r="B34" s="704" t="s">
        <v>60</v>
      </c>
      <c r="D34" s="703"/>
      <c r="F34" s="729" t="str">
        <f>I11</f>
        <v>0</v>
      </c>
      <c r="G34" s="730"/>
      <c r="H34" s="731"/>
    </row>
    <row r="35" spans="1:28">
      <c r="B35" s="704" t="s">
        <v>61</v>
      </c>
      <c r="D35" s="703"/>
      <c r="F35" s="729" t="str">
        <f>I13</f>
        <v>0</v>
      </c>
      <c r="G35" s="730"/>
      <c r="H35" s="731"/>
    </row>
    <row r="36" spans="1:28">
      <c r="B36" s="704" t="s">
        <v>62</v>
      </c>
      <c r="D36" s="703"/>
      <c r="F36" s="729" t="str">
        <f>I14</f>
        <v>0</v>
      </c>
      <c r="G36" s="730"/>
      <c r="H36" s="731"/>
    </row>
    <row r="37" spans="1:28" customHeight="1" ht="3.75">
      <c r="B37" s="704"/>
      <c r="D37" s="703"/>
      <c r="F37" s="732"/>
      <c r="G37" s="733"/>
      <c r="H37" s="733"/>
    </row>
    <row r="38" spans="1:28">
      <c r="B38" s="704" t="s">
        <v>63</v>
      </c>
      <c r="D38" s="703"/>
      <c r="F38" s="729" t="str">
        <f>J12</f>
        <v>0</v>
      </c>
      <c r="G38" s="730"/>
      <c r="H38" s="731"/>
    </row>
    <row r="39" spans="1:28">
      <c r="B39" s="704" t="s">
        <v>64</v>
      </c>
      <c r="D39" s="703"/>
      <c r="F39" s="729" t="str">
        <f>J13</f>
        <v>0</v>
      </c>
      <c r="G39" s="730"/>
      <c r="H39" s="731"/>
    </row>
    <row r="40" spans="1:28" customHeight="1" ht="3.75">
      <c r="B40" s="704"/>
      <c r="D40" s="703"/>
      <c r="F40" s="732"/>
      <c r="G40" s="733"/>
      <c r="H40" s="733"/>
    </row>
    <row r="41" spans="1:28">
      <c r="B41" s="704" t="s">
        <v>65</v>
      </c>
      <c r="D41" s="703"/>
      <c r="F41" s="729" t="str">
        <f>R11</f>
        <v>0</v>
      </c>
      <c r="G41" s="730"/>
      <c r="H41" s="731"/>
    </row>
    <row r="42" spans="1:28">
      <c r="B42" s="704" t="s">
        <v>66</v>
      </c>
      <c r="D42" s="703"/>
      <c r="F42" s="729" t="str">
        <f>R14</f>
        <v>0</v>
      </c>
      <c r="G42" s="730"/>
      <c r="H42" s="731"/>
    </row>
    <row r="43" spans="1:28" customHeight="1" ht="3.75">
      <c r="B43" s="704"/>
      <c r="D43" s="703"/>
      <c r="F43" s="732"/>
      <c r="G43" s="733"/>
      <c r="H43" s="733"/>
    </row>
    <row r="44" spans="1:28">
      <c r="B44" s="704" t="s">
        <v>67</v>
      </c>
      <c r="D44" s="703"/>
      <c r="F44" s="729" t="str">
        <f>S11</f>
        <v>0</v>
      </c>
      <c r="G44" s="730"/>
      <c r="H44" s="731"/>
    </row>
    <row r="45" spans="1:28">
      <c r="B45" s="704" t="s">
        <v>68</v>
      </c>
      <c r="D45" s="703"/>
      <c r="F45" s="729" t="str">
        <f>S12</f>
        <v>0</v>
      </c>
      <c r="G45" s="730"/>
      <c r="H45" s="731"/>
    </row>
    <row r="46" spans="1:28">
      <c r="B46" s="704" t="s">
        <v>69</v>
      </c>
      <c r="D46" s="703"/>
      <c r="F46" s="729" t="str">
        <f>S14</f>
        <v>0</v>
      </c>
      <c r="G46" s="730"/>
      <c r="H46" s="731"/>
    </row>
    <row r="47" spans="1:28">
      <c r="B47" s="704" t="s">
        <v>27</v>
      </c>
      <c r="D47" s="703"/>
      <c r="F47" s="729" t="str">
        <f>T11</f>
        <v>0</v>
      </c>
      <c r="G47" s="730"/>
      <c r="H47" s="731"/>
    </row>
    <row r="48" spans="1:28" customHeight="1" ht="3.75">
      <c r="B48" s="704"/>
      <c r="D48" s="703"/>
      <c r="F48" s="732"/>
      <c r="G48" s="733"/>
      <c r="H48" s="733"/>
    </row>
    <row r="49" spans="1:28">
      <c r="B49" s="704" t="s">
        <v>70</v>
      </c>
      <c r="D49" s="703"/>
      <c r="F49" s="729" t="str">
        <f>U11</f>
        <v>0</v>
      </c>
      <c r="G49" s="730"/>
      <c r="H49" s="731"/>
    </row>
    <row r="50" spans="1:28">
      <c r="B50" s="704" t="s">
        <v>71</v>
      </c>
      <c r="D50" s="703"/>
      <c r="F50" s="729" t="str">
        <f>U14</f>
        <v>0</v>
      </c>
      <c r="G50" s="730"/>
      <c r="H50" s="731"/>
    </row>
    <row r="51" spans="1:28" customHeight="1" ht="6">
      <c r="D51" s="703"/>
      <c r="F51" s="732"/>
      <c r="G51" s="733"/>
      <c r="H51" s="733"/>
    </row>
    <row r="52" spans="1:28">
      <c r="B52" s="704" t="s">
        <v>23</v>
      </c>
      <c r="D52" s="703"/>
      <c r="F52" s="904" t="str">
        <f>AA11</f>
        <v>0</v>
      </c>
      <c r="G52" s="904"/>
      <c r="H52" s="904"/>
    </row>
    <row r="53" spans="1:28">
      <c r="C53" s="704"/>
      <c r="D53" s="703"/>
      <c r="F53" s="905"/>
      <c r="G53" s="905"/>
      <c r="H53" s="905"/>
    </row>
    <row r="54" spans="1:28">
      <c r="C54" s="704"/>
      <c r="D54" s="703"/>
      <c r="F54" s="905"/>
      <c r="G54" s="905"/>
      <c r="H54" s="90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5:Z5"/>
    <mergeCell ref="AA5:AA9"/>
    <mergeCell ref="F6:F8"/>
    <mergeCell ref="G6:G7"/>
    <mergeCell ref="I6:I7"/>
    <mergeCell ref="J6:Q6"/>
    <mergeCell ref="R6:R8"/>
    <mergeCell ref="S6:S7"/>
    <mergeCell ref="U6:U8"/>
    <mergeCell ref="V6:V7"/>
    <mergeCell ref="X6:X8"/>
    <mergeCell ref="Y6:Y7"/>
    <mergeCell ref="Z6:Z7"/>
    <mergeCell ref="J7:Q7"/>
    <mergeCell ref="J8:Q8"/>
    <mergeCell ref="H5:H9"/>
    <mergeCell ref="A5:A9"/>
    <mergeCell ref="B5:B9"/>
    <mergeCell ref="C5:C9"/>
    <mergeCell ref="D5:D9"/>
    <mergeCell ref="E5:E9"/>
    <mergeCell ref="A11:A14"/>
    <mergeCell ref="B11:B14"/>
    <mergeCell ref="C11:C14"/>
    <mergeCell ref="D11:D14"/>
    <mergeCell ref="E11:E14"/>
    <mergeCell ref="J5:Q5"/>
    <mergeCell ref="V5:W5"/>
    <mergeCell ref="J9:Q9"/>
    <mergeCell ref="U11:U13"/>
    <mergeCell ref="F52:H54"/>
    <mergeCell ref="F11:F12"/>
    <mergeCell ref="G11:G12"/>
    <mergeCell ref="H11:H14"/>
    <mergeCell ref="I11:I12"/>
    <mergeCell ref="R11:R13"/>
    <mergeCell ref="F13:F14"/>
    <mergeCell ref="J14:Q14"/>
    <mergeCell ref="S5:T5"/>
    <mergeCell ref="T6:T9"/>
    <mergeCell ref="W6:W7"/>
    <mergeCell ref="Y2:AA2"/>
    <mergeCell ref="F2:G2"/>
    <mergeCell ref="J2:R2"/>
    <mergeCell ref="U2:V3"/>
    <mergeCell ref="F3:G3"/>
    <mergeCell ref="J3:R3"/>
    <mergeCell ref="S2:T3"/>
    <mergeCell ref="X11:X13"/>
    <mergeCell ref="Y11:Y12"/>
    <mergeCell ref="Z11:Z12"/>
    <mergeCell ref="AA11:AA14"/>
    <mergeCell ref="J12:Q12"/>
    <mergeCell ref="S12:S13"/>
    <mergeCell ref="V12:V13"/>
    <mergeCell ref="J13:Q13"/>
    <mergeCell ref="T11:T14"/>
    <mergeCell ref="W12:W13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R14">
    <cfRule type="expression" dxfId="1" priority="3">
      <formula>IFERROR(SEARCH("custom",G11),999)&gt;100</formula>
    </cfRule>
  </conditionalFormatting>
  <conditionalFormatting sqref="U14">
    <cfRule type="expression" dxfId="1" priority="4">
      <formula>IFERROR(SEARCH("custom",G11),999)&gt;100</formula>
    </cfRule>
  </conditionalFormatting>
  <conditionalFormatting sqref="J11">
    <cfRule type="expression" dxfId="2" priority="5">
      <formula>OR($E11="Hinged",$E11="By-Pass")</formula>
    </cfRule>
  </conditionalFormatting>
  <conditionalFormatting sqref="K11">
    <cfRule type="expression" dxfId="2" priority="6">
      <formula>OR($E11="Hinged",$E11="By-Pass")</formula>
    </cfRule>
  </conditionalFormatting>
  <conditionalFormatting sqref="L11">
    <cfRule type="expression" dxfId="2" priority="7">
      <formula>OR($E11="Hinged",$E11="By-Pass")</formula>
    </cfRule>
  </conditionalFormatting>
  <conditionalFormatting sqref="M11">
    <cfRule type="expression" dxfId="2" priority="8">
      <formula>OR($E11="Hinged",$E11="By-Pass")</formula>
    </cfRule>
  </conditionalFormatting>
  <conditionalFormatting sqref="N11">
    <cfRule type="expression" dxfId="2" priority="9">
      <formula>OR($E11="Hinged",$E11="By-Pass")</formula>
    </cfRule>
  </conditionalFormatting>
  <conditionalFormatting sqref="O11">
    <cfRule type="expression" dxfId="2" priority="10">
      <formula>OR($E11="Hinged",$E11="By-Pass")</formula>
    </cfRule>
  </conditionalFormatting>
  <conditionalFormatting sqref="P11">
    <cfRule type="expression" dxfId="2" priority="11">
      <formula>OR($E11="Hinged",$E11="By-Pass")</formula>
    </cfRule>
  </conditionalFormatting>
  <conditionalFormatting sqref="Q11">
    <cfRule type="expression" dxfId="2" priority="12">
      <formula>OR($E11="Hinged",$E11="By-Pass")</formula>
    </cfRule>
  </conditionalFormatting>
  <conditionalFormatting sqref="J12">
    <cfRule type="expression" dxfId="3" priority="13">
      <formula>NOT(OR($E11="Hinged",$E11="By-Pass"))</formula>
    </cfRule>
  </conditionalFormatting>
  <conditionalFormatting sqref="J14">
    <cfRule type="expression" dxfId="2" priority="14">
      <formula>OR($E11="Hinged",$E11="By-Pass")</formula>
    </cfRule>
  </conditionalFormatting>
  <conditionalFormatting sqref="S14">
    <cfRule type="expression" dxfId="4" priority="15">
      <formula>IFERROR(SEARCH("custom",S12),999)&gt;100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W11">
    <cfRule type="expression" dxfId="5" priority="24">
      <formula>$E11="Hinged"</formula>
    </cfRule>
  </conditionalFormatting>
  <conditionalFormatting sqref="W14">
    <cfRule type="expression" dxfId="5" priority="25">
      <formula>$E11="Hinged"</formula>
    </cfRule>
  </conditionalFormatting>
  <conditionalFormatting sqref="Z14">
    <cfRule type="expression" dxfId="8" priority="26">
      <formula>Z13="N/A"</formula>
    </cfRule>
  </conditionalFormatting>
  <conditionalFormatting sqref="Z14">
    <cfRule type="expression" dxfId="9" priority="27">
      <formula>Y11="N/A"</formula>
    </cfRule>
  </conditionalFormatting>
  <conditionalFormatting sqref="Z14">
    <cfRule type="expression" dxfId="5" priority="28">
      <formula>$E11="Hinged"</formula>
    </cfRule>
  </conditionalFormatting>
  <conditionalFormatting sqref="X11">
    <cfRule type="expression" dxfId="5" priority="29">
      <formula>$E11="Hinged"</formula>
    </cfRule>
  </conditionalFormatting>
  <conditionalFormatting sqref="X12">
    <cfRule type="expression" dxfId="5" priority="30">
      <formula>$E11="Hinged"</formula>
    </cfRule>
  </conditionalFormatting>
  <conditionalFormatting sqref="X13">
    <cfRule type="expression" dxfId="5" priority="31">
      <formula>$E11="Hinged"</formula>
    </cfRule>
  </conditionalFormatting>
  <conditionalFormatting sqref="Y11">
    <cfRule type="expression" dxfId="5" priority="32">
      <formula>$E11="Hinged"</formula>
    </cfRule>
  </conditionalFormatting>
  <conditionalFormatting sqref="Y12">
    <cfRule type="expression" dxfId="5" priority="33">
      <formula>$E11="Hinged"</formula>
    </cfRule>
  </conditionalFormatting>
  <conditionalFormatting sqref="Y13">
    <cfRule type="expression" dxfId="9" priority="34">
      <formula>Y11="N/A"</formula>
    </cfRule>
  </conditionalFormatting>
  <conditionalFormatting sqref="Y13">
    <cfRule type="expression" dxfId="5" priority="35">
      <formula>$E11="Hinged"</formula>
    </cfRule>
  </conditionalFormatting>
  <conditionalFormatting sqref="Z11">
    <cfRule type="expression" dxfId="9" priority="36">
      <formula>Y11="N/A"</formula>
    </cfRule>
  </conditionalFormatting>
  <conditionalFormatting sqref="Z11">
    <cfRule type="expression" dxfId="5" priority="37">
      <formula>$E11="Hinged"</formula>
    </cfRule>
  </conditionalFormatting>
  <conditionalFormatting sqref="Z12">
    <cfRule type="expression" dxfId="9" priority="38">
      <formula>Y11="N/A"</formula>
    </cfRule>
  </conditionalFormatting>
  <conditionalFormatting sqref="Z12">
    <cfRule type="expression" dxfId="5" priority="39">
      <formula>$E11="Hinged"</formula>
    </cfRule>
  </conditionalFormatting>
  <conditionalFormatting sqref="Z13">
    <cfRule type="expression" dxfId="9" priority="40">
      <formula>Y11="N/A"</formula>
    </cfRule>
  </conditionalFormatting>
  <conditionalFormatting sqref="Z13">
    <cfRule type="expression" dxfId="5" priority="41">
      <formula>$E11="Hinged"</formula>
    </cfRule>
  </conditionalFormatting>
  <conditionalFormatting sqref="W12">
    <cfRule type="expression" dxfId="5" priority="42">
      <formula>$E11="Hinged"</formula>
    </cfRule>
  </conditionalFormatting>
  <conditionalFormatting sqref="F13">
    <cfRule type="expression" dxfId="10" priority="43">
      <formula>F11="N/A"</formula>
    </cfRule>
  </conditionalFormatting>
  <conditionalFormatting sqref="F14">
    <cfRule type="expression" dxfId="10" priority="44">
      <formula>F11="N/A"</formula>
    </cfRule>
  </conditionalFormatting>
  <dataValidations count="66">
    <dataValidation type="list" allowBlank="1" showDropDown="0" showInputMessage="1" showErrorMessage="1" sqref="H11">
      <formula1>IF(G11="Z Frame",Mount_Inside,Mount)</formula1>
    </dataValidation>
    <dataValidation type="list" allowBlank="1" showDropDown="0" showInputMessage="1" showErrorMessage="1" sqref="H12">
      <formula1>IF(G11="Z Frame",Mount_Inside,Mount)</formula1>
    </dataValidation>
    <dataValidation type="list" allowBlank="1" showDropDown="0" showInputMessage="1" showErrorMessage="1" sqref="H13">
      <formula1>IF(G11="Z Frame",Mount_Inside,Mount)</formula1>
    </dataValidation>
    <dataValidation type="list" allowBlank="1" showDropDown="0" showInputMessage="1" showErrorMessage="1" sqref="H14">
      <formula1>IF(G11="Z Frame",Mount_Inside,Mount)</formula1>
    </dataValidation>
    <dataValidation type="list" allowBlank="1" showDropDown="0" showInputMessage="1" showErrorMessage="1" sqref="W12">
      <formula1>IF(E11="Hinged",Empty,Top_Track)</formula1>
    </dataValidation>
    <dataValidation type="list" allowBlank="1" showDropDown="0" showInputMessage="1" showErrorMessage="1" sqref="W13">
      <formula1>IF(E11="Hinged",Empty,Top_Track)</formula1>
    </dataValidation>
    <dataValidation type="list" allowBlank="1" showDropDown="0" showInputMessage="1" showErrorMessage="1" sqref="T11">
      <formula1>Pull_Handle</formula1>
    </dataValidation>
    <dataValidation type="list" allowBlank="1" showDropDown="0" showInputMessage="1" showErrorMessage="1" sqref="T12">
      <formula1>Pull_Handle</formula1>
    </dataValidation>
    <dataValidation type="list" allowBlank="1" showDropDown="0" showInputMessage="1" showErrorMessage="1" sqref="T13">
      <formula1>Pull_Handle</formula1>
    </dataValidation>
    <dataValidation type="list" allowBlank="1" showDropDown="0" showInputMessage="1" showErrorMessage="1" sqref="T14">
      <formula1>Pull_Handle</formula1>
    </dataValidation>
    <dataValidation type="list" allowBlank="1" showDropDown="0" showInputMessage="1" showErrorMessage="1" sqref="D11">
      <formula1>Int_Ext</formula1>
    </dataValidation>
    <dataValidation type="list" allowBlank="1" showDropDown="0" showInputMessage="1" showErrorMessage="1" sqref="D12">
      <formula1>Int_Ext</formula1>
    </dataValidation>
    <dataValidation type="list" allowBlank="1" showDropDown="0" showInputMessage="1" showErrorMessage="1" sqref="D13">
      <formula1>Int_Ext</formula1>
    </dataValidation>
    <dataValidation type="list" allowBlank="1" showDropDown="0" showInputMessage="1" showErrorMessage="1" sqref="D14">
      <formula1>Int_Ext</formula1>
    </dataValidation>
    <dataValidation type="list" allowBlank="1" showDropDown="0" showInputMessage="1" showErrorMessage="1" sqref="I11">
      <formula1>Size</formula1>
    </dataValidation>
    <dataValidation type="list" allowBlank="1" showDropDown="0" showInputMessage="1" showErrorMessage="1" sqref="F11">
      <formula1>Match</formula1>
    </dataValidation>
    <dataValidation type="list" allowBlank="1" showDropDown="0" showInputMessage="1" showErrorMessage="1" sqref="F12">
      <formula1>Match</formula1>
    </dataValidation>
    <dataValidation type="list" allowBlank="1" showDropDown="0" showInputMessage="1" showErrorMessage="1" sqref="E11">
      <formula1>Type</formula1>
    </dataValidation>
    <dataValidation type="list" allowBlank="1" showDropDown="0" showInputMessage="1" showErrorMessage="1" sqref="U11">
      <formula1>Split</formula1>
    </dataValidation>
    <dataValidation type="list" allowBlank="1" showDropDown="0" showInputMessage="1" showErrorMessage="1" sqref="U12">
      <formula1>Split</formula1>
    </dataValidation>
    <dataValidation type="list" allowBlank="1" showDropDown="0" showInputMessage="1" showErrorMessage="1" sqref="U13">
      <formula1>Split</formula1>
    </dataValidation>
    <dataValidation type="list" allowBlank="1" showDropDown="0" showInputMessage="1" showErrorMessage="1" sqref="S11">
      <formula1>Lock_Type</formula1>
    </dataValidation>
    <dataValidation type="list" allowBlank="1" showDropDown="0" showInputMessage="1" showErrorMessage="1" sqref="R11">
      <formula1>Div_Rail</formula1>
    </dataValidation>
    <dataValidation type="list" allowBlank="1" showDropDown="0" showInputMessage="1" showErrorMessage="1" sqref="R12">
      <formula1>Div_Rail</formula1>
    </dataValidation>
    <dataValidation type="list" allowBlank="1" showDropDown="0" showInputMessage="1" showErrorMessage="1" sqref="R13">
      <formula1>Div_Rail</formula1>
    </dataValidation>
    <dataValidation type="list" allowBlank="1" showDropDown="0" showInputMessage="1" showErrorMessage="1" sqref="Q11">
      <formula1>BF_Config</formula1>
    </dataValidation>
    <dataValidation type="list" allowBlank="1" showDropDown="0" showInputMessage="1" showErrorMessage="1" sqref="K11">
      <formula1>BF_Config</formula1>
    </dataValidation>
    <dataValidation type="list" allowBlank="1" showDropDown="0" showInputMessage="1" showErrorMessage="1" sqref="M11">
      <formula1>BF_Config</formula1>
    </dataValidation>
    <dataValidation type="list" allowBlank="1" showDropDown="0" showInputMessage="1" showErrorMessage="1" sqref="O11">
      <formula1>BF_Config</formula1>
    </dataValidation>
    <dataValidation type="list" allowBlank="1" showDropDown="0" showInputMessage="1" showErrorMessage="1" sqref="P11">
      <formula1>BF_PanelQty</formula1>
    </dataValidation>
    <dataValidation type="list" allowBlank="1" showDropDown="0" showInputMessage="1" showErrorMessage="1" sqref="J11">
      <formula1>BF_PanelQty</formula1>
    </dataValidation>
    <dataValidation type="list" allowBlank="1" showDropDown="0" showInputMessage="1" showErrorMessage="1" sqref="L11">
      <formula1>BF_PanelQty</formula1>
    </dataValidation>
    <dataValidation type="list" allowBlank="1" showDropDown="0" showInputMessage="1" showErrorMessage="1" sqref="N11">
      <formula1>BF_PanelQty</formula1>
    </dataValidation>
    <dataValidation type="list" allowBlank="1" showDropDown="0" showInputMessage="1" showErrorMessage="1" sqref="W14">
      <formula1>Yes_No</formula1>
    </dataValidation>
    <dataValidation type="list" allowBlank="1" showDropDown="0" showInputMessage="1" showErrorMessage="1" sqref="Y2">
      <formula1>Yes_No</formula1>
    </dataValidation>
    <dataValidation type="list" allowBlank="1" showDropDown="0" showInputMessage="1" showErrorMessage="1" sqref="J12">
      <formula1>IF(E11="Hinged",Configuration,IF(E11="By-Pass",BP_Config,Empty))</formula1>
    </dataValidation>
    <dataValidation type="list" allowBlank="1" showDropDown="0" showInputMessage="1" showErrorMessage="1" sqref="K12">
      <formula1>IF(E11="Hinged",Configuration,IF(E11="By-Pass",BP_Config,Empty))</formula1>
    </dataValidation>
    <dataValidation type="list" allowBlank="1" showDropDown="0" showInputMessage="1" showErrorMessage="1" sqref="L12">
      <formula1>IF(E11="Hinged",Configuration,IF(E11="By-Pass",BP_Config,Empty))</formula1>
    </dataValidation>
    <dataValidation type="list" allowBlank="1" showDropDown="0" showInputMessage="1" showErrorMessage="1" sqref="M12">
      <formula1>IF(E11="Hinged",Configuration,IF(E11="By-Pass",BP_Config,Empty))</formula1>
    </dataValidation>
    <dataValidation type="list" allowBlank="1" showDropDown="0" showInputMessage="1" showErrorMessage="1" sqref="N12">
      <formula1>IF(E11="Hinged",Configuration,IF(E11="By-Pass",BP_Config,Empty))</formula1>
    </dataValidation>
    <dataValidation type="list" allowBlank="1" showDropDown="0" showInputMessage="1" showErrorMessage="1" sqref="O12">
      <formula1>IF(E11="Hinged",Configuration,IF(E11="By-Pass",BP_Config,Empty))</formula1>
    </dataValidation>
    <dataValidation type="list" allowBlank="1" showDropDown="0" showInputMessage="1" showErrorMessage="1" sqref="P12">
      <formula1>IF(E11="Hinged",Configuration,IF(E11="By-Pass",BP_Config,Empty))</formula1>
    </dataValidation>
    <dataValidation type="list" allowBlank="1" showDropDown="0" showInputMessage="1" showErrorMessage="1" sqref="Q12">
      <formula1>IF(E11="Hinged",Configuration,IF(E11="By-Pass",BP_Config,Empty))</formula1>
    </dataValidation>
    <dataValidation type="list" allowBlank="1" showDropDown="0" showInputMessage="1" showErrorMessage="1" sqref="Y11">
      <formula1>IF(E11="Hinged",Empty,Pelmet)</formula1>
    </dataValidation>
    <dataValidation type="list" allowBlank="1" showDropDown="0" showInputMessage="1" showErrorMessage="1" sqref="Y12">
      <formula1>IF(E11="Hinged",Empty,Pelmet)</formula1>
    </dataValidation>
    <dataValidation type="list" allowBlank="1" showDropDown="0" showInputMessage="1" showErrorMessage="1" sqref="X11">
      <formula1>IF(E11="Hinged",Empty,Header)</formula1>
    </dataValidation>
    <dataValidation type="list" allowBlank="1" showDropDown="0" showInputMessage="1" showErrorMessage="1" sqref="X12">
      <formula1>IF(E11="Hinged",Empty,Header)</formula1>
    </dataValidation>
    <dataValidation type="list" allowBlank="1" showDropDown="0" showInputMessage="1" showErrorMessage="1" sqref="X13">
      <formula1>IF(E11="Hinged",Empty,Header)</formula1>
    </dataValidation>
    <dataValidation type="list" allowBlank="1" showDropDown="0" showInputMessage="1" showErrorMessage="1" sqref="V12">
      <formula1>IF(E11="Hinged",Empty,Track_Colour)</formula1>
    </dataValidation>
    <dataValidation type="list" allowBlank="1" showDropDown="0" showInputMessage="1" showErrorMessage="1" sqref="V13">
      <formula1>IF(E11="Hinged",Empty,Track_Colour)</formula1>
    </dataValidation>
    <dataValidation type="list" allowBlank="1" showDropDown="0" showInputMessage="1" showErrorMessage="1" sqref="V11">
      <formula1>IF(E11="Hinged",Empty,Bottom_Track)</formula1>
    </dataValidation>
    <dataValidation type="list" allowBlank="1" showDropDown="0" showInputMessage="1" showErrorMessage="1" sqref="S12">
      <formula1>IF(E11="Hinged",Lock_hinged,Lock)</formula1>
    </dataValidation>
    <dataValidation type="list" allowBlank="1" showDropDown="0" showInputMessage="1" showErrorMessage="1" sqref="S13">
      <formula1>IF(E11="Hinged",Lock_hinged,Lock)</formula1>
    </dataValidation>
    <dataValidation type="list" allowBlank="1" showDropDown="0" showInputMessage="1" showErrorMessage="1" sqref="J14">
      <formula1>IF(E11="Bi-Fold",Fold,NA)</formula1>
    </dataValidation>
    <dataValidation type="list" allowBlank="1" showDropDown="0" showInputMessage="1" showErrorMessage="1" sqref="K14">
      <formula1>IF(E11="Bi-Fold",Fold,NA)</formula1>
    </dataValidation>
    <dataValidation type="list" allowBlank="1" showDropDown="0" showInputMessage="1" showErrorMessage="1" sqref="L14">
      <formula1>IF(E11="Bi-Fold",Fold,NA)</formula1>
    </dataValidation>
    <dataValidation type="list" allowBlank="1" showDropDown="0" showInputMessage="1" showErrorMessage="1" sqref="M14">
      <formula1>IF(E11="Bi-Fold",Fold,NA)</formula1>
    </dataValidation>
    <dataValidation type="list" allowBlank="1" showDropDown="0" showInputMessage="1" showErrorMessage="1" sqref="N14">
      <formula1>IF(E11="Bi-Fold",Fold,NA)</formula1>
    </dataValidation>
    <dataValidation type="list" allowBlank="1" showDropDown="0" showInputMessage="1" showErrorMessage="1" sqref="O14">
      <formula1>IF(E11="Bi-Fold",Fold,NA)</formula1>
    </dataValidation>
    <dataValidation type="list" allowBlank="1" showDropDown="0" showInputMessage="1" showErrorMessage="1" sqref="P14">
      <formula1>IF(E11="Bi-Fold",Fold,NA)</formula1>
    </dataValidation>
    <dataValidation type="list" allowBlank="1" showDropDown="0" showInputMessage="1" showErrorMessage="1" sqref="Q14">
      <formula1>IF(E11="Bi-Fold",Fold,NA)</formula1>
    </dataValidation>
    <dataValidation type="list" allowBlank="1" showDropDown="0" showInputMessage="1" showErrorMessage="1" sqref="Z13">
      <formula1>IF(E11="Hinged",Empty,IF(Y11="None",NA,Returns))</formula1>
    </dataValidation>
    <dataValidation type="list" allowBlank="1" showDropDown="0" showInputMessage="1" showErrorMessage="1" sqref="G13">
      <formula1>IF(E11="Hinged",IF(G11="No Frame",NA,IF(G11="L Frame",Frame_Sides_L,frame_sides_Z)),IF(G11="None",NA,IF(G11="71x34mm Overlap (track)",Overlap_Frame_Sides,BF_Frame_Sides)))</formula1>
    </dataValidation>
    <dataValidation type="list" allowBlank="1" showDropDown="0" showInputMessage="1" showErrorMessage="1" sqref="G11">
      <formula1>IF(E11="Hinged",Frame,BF_Frame)</formula1>
    </dataValidation>
    <dataValidation type="list" allowBlank="1" showDropDown="0" showInputMessage="1" showErrorMessage="1" sqref="F2">
      <formula1>Who</formula1>
    </dataValidation>
    <dataValidation type="list" allowBlank="1" showDropDown="0" showInputMessage="1" showErrorMessage="1" sqref="U2">
      <formula1>Colour</formula1>
    </dataValidation>
  </dataValidations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76"/>
  <sheetViews>
    <sheetView tabSelected="0" workbookViewId="0" showGridLines="true" showRowColHeaders="1">
      <selection activeCell="B7" sqref="B7"/>
    </sheetView>
  </sheetViews>
  <sheetFormatPr defaultRowHeight="14.4" outlineLevelRow="0" outlineLevelCol="0"/>
  <cols>
    <col min="1" max="1" width="28.6640625" customWidth="true" style="0"/>
    <col min="2" max="2" width="14" customWidth="true" style="0"/>
    <col min="3" max="3" width="13.6640625" customWidth="true" style="0"/>
    <col min="4" max="4" width="13.6640625" customWidth="true" style="0"/>
    <col min="5" max="5" width="12.83203125" customWidth="true" style="0"/>
    <col min="6" max="6" width="12.5" customWidth="true" style="0"/>
    <col min="7" max="7" width="12.6640625" customWidth="true" style="0"/>
    <col min="8" max="8" width="12" customWidth="true" style="0"/>
    <col min="9" max="9" width="12.6640625" customWidth="true" style="0"/>
    <col min="10" max="10" width="12.6640625" customWidth="true" style="0"/>
  </cols>
  <sheetData>
    <row r="1" spans="1:10" customHeight="1" ht="15">
      <c r="A1" s="4" t="s">
        <v>308</v>
      </c>
      <c r="B1" s="2"/>
    </row>
    <row r="2" spans="1:10" customHeight="1" ht="15">
      <c r="A2" s="4" t="s">
        <v>228</v>
      </c>
      <c r="B2" s="2"/>
    </row>
    <row r="3" spans="1:10">
      <c r="A3" s="2"/>
      <c r="B3" s="2"/>
    </row>
    <row r="4" spans="1:10">
      <c r="A4" s="1" t="s">
        <v>78</v>
      </c>
      <c r="B4" s="14" t="str">
        <f>'Opening BP'!B8</f>
        <v>0</v>
      </c>
    </row>
    <row r="5" spans="1:10">
      <c r="A5" s="1" t="s">
        <v>79</v>
      </c>
      <c r="B5" s="15" t="str">
        <f>'Opening BP'!B9</f>
        <v>0</v>
      </c>
    </row>
    <row r="6" spans="1:10">
      <c r="A6" s="9" t="s">
        <v>112</v>
      </c>
      <c r="B6" s="61" t="str">
        <f>'BP - INPUT'!F40</f>
        <v>0</v>
      </c>
    </row>
    <row r="7" spans="1:10">
      <c r="A7" s="9" t="s">
        <v>115</v>
      </c>
      <c r="B7" s="16" t="str">
        <f>I17</f>
        <v>0</v>
      </c>
    </row>
    <row r="8" spans="1:10">
      <c r="A8" s="9" t="s">
        <v>116</v>
      </c>
      <c r="B8" s="17" t="str">
        <f>I22</f>
        <v>0</v>
      </c>
    </row>
    <row r="9" spans="1:10">
      <c r="A9" s="9" t="s">
        <v>117</v>
      </c>
      <c r="B9" s="19" t="str">
        <f>ROUNDDOWN((B4+B7)/B6,0)</f>
        <v>0</v>
      </c>
      <c r="C9" s="18" t="s">
        <v>118</v>
      </c>
    </row>
    <row r="10" spans="1:10">
      <c r="A10" s="9" t="s">
        <v>119</v>
      </c>
      <c r="B10" s="20" t="str">
        <f>ROUNDDOWN(B5+B8,0)</f>
        <v>0</v>
      </c>
      <c r="C10" s="18" t="s">
        <v>118</v>
      </c>
    </row>
    <row r="13" spans="1:10" customHeight="1" ht="12.75">
      <c r="B13" s="5" t="s">
        <v>121</v>
      </c>
    </row>
    <row r="14" spans="1:10" customHeight="1" ht="24.75">
      <c r="B14" s="38" t="s">
        <v>229</v>
      </c>
      <c r="C14" s="39" t="s">
        <v>310</v>
      </c>
      <c r="D14" s="39" t="s">
        <v>311</v>
      </c>
      <c r="E14" s="39" t="s">
        <v>122</v>
      </c>
      <c r="F14" s="39" t="s">
        <v>312</v>
      </c>
      <c r="G14" s="40" t="s">
        <v>235</v>
      </c>
      <c r="I14" s="41" t="s">
        <v>236</v>
      </c>
    </row>
    <row r="15" spans="1:10" customHeight="1" ht="12.75">
      <c r="B15" s="48"/>
      <c r="C15" s="42">
        <v>0</v>
      </c>
      <c r="D15" s="42">
        <v>35</v>
      </c>
      <c r="E15" s="368">
        <v>-3.25</v>
      </c>
      <c r="F15" s="42">
        <v>0</v>
      </c>
      <c r="G15" s="48"/>
      <c r="I15" s="43"/>
    </row>
    <row r="16" spans="1:10">
      <c r="B16" s="48"/>
      <c r="C16" s="48"/>
      <c r="D16" s="62" t="str">
        <f>IFERROR(VLOOKUP('BP - INPUT'!F39,'Panel BP'!C26:G42,4,FALSE),0)</f>
        <v>0</v>
      </c>
      <c r="E16" s="62" t="str">
        <f>IFERROR(VLOOKUP('BP - INPUT'!F39,'Panel BP'!C26:G42,5,FALSE),0)</f>
        <v>0</v>
      </c>
      <c r="F16" s="48"/>
      <c r="G16" s="48"/>
      <c r="I16" s="23"/>
    </row>
    <row r="17" spans="1:10">
      <c r="B17" s="63" t="str">
        <f>IFERROR(-VLOOKUP('BP - INPUT'!F29&amp;'BP - INPUT'!F30,'Panel BP'!F47:H76,2,FALSE),0)</f>
        <v>0</v>
      </c>
      <c r="C17" s="63" t="str">
        <f>C15</f>
        <v>0</v>
      </c>
      <c r="D17" s="63" t="str">
        <f>D15*D16</f>
        <v>0</v>
      </c>
      <c r="E17" s="63" t="str">
        <f>E15*E16</f>
        <v>0</v>
      </c>
      <c r="F17" s="63" t="str">
        <f>F15</f>
        <v>0</v>
      </c>
      <c r="G17" s="63" t="str">
        <f>IFERROR(-VLOOKUP('BP - INPUT'!F29&amp;'BP - INPUT'!F30,'Panel BP'!F47:H76,3,FALSE),0)</f>
        <v>0</v>
      </c>
      <c r="I17" s="64" t="str">
        <f>SUM(B17:G17)</f>
        <v>0</v>
      </c>
    </row>
    <row r="19" spans="1:10" customHeight="1" ht="12.75">
      <c r="B19" s="37" t="s">
        <v>125</v>
      </c>
      <c r="E19" s="209"/>
    </row>
    <row r="20" spans="1:10" customHeight="1" ht="24.75">
      <c r="B20" s="38" t="str">
        <f>'BP - INPUT'!F53</f>
        <v>0</v>
      </c>
      <c r="C20" s="39" t="s">
        <v>237</v>
      </c>
      <c r="D20" s="39" t="s">
        <v>238</v>
      </c>
      <c r="E20" s="78" t="str">
        <f>'BP - INPUT'!F55</f>
        <v>0</v>
      </c>
      <c r="F20" s="40" t="s">
        <v>21</v>
      </c>
      <c r="I20" s="41" t="s">
        <v>236</v>
      </c>
    </row>
    <row r="21" spans="1:10" customHeight="1" ht="12.75">
      <c r="B21" s="42">
        <v>-18</v>
      </c>
      <c r="C21" s="42">
        <v>-10</v>
      </c>
      <c r="D21" s="42">
        <v>-6</v>
      </c>
      <c r="E21" s="42" t="str">
        <f>IFERROR(-VLOOKUP(E20,'Tracks&amp;Frames'!A3:B6,2,FALSE),0)</f>
        <v>0</v>
      </c>
      <c r="F21" s="42">
        <v>-19</v>
      </c>
      <c r="I21" s="43"/>
    </row>
    <row r="22" spans="1:10">
      <c r="B22" s="44" t="str">
        <f>B21</f>
        <v>0</v>
      </c>
      <c r="C22" s="44" t="str">
        <f>C21</f>
        <v>0</v>
      </c>
      <c r="D22" s="44" t="str">
        <f>D21</f>
        <v>0</v>
      </c>
      <c r="E22" s="44" t="str">
        <f>E21</f>
        <v>0</v>
      </c>
      <c r="F22" s="44" t="str">
        <f>IF(NOT('BP - INPUT'!F59="N/A"),'Panel BP'!F21,0)</f>
        <v>0</v>
      </c>
      <c r="I22" s="45" t="str">
        <f>SUM(B22:H22)</f>
        <v>0</v>
      </c>
    </row>
    <row r="24" spans="1:10" customHeight="1" ht="12.75"/>
    <row r="25" spans="1:10" customHeight="1" ht="24.75">
      <c r="C25" s="65" t="s">
        <v>131</v>
      </c>
      <c r="D25" s="66"/>
      <c r="E25" s="67"/>
      <c r="F25" s="68" t="s">
        <v>311</v>
      </c>
      <c r="G25" s="69" t="s">
        <v>122</v>
      </c>
    </row>
    <row r="26" spans="1:10">
      <c r="C26" s="56" t="s">
        <v>313</v>
      </c>
      <c r="D26" s="70"/>
      <c r="E26" s="70"/>
      <c r="F26" s="71">
        <v>0</v>
      </c>
      <c r="G26" s="71">
        <v>0</v>
      </c>
    </row>
    <row r="27" spans="1:10">
      <c r="C27" s="59" t="s">
        <v>314</v>
      </c>
      <c r="D27" s="72"/>
      <c r="E27" s="72"/>
      <c r="F27" s="73">
        <v>0</v>
      </c>
      <c r="G27" s="73">
        <v>1</v>
      </c>
    </row>
    <row r="28" spans="1:10">
      <c r="C28" s="59" t="s">
        <v>315</v>
      </c>
      <c r="D28" s="72"/>
      <c r="E28" s="72"/>
      <c r="F28" s="73">
        <v>0</v>
      </c>
      <c r="G28" s="73">
        <v>0</v>
      </c>
    </row>
    <row r="29" spans="1:10">
      <c r="C29" s="59" t="s">
        <v>316</v>
      </c>
      <c r="D29" s="72"/>
      <c r="E29" s="72"/>
      <c r="F29" s="73">
        <v>1</v>
      </c>
      <c r="G29" s="73">
        <v>0</v>
      </c>
    </row>
    <row r="30" spans="1:10">
      <c r="C30" s="59" t="s">
        <v>317</v>
      </c>
      <c r="D30" s="72"/>
      <c r="E30" s="72"/>
      <c r="F30" s="73">
        <v>2</v>
      </c>
      <c r="G30" s="73">
        <v>0</v>
      </c>
    </row>
    <row r="31" spans="1:10">
      <c r="C31" s="59" t="s">
        <v>318</v>
      </c>
      <c r="D31" s="72"/>
      <c r="E31" s="72"/>
      <c r="F31" s="73">
        <v>1</v>
      </c>
      <c r="G31" s="73">
        <v>2</v>
      </c>
    </row>
    <row r="32" spans="1:10">
      <c r="C32" s="59" t="s">
        <v>319</v>
      </c>
      <c r="D32" s="72"/>
      <c r="E32" s="72"/>
      <c r="F32" s="73">
        <v>1</v>
      </c>
      <c r="G32" s="73">
        <v>0</v>
      </c>
    </row>
    <row r="33" spans="1:10">
      <c r="C33" s="59" t="s">
        <v>320</v>
      </c>
      <c r="D33" s="72"/>
      <c r="E33" s="72"/>
      <c r="F33" s="73">
        <v>2</v>
      </c>
      <c r="G33" s="73">
        <v>0</v>
      </c>
    </row>
    <row r="34" spans="1:10">
      <c r="C34" s="59" t="s">
        <v>321</v>
      </c>
      <c r="D34" s="72"/>
      <c r="E34" s="72"/>
      <c r="F34" s="73">
        <v>1</v>
      </c>
      <c r="G34" s="73">
        <v>4</v>
      </c>
    </row>
    <row r="35" spans="1:10">
      <c r="C35" s="59" t="s">
        <v>322</v>
      </c>
      <c r="D35" s="72"/>
      <c r="E35" s="72"/>
      <c r="F35" s="73">
        <v>1</v>
      </c>
      <c r="G35" s="73">
        <v>0</v>
      </c>
    </row>
    <row r="36" spans="1:10">
      <c r="C36" s="59" t="s">
        <v>323</v>
      </c>
      <c r="D36" s="72"/>
      <c r="E36" s="72"/>
      <c r="F36" s="73">
        <v>2</v>
      </c>
      <c r="G36" s="73">
        <v>2</v>
      </c>
    </row>
    <row r="37" spans="1:10">
      <c r="C37" s="59" t="s">
        <v>324</v>
      </c>
      <c r="D37" s="72"/>
      <c r="E37" s="72"/>
      <c r="F37" s="73">
        <v>1</v>
      </c>
      <c r="G37" s="73">
        <v>6</v>
      </c>
    </row>
    <row r="38" spans="1:10">
      <c r="C38" s="59" t="s">
        <v>325</v>
      </c>
      <c r="D38" s="72"/>
      <c r="E38" s="72"/>
      <c r="F38" s="73">
        <v>2</v>
      </c>
      <c r="G38" s="73">
        <v>4</v>
      </c>
    </row>
    <row r="39" spans="1:10">
      <c r="C39" s="59" t="s">
        <v>326</v>
      </c>
      <c r="D39" s="72"/>
      <c r="E39" s="72"/>
      <c r="F39" s="73">
        <v>2</v>
      </c>
      <c r="G39" s="73">
        <v>5</v>
      </c>
    </row>
    <row r="40" spans="1:10">
      <c r="C40" s="59" t="s">
        <v>327</v>
      </c>
      <c r="D40" s="72"/>
      <c r="E40" s="72"/>
      <c r="F40" s="73">
        <v>2</v>
      </c>
      <c r="G40" s="73">
        <v>0</v>
      </c>
    </row>
    <row r="41" spans="1:10">
      <c r="C41" s="59" t="s">
        <v>328</v>
      </c>
      <c r="D41" s="72"/>
      <c r="E41" s="72"/>
      <c r="F41" s="73">
        <v>2</v>
      </c>
      <c r="G41" s="73">
        <v>3</v>
      </c>
    </row>
    <row r="42" spans="1:10">
      <c r="C42" s="59" t="s">
        <v>329</v>
      </c>
      <c r="D42" s="72"/>
      <c r="E42" s="72"/>
      <c r="F42" s="73">
        <v>2</v>
      </c>
      <c r="G42" s="73">
        <v>0</v>
      </c>
    </row>
    <row r="44" spans="1:10" customHeight="1" ht="12.75"/>
    <row r="45" spans="1:10" customHeight="1" ht="12">
      <c r="C45" s="1171" t="s">
        <v>248</v>
      </c>
      <c r="D45" s="1172"/>
      <c r="E45" s="1172"/>
      <c r="F45" s="1172"/>
      <c r="G45" s="1172"/>
      <c r="H45" s="1173"/>
    </row>
    <row r="46" spans="1:10" customHeight="1" ht="12.75">
      <c r="C46" s="1169" t="s">
        <v>250</v>
      </c>
      <c r="D46" s="1170"/>
      <c r="E46" s="364" t="s">
        <v>251</v>
      </c>
      <c r="F46" s="364" t="s">
        <v>252</v>
      </c>
      <c r="G46" s="365" t="s">
        <v>253</v>
      </c>
      <c r="H46" s="365" t="s">
        <v>254</v>
      </c>
    </row>
    <row r="47" spans="1:10">
      <c r="C47" s="56" t="s">
        <v>196</v>
      </c>
      <c r="D47" s="57"/>
      <c r="E47" s="31" t="s">
        <v>49</v>
      </c>
      <c r="F47" s="58" t="str">
        <f>C47&amp;E47</f>
        <v>0</v>
      </c>
      <c r="G47" s="366" t="s">
        <v>181</v>
      </c>
      <c r="H47" s="367" t="s">
        <v>181</v>
      </c>
    </row>
    <row r="48" spans="1:10">
      <c r="C48" s="59" t="s">
        <v>257</v>
      </c>
      <c r="D48" s="60"/>
      <c r="E48" s="185" t="s">
        <v>141</v>
      </c>
      <c r="F48" s="58" t="str">
        <f>C48&amp;E48</f>
        <v>0</v>
      </c>
      <c r="G48" s="58">
        <v>34</v>
      </c>
      <c r="H48" s="30" t="s">
        <v>181</v>
      </c>
    </row>
    <row r="49" spans="1:10">
      <c r="C49" s="59" t="s">
        <v>257</v>
      </c>
      <c r="D49" s="60"/>
      <c r="E49" s="185" t="s">
        <v>142</v>
      </c>
      <c r="F49" s="58" t="str">
        <f>C49&amp;E49</f>
        <v>0</v>
      </c>
      <c r="G49" s="74" t="s">
        <v>181</v>
      </c>
      <c r="H49" s="36">
        <v>34</v>
      </c>
    </row>
    <row r="50" spans="1:10">
      <c r="C50" s="59" t="s">
        <v>257</v>
      </c>
      <c r="D50" s="60"/>
      <c r="E50" s="185" t="s">
        <v>87</v>
      </c>
      <c r="F50" s="58" t="str">
        <f>C50&amp;E50</f>
        <v>0</v>
      </c>
      <c r="G50" s="58">
        <v>34</v>
      </c>
      <c r="H50" s="36">
        <v>34</v>
      </c>
    </row>
    <row r="51" spans="1:10">
      <c r="C51" s="59" t="s">
        <v>261</v>
      </c>
      <c r="D51" s="60"/>
      <c r="E51" s="185" t="s">
        <v>141</v>
      </c>
      <c r="F51" s="58" t="str">
        <f>C51&amp;E51</f>
        <v>0</v>
      </c>
      <c r="G51" s="58">
        <v>34</v>
      </c>
      <c r="H51" s="30" t="s">
        <v>181</v>
      </c>
    </row>
    <row r="52" spans="1:10">
      <c r="C52" s="59" t="s">
        <v>261</v>
      </c>
      <c r="D52" s="60"/>
      <c r="E52" s="185" t="s">
        <v>142</v>
      </c>
      <c r="F52" s="58" t="str">
        <f>C52&amp;E52</f>
        <v>0</v>
      </c>
      <c r="G52" s="74" t="s">
        <v>181</v>
      </c>
      <c r="H52" s="36">
        <v>34</v>
      </c>
    </row>
    <row r="53" spans="1:10">
      <c r="C53" s="59" t="s">
        <v>261</v>
      </c>
      <c r="D53" s="60"/>
      <c r="E53" s="185" t="s">
        <v>87</v>
      </c>
      <c r="F53" s="58" t="str">
        <f>C53&amp;E53</f>
        <v>0</v>
      </c>
      <c r="G53" s="58">
        <v>34</v>
      </c>
      <c r="H53" s="36">
        <v>34</v>
      </c>
    </row>
    <row r="54" spans="1:10">
      <c r="C54" s="59" t="s">
        <v>261</v>
      </c>
      <c r="D54" s="60"/>
      <c r="E54" s="185" t="s">
        <v>162</v>
      </c>
      <c r="F54" s="58" t="str">
        <f>C54&amp;E54</f>
        <v>0</v>
      </c>
      <c r="G54" s="58">
        <v>34</v>
      </c>
      <c r="H54" s="30" t="s">
        <v>181</v>
      </c>
    </row>
    <row r="55" spans="1:10">
      <c r="C55" s="59" t="s">
        <v>261</v>
      </c>
      <c r="D55" s="60"/>
      <c r="E55" s="185" t="s">
        <v>163</v>
      </c>
      <c r="F55" s="58" t="str">
        <f>C55&amp;E55</f>
        <v>0</v>
      </c>
      <c r="G55" s="74" t="s">
        <v>181</v>
      </c>
      <c r="H55" s="36">
        <v>34</v>
      </c>
    </row>
    <row r="56" spans="1:10">
      <c r="C56" s="59" t="s">
        <v>261</v>
      </c>
      <c r="D56" s="60"/>
      <c r="E56" s="185" t="s">
        <v>226</v>
      </c>
      <c r="F56" s="58" t="str">
        <f>C56&amp;E56</f>
        <v>0</v>
      </c>
      <c r="G56" s="58">
        <v>34</v>
      </c>
      <c r="H56" s="36">
        <v>34</v>
      </c>
    </row>
    <row r="57" spans="1:10">
      <c r="C57" s="59" t="s">
        <v>261</v>
      </c>
      <c r="D57" s="60"/>
      <c r="E57" s="185" t="s">
        <v>225</v>
      </c>
      <c r="F57" s="58" t="str">
        <f>C57&amp;E57</f>
        <v>0</v>
      </c>
      <c r="G57" s="58">
        <v>34</v>
      </c>
      <c r="H57" s="36">
        <v>34</v>
      </c>
    </row>
    <row r="58" spans="1:10">
      <c r="C58" s="59" t="s">
        <v>261</v>
      </c>
      <c r="D58" s="60"/>
      <c r="E58" s="185" t="s">
        <v>227</v>
      </c>
      <c r="F58" s="58" t="str">
        <f>C58&amp;E58</f>
        <v>0</v>
      </c>
      <c r="G58" s="58">
        <v>34</v>
      </c>
      <c r="H58" s="36">
        <v>34</v>
      </c>
    </row>
    <row r="59" spans="1:10">
      <c r="C59" s="59" t="s">
        <v>270</v>
      </c>
      <c r="D59" s="60"/>
      <c r="E59" s="185" t="s">
        <v>141</v>
      </c>
      <c r="F59" s="58" t="str">
        <f>C59&amp;E59</f>
        <v>0</v>
      </c>
      <c r="G59" s="58">
        <v>27</v>
      </c>
      <c r="H59" s="30" t="s">
        <v>181</v>
      </c>
    </row>
    <row r="60" spans="1:10">
      <c r="C60" s="59" t="s">
        <v>270</v>
      </c>
      <c r="D60" s="60"/>
      <c r="E60" s="185" t="s">
        <v>142</v>
      </c>
      <c r="F60" s="58" t="str">
        <f>C60&amp;E60</f>
        <v>0</v>
      </c>
      <c r="G60" s="74" t="s">
        <v>181</v>
      </c>
      <c r="H60" s="36">
        <v>27</v>
      </c>
    </row>
    <row r="61" spans="1:10">
      <c r="C61" s="59" t="s">
        <v>270</v>
      </c>
      <c r="D61" s="60"/>
      <c r="E61" s="185" t="s">
        <v>87</v>
      </c>
      <c r="F61" s="58" t="str">
        <f>C61&amp;E61</f>
        <v>0</v>
      </c>
      <c r="G61" s="58">
        <v>27</v>
      </c>
      <c r="H61" s="36">
        <v>27</v>
      </c>
    </row>
    <row r="62" spans="1:10">
      <c r="C62" s="59" t="s">
        <v>274</v>
      </c>
      <c r="D62" s="60"/>
      <c r="E62" s="185" t="s">
        <v>141</v>
      </c>
      <c r="F62" s="58" t="str">
        <f>C62&amp;E62</f>
        <v>0</v>
      </c>
      <c r="G62" s="58">
        <v>46</v>
      </c>
      <c r="H62" s="30" t="s">
        <v>181</v>
      </c>
    </row>
    <row r="63" spans="1:10">
      <c r="C63" s="59" t="s">
        <v>274</v>
      </c>
      <c r="D63" s="60"/>
      <c r="E63" s="185" t="s">
        <v>142</v>
      </c>
      <c r="F63" s="58" t="str">
        <f>C63&amp;E63</f>
        <v>0</v>
      </c>
      <c r="G63" s="74" t="s">
        <v>181</v>
      </c>
      <c r="H63" s="36">
        <v>46</v>
      </c>
    </row>
    <row r="64" spans="1:10">
      <c r="C64" s="59" t="s">
        <v>274</v>
      </c>
      <c r="D64" s="60"/>
      <c r="E64" s="185" t="s">
        <v>87</v>
      </c>
      <c r="F64" s="58" t="str">
        <f>C64&amp;E64</f>
        <v>0</v>
      </c>
      <c r="G64" s="58">
        <v>46</v>
      </c>
      <c r="H64" s="36">
        <v>46</v>
      </c>
    </row>
    <row r="65" spans="1:10">
      <c r="C65" s="59" t="s">
        <v>278</v>
      </c>
      <c r="D65" s="60"/>
      <c r="E65" s="185" t="s">
        <v>141</v>
      </c>
      <c r="F65" s="58" t="str">
        <f>C65&amp;E65</f>
        <v>0</v>
      </c>
      <c r="G65" s="58">
        <v>19</v>
      </c>
      <c r="H65" s="36"/>
    </row>
    <row r="66" spans="1:10">
      <c r="C66" s="59" t="s">
        <v>278</v>
      </c>
      <c r="D66" s="60"/>
      <c r="E66" s="185" t="s">
        <v>142</v>
      </c>
      <c r="F66" s="58" t="str">
        <f>C66&amp;E66</f>
        <v>0</v>
      </c>
      <c r="G66" s="74" t="s">
        <v>181</v>
      </c>
      <c r="H66" s="36">
        <v>19</v>
      </c>
    </row>
    <row r="67" spans="1:10">
      <c r="C67" s="59" t="s">
        <v>278</v>
      </c>
      <c r="D67" s="60"/>
      <c r="E67" s="185" t="s">
        <v>87</v>
      </c>
      <c r="F67" s="58" t="str">
        <f>C67&amp;E67</f>
        <v>0</v>
      </c>
      <c r="G67" s="58">
        <v>19</v>
      </c>
      <c r="H67" s="36">
        <v>19</v>
      </c>
    </row>
    <row r="68" spans="1:10">
      <c r="C68" s="59" t="s">
        <v>282</v>
      </c>
      <c r="D68" s="60"/>
      <c r="E68" s="185" t="s">
        <v>141</v>
      </c>
      <c r="F68" s="58" t="str">
        <f>C68&amp;E68</f>
        <v>0</v>
      </c>
      <c r="G68" s="58">
        <v>19</v>
      </c>
      <c r="H68" s="30" t="s">
        <v>181</v>
      </c>
    </row>
    <row r="69" spans="1:10">
      <c r="C69" s="59" t="s">
        <v>282</v>
      </c>
      <c r="D69" s="60"/>
      <c r="E69" s="185" t="s">
        <v>142</v>
      </c>
      <c r="F69" s="58" t="str">
        <f>C69&amp;E69</f>
        <v>0</v>
      </c>
      <c r="G69" s="74" t="s">
        <v>181</v>
      </c>
      <c r="H69" s="36">
        <v>19</v>
      </c>
    </row>
    <row r="70" spans="1:10">
      <c r="C70" s="59" t="s">
        <v>282</v>
      </c>
      <c r="D70" s="60"/>
      <c r="E70" s="185" t="s">
        <v>87</v>
      </c>
      <c r="F70" s="58" t="str">
        <f>C70&amp;E70</f>
        <v>0</v>
      </c>
      <c r="G70" s="58">
        <v>19</v>
      </c>
      <c r="H70" s="36">
        <v>19</v>
      </c>
    </row>
    <row r="71" spans="1:10">
      <c r="C71" s="59" t="s">
        <v>286</v>
      </c>
      <c r="D71" s="60"/>
      <c r="E71" s="185" t="s">
        <v>141</v>
      </c>
      <c r="F71" s="58" t="str">
        <f>C71&amp;E71</f>
        <v>0</v>
      </c>
      <c r="G71" s="58">
        <v>19</v>
      </c>
      <c r="H71" s="30" t="s">
        <v>181</v>
      </c>
    </row>
    <row r="72" spans="1:10">
      <c r="C72" s="59" t="s">
        <v>286</v>
      </c>
      <c r="D72" s="60"/>
      <c r="E72" s="185" t="s">
        <v>142</v>
      </c>
      <c r="F72" s="58" t="str">
        <f>C72&amp;E72</f>
        <v>0</v>
      </c>
      <c r="G72" s="74" t="s">
        <v>181</v>
      </c>
      <c r="H72" s="36">
        <v>19</v>
      </c>
    </row>
    <row r="73" spans="1:10">
      <c r="C73" s="59" t="s">
        <v>286</v>
      </c>
      <c r="D73" s="60"/>
      <c r="E73" s="185" t="s">
        <v>87</v>
      </c>
      <c r="F73" s="58" t="str">
        <f>C73&amp;E73</f>
        <v>0</v>
      </c>
      <c r="G73" s="58">
        <v>19</v>
      </c>
      <c r="H73" s="36">
        <v>19</v>
      </c>
    </row>
    <row r="74" spans="1:10">
      <c r="C74" s="59" t="s">
        <v>290</v>
      </c>
      <c r="D74" s="60"/>
      <c r="E74" s="185" t="s">
        <v>141</v>
      </c>
      <c r="F74" s="58" t="str">
        <f>C74&amp;E74</f>
        <v>0</v>
      </c>
      <c r="G74" s="58">
        <v>19</v>
      </c>
      <c r="H74" s="30" t="s">
        <v>181</v>
      </c>
    </row>
    <row r="75" spans="1:10">
      <c r="C75" s="59" t="s">
        <v>290</v>
      </c>
      <c r="D75" s="60"/>
      <c r="E75" s="185" t="s">
        <v>142</v>
      </c>
      <c r="F75" s="58" t="str">
        <f>C75&amp;E75</f>
        <v>0</v>
      </c>
      <c r="G75" s="74" t="s">
        <v>181</v>
      </c>
      <c r="H75" s="36">
        <v>19</v>
      </c>
    </row>
    <row r="76" spans="1:10">
      <c r="C76" s="59" t="s">
        <v>290</v>
      </c>
      <c r="D76" s="60"/>
      <c r="E76" s="185" t="s">
        <v>87</v>
      </c>
      <c r="F76" s="31" t="str">
        <f>C76&amp;E76</f>
        <v>0</v>
      </c>
      <c r="G76" s="31">
        <v>19</v>
      </c>
      <c r="H76" s="309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6:D46"/>
    <mergeCell ref="C45:H4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75"/>
  <sheetViews>
    <sheetView tabSelected="0" workbookViewId="0" showGridLines="true" showRowColHeaders="1">
      <selection activeCell="G10" sqref="G10"/>
    </sheetView>
  </sheetViews>
  <sheetFormatPr defaultRowHeight="14.4" outlineLevelRow="0" outlineLevelCol="0"/>
  <cols>
    <col min="1" max="1" width="24.6640625" customWidth="true" style="596"/>
    <col min="2" max="2" width="9.33203125" customWidth="true" style="596"/>
    <col min="3" max="3" width="9.33203125" customWidth="true" style="596"/>
    <col min="4" max="4" width="14.5" customWidth="true" style="596"/>
    <col min="5" max="5" width="11.33203125" customWidth="true" style="596"/>
    <col min="6" max="6" width="14.33203125" customWidth="true" style="596"/>
    <col min="7" max="7" width="11.33203125" customWidth="true" style="596"/>
    <col min="8" max="8" width="11.6640625" customWidth="true" style="596"/>
    <col min="9" max="9" width="12.83203125" customWidth="true" style="596"/>
    <col min="10" max="10" width="12.33203125" customWidth="true" style="596"/>
    <col min="11" max="11" width="3.6640625" customWidth="true" style="596"/>
    <col min="12" max="12" width="9.33203125" customWidth="true" style="596"/>
  </cols>
  <sheetData>
    <row r="1" spans="1:15" customHeight="1" ht="15">
      <c r="A1" s="595" t="s">
        <v>330</v>
      </c>
    </row>
    <row r="2" spans="1:15" customHeight="1" ht="15">
      <c r="A2" s="595" t="s">
        <v>331</v>
      </c>
    </row>
    <row r="4" spans="1:15">
      <c r="A4" s="596" t="s">
        <v>332</v>
      </c>
      <c r="B4" s="597" t="str">
        <f>IF('H - INPUT'!F21&gt;0,'H - INPUT'!E11,IF('BF - INPUT'!F21&gt;0,'BF - INPUT'!E11,'BP - INPUT'!E11))</f>
        <v>0</v>
      </c>
      <c r="C4" s="598"/>
      <c r="D4" s="599"/>
    </row>
    <row r="5" spans="1:15">
      <c r="A5" s="596" t="s">
        <v>333</v>
      </c>
      <c r="B5" s="597" t="str">
        <f>IF(B4="hinged",IF('H - INPUT'!F41="Custom",'H - INPUT'!F42,'H - INPUT'!F41),IF(B4="Bi-Fold",IF('BF - INPUT'!F43="Custom",'BF - INPUT'!F44,'BF - INPUT'!F43),IF('BP - INPUT'!$F$42="custom",'BP - INPUT'!$F$43,'BP - INPUT'!$F$42)))</f>
        <v>0</v>
      </c>
      <c r="C5" s="598"/>
    </row>
    <row r="6" spans="1:15">
      <c r="A6" s="600" t="s">
        <v>117</v>
      </c>
      <c r="B6" s="597" t="str">
        <f>IF(B4="Hinged",'Panel H'!B11,IF(B4="Bi-Fold",'Panel BF'!B9,'Panel BP'!B9))</f>
        <v>0</v>
      </c>
      <c r="C6" s="598"/>
    </row>
    <row r="7" spans="1:15">
      <c r="A7" s="600" t="s">
        <v>119</v>
      </c>
      <c r="B7" s="601" t="str">
        <f>IF(B4="Hinged",'Panel H'!B12,IF(B4="Bi-Fold",'Panel BF'!B10,'Panel BP'!B10))</f>
        <v>0</v>
      </c>
      <c r="C7" s="598"/>
    </row>
    <row r="8" spans="1:15" customHeight="1" ht="12.75"/>
    <row r="9" spans="1:15" customHeight="1" ht="24">
      <c r="D9" s="602" t="s">
        <v>334</v>
      </c>
      <c r="E9" s="603" t="s">
        <v>335</v>
      </c>
      <c r="F9" s="603" t="s">
        <v>336</v>
      </c>
      <c r="G9" s="603" t="s">
        <v>337</v>
      </c>
      <c r="H9" s="604" t="s">
        <v>338</v>
      </c>
    </row>
    <row r="10" spans="1:15" customHeight="1" ht="12.75">
      <c r="D10" s="605">
        <v>2.5</v>
      </c>
      <c r="E10" s="606">
        <v>57</v>
      </c>
      <c r="F10" s="606">
        <v>1</v>
      </c>
      <c r="G10" s="607">
        <v>1</v>
      </c>
      <c r="H10" s="608">
        <v>0.5</v>
      </c>
    </row>
    <row r="11" spans="1:15">
      <c r="B11" s="596" t="s">
        <v>339</v>
      </c>
      <c r="D11" s="609" t="str">
        <f>-D10*2</f>
        <v>0</v>
      </c>
      <c r="E11" s="609"/>
      <c r="F11" s="609"/>
      <c r="G11" s="609"/>
      <c r="H11" s="609"/>
      <c r="I11" s="610" t="str">
        <f>B6+SUM(D11:H11)</f>
        <v>0</v>
      </c>
    </row>
    <row r="12" spans="1:15">
      <c r="B12" s="596" t="s">
        <v>340</v>
      </c>
      <c r="D12" s="609"/>
      <c r="E12" s="609" t="str">
        <f>-E10*2</f>
        <v>0</v>
      </c>
      <c r="F12" s="609" t="str">
        <f>-F10*2</f>
        <v>0</v>
      </c>
      <c r="G12" s="609" t="str">
        <f>-G10*2</f>
        <v>0</v>
      </c>
      <c r="H12" s="609" t="str">
        <f>-H10*2</f>
        <v>0</v>
      </c>
      <c r="I12" s="610" t="str">
        <f>B6+SUM(D12:H12)</f>
        <v>0</v>
      </c>
    </row>
    <row r="13" spans="1:15" customHeight="1" ht="12.75">
      <c r="D13" s="611"/>
      <c r="E13" s="611"/>
      <c r="F13" s="611"/>
      <c r="G13" s="611"/>
      <c r="H13" s="611"/>
    </row>
    <row r="14" spans="1:15" customHeight="1" ht="24">
      <c r="D14" s="602" t="s">
        <v>341</v>
      </c>
      <c r="E14" s="603" t="s">
        <v>342</v>
      </c>
      <c r="F14" s="603" t="s">
        <v>341</v>
      </c>
      <c r="G14" s="604" t="s">
        <v>343</v>
      </c>
    </row>
    <row r="15" spans="1:15">
      <c r="D15" s="612">
        <v>46.1</v>
      </c>
      <c r="E15" s="613">
        <v>76.2</v>
      </c>
      <c r="F15" s="613">
        <v>46.1</v>
      </c>
      <c r="G15" s="614">
        <v>76.2</v>
      </c>
    </row>
    <row r="16" spans="1:15" customHeight="1" ht="12.75">
      <c r="D16" s="615"/>
      <c r="E16" s="606" t="str">
        <f>IF(G26="Type 1",G31,G41)-IF(H53="N/A",0,H53)</f>
        <v>0</v>
      </c>
      <c r="F16" s="616"/>
      <c r="G16" s="617" t="str">
        <f>IF(H53="N/A",0,(H53-1))</f>
        <v>0</v>
      </c>
    </row>
    <row r="17" spans="1:15">
      <c r="B17" s="596" t="s">
        <v>344</v>
      </c>
      <c r="D17" s="618"/>
      <c r="E17" s="618"/>
      <c r="F17" s="618"/>
      <c r="G17" s="618"/>
      <c r="I17" s="610" t="str">
        <f>B7+SUM(D17:G17)</f>
        <v>0</v>
      </c>
    </row>
    <row r="18" spans="1:15">
      <c r="B18" s="596" t="s">
        <v>345</v>
      </c>
      <c r="D18" s="609" t="str">
        <f>D15*2</f>
        <v>0</v>
      </c>
      <c r="E18" s="609" t="str">
        <f>E15*(E16-1)</f>
        <v>0</v>
      </c>
      <c r="F18" s="619"/>
      <c r="G18" s="619"/>
      <c r="I18" s="610" t="str">
        <f>ROUNDUP(SUM(D18:G18),0)</f>
        <v>0</v>
      </c>
      <c r="J18" s="620" t="s">
        <v>346</v>
      </c>
    </row>
    <row r="19" spans="1:15">
      <c r="B19" s="596" t="s">
        <v>347</v>
      </c>
      <c r="D19" s="619"/>
      <c r="E19" s="619"/>
      <c r="F19" s="609" t="str">
        <f>IF(G16&gt;0,(F15*2),0)</f>
        <v>0</v>
      </c>
      <c r="G19" s="609" t="str">
        <f>IF(G16&gt;0,G15*(G16-1),0)</f>
        <v>0</v>
      </c>
      <c r="I19" s="610" t="str">
        <f>ROUNDUP(SUM(D19:G19),0)</f>
        <v>0</v>
      </c>
      <c r="J19" s="620" t="s">
        <v>346</v>
      </c>
    </row>
    <row r="22" spans="1:15">
      <c r="C22" s="621" t="s">
        <v>348</v>
      </c>
      <c r="J22" s="622"/>
    </row>
    <row r="23" spans="1:15">
      <c r="D23" s="623" t="s">
        <v>349</v>
      </c>
    </row>
    <row r="24" spans="1:15">
      <c r="D24" s="596" t="s">
        <v>350</v>
      </c>
      <c r="G24" s="624">
        <v>1700</v>
      </c>
    </row>
    <row r="25" spans="1:15">
      <c r="D25" s="596" t="s">
        <v>351</v>
      </c>
      <c r="G25" s="624">
        <v>30</v>
      </c>
    </row>
    <row r="26" spans="1:15">
      <c r="D26" s="596" t="s">
        <v>352</v>
      </c>
      <c r="G26" s="625" t="str">
        <f>IF(AND(B7&lt;=G24,J32&gt;=G25),"Type 2","Type 1")</f>
        <v>0</v>
      </c>
    </row>
    <row r="28" spans="1:15" customHeight="1" ht="12.75">
      <c r="C28" s="623" t="s">
        <v>353</v>
      </c>
    </row>
    <row r="29" spans="1:15" customHeight="1" ht="36.75">
      <c r="E29" s="626" t="s">
        <v>354</v>
      </c>
      <c r="F29" s="627" t="s">
        <v>355</v>
      </c>
      <c r="G29" s="627" t="s">
        <v>356</v>
      </c>
      <c r="H29" s="627" t="s">
        <v>357</v>
      </c>
      <c r="I29" s="627" t="s">
        <v>358</v>
      </c>
      <c r="J29" s="628" t="s">
        <v>359</v>
      </c>
      <c r="L29" s="629" t="s">
        <v>236</v>
      </c>
    </row>
    <row r="30" spans="1:15" customHeight="1" ht="12.75">
      <c r="E30" s="630">
        <v>80.2</v>
      </c>
      <c r="F30" s="630">
        <v>46.1</v>
      </c>
      <c r="G30" s="630">
        <v>76.2</v>
      </c>
      <c r="H30" s="630">
        <v>46.1</v>
      </c>
      <c r="I30" s="630" t="str">
        <f>88.7+14.5</f>
        <v>0</v>
      </c>
      <c r="J30" s="630">
        <v>76.2</v>
      </c>
      <c r="L30" s="631"/>
    </row>
    <row r="31" spans="1:15">
      <c r="G31" s="609" t="str">
        <f>ROUNDDOWN((B7-E30-F30-H30-I30)/G30,0)+1</f>
        <v>0</v>
      </c>
    </row>
    <row r="32" spans="1:15">
      <c r="E32" s="609" t="str">
        <f>E30</f>
        <v>0</v>
      </c>
      <c r="F32" s="609" t="str">
        <f>F30</f>
        <v>0</v>
      </c>
      <c r="G32" s="609" t="str">
        <f>G30*(G31-1)</f>
        <v>0</v>
      </c>
      <c r="H32" s="609" t="str">
        <f>H30</f>
        <v>0</v>
      </c>
      <c r="I32" s="609" t="str">
        <f>I30</f>
        <v>0</v>
      </c>
      <c r="J32" s="625" t="str">
        <f>ROUNDDOWN(B7-SUM(E32:I32),0)</f>
        <v>0</v>
      </c>
      <c r="L32" s="632" t="str">
        <f>SUM(E32:J32)</f>
        <v>0</v>
      </c>
    </row>
    <row r="33" spans="1:15">
      <c r="J33" s="633" t="s">
        <v>118</v>
      </c>
    </row>
    <row r="34" spans="1:15">
      <c r="C34" s="623" t="s">
        <v>360</v>
      </c>
    </row>
    <row r="35" spans="1:15">
      <c r="D35" s="623" t="s">
        <v>361</v>
      </c>
    </row>
    <row r="36" spans="1:15">
      <c r="D36" s="596" t="s">
        <v>362</v>
      </c>
      <c r="G36" s="624">
        <v>45</v>
      </c>
    </row>
    <row r="37" spans="1:15">
      <c r="D37" s="596" t="s">
        <v>363</v>
      </c>
      <c r="G37" s="624" t="str">
        <f>76-G36</f>
        <v>0</v>
      </c>
      <c r="H37" s="633" t="s">
        <v>118</v>
      </c>
      <c r="O37" s="634"/>
    </row>
    <row r="38" spans="1:15" customHeight="1" ht="12.75">
      <c r="C38" s="623"/>
    </row>
    <row r="39" spans="1:15" customHeight="1" ht="36.75">
      <c r="D39" s="626" t="s">
        <v>364</v>
      </c>
      <c r="E39" s="627" t="s">
        <v>365</v>
      </c>
      <c r="F39" s="627" t="s">
        <v>355</v>
      </c>
      <c r="G39" s="627" t="s">
        <v>356</v>
      </c>
      <c r="H39" s="627" t="s">
        <v>357</v>
      </c>
      <c r="I39" s="627" t="s">
        <v>358</v>
      </c>
      <c r="J39" s="628" t="s">
        <v>359</v>
      </c>
      <c r="L39" s="629" t="s">
        <v>236</v>
      </c>
    </row>
    <row r="40" spans="1:15" customHeight="1" ht="12.75">
      <c r="D40" s="630" t="str">
        <f>88.7+14.5</f>
        <v>0</v>
      </c>
      <c r="E40" s="630">
        <v>76.2</v>
      </c>
      <c r="F40" s="630">
        <v>46.1</v>
      </c>
      <c r="G40" s="630">
        <v>76.2</v>
      </c>
      <c r="H40" s="630">
        <v>46.1</v>
      </c>
      <c r="I40" s="630" t="str">
        <f>88.7+14.5</f>
        <v>0</v>
      </c>
      <c r="J40" s="630">
        <v>76.2</v>
      </c>
      <c r="L40" s="631"/>
    </row>
    <row r="41" spans="1:15">
      <c r="G41" s="609" t="str">
        <f>ROUNDDOWN((B7-D40-F40-H40-I40)/G40,0)+1</f>
        <v>0</v>
      </c>
    </row>
    <row r="42" spans="1:15">
      <c r="D42" s="609" t="str">
        <f>D40</f>
        <v>0</v>
      </c>
      <c r="E42" s="625" t="str">
        <f>IF(J42&lt;G36,0,ROUNDDOWN(B7-(D42+F42+G42+H42+I42+J42),0))</f>
        <v>0</v>
      </c>
      <c r="F42" s="609" t="str">
        <f>F40</f>
        <v>0</v>
      </c>
      <c r="G42" s="609" t="str">
        <f>G40*(G41-1)</f>
        <v>0</v>
      </c>
      <c r="H42" s="609" t="str">
        <f>H40</f>
        <v>0</v>
      </c>
      <c r="I42" s="609" t="str">
        <f>I40</f>
        <v>0</v>
      </c>
      <c r="J42" s="625" t="str">
        <f>ROUNDDOWN(IF(B7-(D42+F42+G42+H42+I42)&lt;=G36,B7-(D42+F42+G42+H42+I42),G36),0)</f>
        <v>0</v>
      </c>
      <c r="L42" s="632" t="str">
        <f>SUM(D42:J42)</f>
        <v>0</v>
      </c>
    </row>
    <row r="43" spans="1:15">
      <c r="E43" s="633" t="s">
        <v>118</v>
      </c>
      <c r="J43" s="633" t="s">
        <v>118</v>
      </c>
    </row>
    <row r="46" spans="1:15" customHeight="1" ht="12.75">
      <c r="C46" s="623" t="s">
        <v>366</v>
      </c>
    </row>
    <row r="47" spans="1:15" customHeight="1" ht="12.75">
      <c r="H47" s="626" t="s">
        <v>48</v>
      </c>
      <c r="I47" s="627" t="s">
        <v>367</v>
      </c>
      <c r="J47" s="628" t="s">
        <v>368</v>
      </c>
    </row>
    <row r="48" spans="1:15">
      <c r="E48" s="596" t="s">
        <v>369</v>
      </c>
      <c r="H48" s="630" t="str">
        <f>22.2+2.5-IF(IFERROR(SEARCH("B",'H - INPUT'!F30),0)&gt;0,0,22.2)</f>
        <v>0</v>
      </c>
      <c r="I48" s="630" t="str">
        <f>SUM('Panel BF'!B21:C21)</f>
        <v>0</v>
      </c>
      <c r="J48" s="630" t="str">
        <f>SUM('Panel BP'!B22:C22)</f>
        <v>0</v>
      </c>
    </row>
    <row r="49" spans="1:15">
      <c r="E49" s="596" t="str">
        <f>B4</f>
        <v>0</v>
      </c>
      <c r="H49" s="609" t="str">
        <f>IF(E49=H47,H48,".")</f>
        <v>0</v>
      </c>
      <c r="I49" s="609" t="str">
        <f>IF(E49=I47,I48,".")</f>
        <v>0</v>
      </c>
      <c r="J49" s="609" t="str">
        <f>IF(E49=J47,J48,".")</f>
        <v>0</v>
      </c>
    </row>
    <row r="51" spans="1:15">
      <c r="D51" s="596" t="s">
        <v>370</v>
      </c>
      <c r="H51" s="635" t="str">
        <f>IF(B5="Centre of Panel",ROUND(B7/2,0),B5)</f>
        <v>0</v>
      </c>
      <c r="I51" s="636"/>
    </row>
    <row r="52" spans="1:15">
      <c r="D52" s="596" t="s">
        <v>371</v>
      </c>
      <c r="H52" s="637" t="str">
        <f>IF(H51="N/A","N/A",H51-SUM(H49:J49))</f>
        <v>0</v>
      </c>
      <c r="I52" s="598"/>
    </row>
    <row r="53" spans="1:15">
      <c r="D53" s="596" t="s">
        <v>372</v>
      </c>
      <c r="H53" s="638" t="str">
        <f>IF(H51="N/A","N/A",ROUND((H52-IF(G26="Type 1",I32+J32,I42+J42)-H30)/G30+1,0))</f>
        <v>0</v>
      </c>
      <c r="I53" s="638"/>
    </row>
    <row r="54" spans="1:15">
      <c r="D54" s="596" t="s">
        <v>373</v>
      </c>
      <c r="H54" s="639" t="str">
        <f>IF(H51="N/A","N/A",ROUND(SUM(H49:J49)+IF(G26="Type 1",I32+J32,I42+J42)+H30+H53*G30-G30,0))</f>
        <v>0</v>
      </c>
      <c r="I54" s="639"/>
      <c r="J54" s="633" t="s">
        <v>374</v>
      </c>
    </row>
    <row r="55" spans="1:15">
      <c r="D55" s="596" t="s">
        <v>375</v>
      </c>
      <c r="H55" s="637" t="str">
        <f>IF(H51="N/A","N/A",H51-H54)</f>
        <v>0</v>
      </c>
      <c r="I55" s="598"/>
    </row>
    <row r="58" spans="1:15" customHeight="1" ht="12.75">
      <c r="C58" s="623" t="s">
        <v>376</v>
      </c>
    </row>
    <row r="59" spans="1:15" customHeight="1" ht="12.75">
      <c r="D59" s="640" t="s">
        <v>377</v>
      </c>
      <c r="H59" s="626" t="s">
        <v>48</v>
      </c>
      <c r="I59" s="627" t="s">
        <v>367</v>
      </c>
      <c r="J59" s="628" t="s">
        <v>368</v>
      </c>
    </row>
    <row r="60" spans="1:15">
      <c r="E60" s="596" t="s">
        <v>369</v>
      </c>
      <c r="H60" s="630" t="str">
        <f>22.2+2.5-IF(IFERROR(SEARCH("B",'H - INPUT'!F30),0)&gt;0,0,22.2)</f>
        <v>0</v>
      </c>
      <c r="I60" s="630" t="str">
        <f>SUM('Panel BF'!B21:C21)</f>
        <v>0</v>
      </c>
      <c r="J60" s="630" t="str">
        <f>SUM('Panel BP'!B22:C22)</f>
        <v>0</v>
      </c>
    </row>
    <row r="61" spans="1:15">
      <c r="E61" s="596" t="str">
        <f>B4</f>
        <v>0</v>
      </c>
      <c r="H61" s="609" t="str">
        <f>IF(E61=H59,H60,".")</f>
        <v>0</v>
      </c>
      <c r="I61" s="609" t="str">
        <f>IF(E61=I59,I60,".")</f>
        <v>0</v>
      </c>
      <c r="J61" s="609" t="str">
        <f>IF(E61=J59,J60,".")</f>
        <v>0</v>
      </c>
    </row>
    <row r="62" spans="1:15">
      <c r="H62" s="641"/>
      <c r="I62" s="641"/>
      <c r="J62" s="641"/>
    </row>
    <row r="64" spans="1:15">
      <c r="D64" s="596" t="s">
        <v>378</v>
      </c>
      <c r="H64" s="642" t="str">
        <f>IF(AND(B4="Hinged",'H - INPUT'!F49="Custom"),'H - INPUT'!F50,IF(AND(B4="Bi-Fold",'BF - INPUT'!F51="Custom"),'BF - INPUT'!F52,IF(AND(B4="By-Pass",'BP - INPUT'!F50="Custom"),'BP - INPUT'!F51,0)))</f>
        <v>0</v>
      </c>
      <c r="I64" s="598"/>
      <c r="L64" s="599"/>
    </row>
    <row r="65" spans="1:15">
      <c r="D65" s="596" t="s">
        <v>379</v>
      </c>
      <c r="H65" s="643" t="str">
        <f>H64-SUM(H61:J61)</f>
        <v>0</v>
      </c>
      <c r="I65" s="644"/>
      <c r="L65" s="599"/>
    </row>
    <row r="66" spans="1:15">
      <c r="D66" s="596" t="s">
        <v>372</v>
      </c>
      <c r="H66" s="638" t="str">
        <f>IF(H64=0,"N/A",ROUND((H65-IF(G26="Type 1",I32+J32,I42+J42)-H30)/G30+1,0))</f>
        <v>0</v>
      </c>
      <c r="I66" s="638"/>
      <c r="L66" s="599"/>
    </row>
    <row r="67" spans="1:15">
      <c r="D67" s="596" t="s">
        <v>373</v>
      </c>
      <c r="H67" s="639" t="str">
        <f>IF(H64=0,"N/A",ROUND(SUM(H61:J61)+IF(G26="Type 1",I32+J32,I42+J42)+H30+H66*G30-G30,0))</f>
        <v>0</v>
      </c>
      <c r="I67" s="639"/>
      <c r="J67" s="633" t="s">
        <v>374</v>
      </c>
      <c r="L67" s="599"/>
    </row>
    <row r="68" spans="1:15">
      <c r="D68" s="596" t="s">
        <v>375</v>
      </c>
      <c r="H68" s="642" t="str">
        <f>IF(H64=0,"N/A",H64-H67)</f>
        <v>0</v>
      </c>
      <c r="I68" s="598"/>
      <c r="L68" s="599"/>
    </row>
    <row r="69" spans="1:15" customHeight="1" ht="12.75"/>
    <row r="70" spans="1:15" customHeight="1" ht="12.75">
      <c r="H70" s="626" t="s">
        <v>48</v>
      </c>
      <c r="I70" s="627" t="s">
        <v>367</v>
      </c>
      <c r="J70" s="628" t="s">
        <v>368</v>
      </c>
    </row>
    <row r="71" spans="1:15">
      <c r="D71" s="596" t="s">
        <v>49</v>
      </c>
      <c r="H71" s="618" t="s">
        <v>49</v>
      </c>
      <c r="I71" s="618" t="s">
        <v>49</v>
      </c>
      <c r="J71" s="618" t="s">
        <v>49</v>
      </c>
    </row>
    <row r="72" spans="1:15">
      <c r="D72" s="596" t="s">
        <v>380</v>
      </c>
      <c r="H72" s="609" t="str">
        <f>ROUNDUP(('H - MO'!L24+'H - MO'!L25+IF('H - MO'!N13&gt;0,1,0))/2,0)</f>
        <v>0</v>
      </c>
      <c r="I72" s="609" t="str">
        <f>ROUNDUP(('BF - MO'!L23+'BF - MO'!L24+IF('BF - MO'!N13&gt;0,1,0))/2,0)</f>
        <v>0</v>
      </c>
      <c r="J72" s="609" t="str">
        <f>ROUNDUP(('BP - MO'!L23+'BP - MO'!L24+IF('BP - MO'!N13&gt;0,1,0))/2,0)</f>
        <v>0</v>
      </c>
    </row>
    <row r="73" spans="1:15">
      <c r="D73" s="596" t="s">
        <v>381</v>
      </c>
      <c r="H73" s="609" t="str">
        <f>ROUNDUP(('H - MO'!L24)/2,0)</f>
        <v>0</v>
      </c>
      <c r="I73" s="609" t="str">
        <f>ROUNDUP(('BF - MO'!L23)/2,0)</f>
        <v>0</v>
      </c>
      <c r="J73" s="609" t="str">
        <f>ROUNDUP(('BP - MO'!L23)/2,0)</f>
        <v>0</v>
      </c>
    </row>
    <row r="74" spans="1:15">
      <c r="D74" s="596" t="s">
        <v>382</v>
      </c>
      <c r="H74" s="609" t="str">
        <f>ROUNDUP(('H - MO'!L25)/2,0)</f>
        <v>0</v>
      </c>
      <c r="I74" s="609" t="str">
        <f>ROUNDUP(('BF - MO'!L24)/2,0)</f>
        <v>0</v>
      </c>
      <c r="J74" s="609" t="str">
        <f>ROUNDUP(('BP - MO'!L24)/2,0)</f>
        <v>0</v>
      </c>
    </row>
    <row r="75" spans="1:15">
      <c r="D75" s="640" t="s">
        <v>377</v>
      </c>
      <c r="H75" s="609" t="str">
        <f>IF(B4="Hinged",H66,"N/A")</f>
        <v>0</v>
      </c>
      <c r="I75" s="609" t="str">
        <f>IF(B4="Bi-Fold",H66,"N/A")</f>
        <v>0</v>
      </c>
      <c r="J75" s="609" t="str">
        <f>IF(B4="By-Pass",H66,"N/A")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63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15.5" customWidth="true" style="0"/>
    <col min="3" max="3" width="11.6640625" customWidth="true" style="0"/>
    <col min="4" max="4" width="1.33203125" customWidth="true" style="0"/>
    <col min="5" max="5" width="1.33203125" customWidth="true" style="0"/>
    <col min="7" max="7" width="1.5" customWidth="true" style="0"/>
    <col min="8" max="8" width="1.6640625" customWidth="true" style="0"/>
    <col min="10" max="10" width="15.83203125" customWidth="true" style="0"/>
    <col min="11" max="11" width="15.33203125" customWidth="true" style="0"/>
    <col min="12" max="12" width="15.83203125" customWidth="true" style="0"/>
    <col min="13" max="13" width="15.6640625" customWidth="true" style="0"/>
    <col min="14" max="14" width="5.5" customWidth="true" style="0"/>
    <col min="15" max="15" width="40.6640625" customWidth="true" style="0"/>
    <col min="16" max="16" width="13.6640625" customWidth="true" style="1"/>
  </cols>
  <sheetData>
    <row r="1" spans="1:16" customHeight="1" ht="15">
      <c r="A1" s="100" t="s">
        <v>383</v>
      </c>
    </row>
    <row r="2" spans="1:16">
      <c r="E2" s="253"/>
      <c r="F2" s="252" t="s">
        <v>384</v>
      </c>
      <c r="G2" s="253"/>
      <c r="I2" t="s">
        <v>385</v>
      </c>
    </row>
    <row r="3" spans="1:16">
      <c r="F3" s="6"/>
    </row>
    <row r="4" spans="1:16">
      <c r="E4" s="253"/>
      <c r="F4" s="252" t="s">
        <v>166</v>
      </c>
      <c r="G4" s="253"/>
      <c r="I4" t="s">
        <v>386</v>
      </c>
    </row>
    <row r="5" spans="1:16" customHeight="1" ht="5.25">
      <c r="D5" s="253"/>
      <c r="E5" s="253"/>
      <c r="F5" s="6"/>
    </row>
    <row r="6" spans="1:16">
      <c r="F6" s="6"/>
    </row>
    <row r="7" spans="1:16" customHeight="1" ht="5.25">
      <c r="D7" s="253"/>
      <c r="E7" s="253"/>
      <c r="F7" s="6"/>
    </row>
    <row r="8" spans="1:16">
      <c r="E8" s="253"/>
      <c r="F8" s="252" t="s">
        <v>387</v>
      </c>
      <c r="G8" s="253"/>
      <c r="I8" t="s">
        <v>388</v>
      </c>
    </row>
    <row r="9" spans="1:16">
      <c r="F9" s="6"/>
    </row>
    <row r="10" spans="1:16" customHeight="1" ht="5.25">
      <c r="F10" s="6"/>
      <c r="G10" s="253"/>
      <c r="H10" s="253"/>
    </row>
    <row r="11" spans="1:16">
      <c r="E11" s="253"/>
      <c r="F11" s="252" t="s">
        <v>389</v>
      </c>
      <c r="G11" s="253"/>
      <c r="I11" t="s">
        <v>390</v>
      </c>
    </row>
    <row r="12" spans="1:16">
      <c r="K12" s="255" t="s">
        <v>391</v>
      </c>
      <c r="M12" s="255" t="s">
        <v>391</v>
      </c>
    </row>
    <row r="13" spans="1:16">
      <c r="E13" s="253"/>
      <c r="F13" s="252" t="s">
        <v>392</v>
      </c>
      <c r="G13" s="253"/>
      <c r="I13" t="s">
        <v>393</v>
      </c>
    </row>
    <row r="14" spans="1:16" customHeight="1" ht="5.25">
      <c r="D14" s="1"/>
      <c r="E14" s="1"/>
      <c r="F14" s="6"/>
      <c r="G14" s="253"/>
      <c r="H14" s="253"/>
    </row>
    <row r="15" spans="1:16" customHeight="1" ht="12.75">
      <c r="F15" s="6"/>
    </row>
    <row r="16" spans="1:16" customHeight="1" ht="12.75">
      <c r="F16" s="6"/>
      <c r="I16" s="1174" t="s">
        <v>394</v>
      </c>
      <c r="J16" s="259" t="s">
        <v>395</v>
      </c>
      <c r="K16" s="259" t="s">
        <v>395</v>
      </c>
      <c r="L16" s="259" t="s">
        <v>396</v>
      </c>
      <c r="M16" s="260" t="s">
        <v>396</v>
      </c>
    </row>
    <row r="17" spans="1:16" customHeight="1" ht="24.75">
      <c r="A17" s="378" t="s">
        <v>397</v>
      </c>
      <c r="B17" s="379"/>
      <c r="C17" s="380" t="s">
        <v>398</v>
      </c>
      <c r="I17" s="1175"/>
      <c r="J17" s="261" t="s">
        <v>399</v>
      </c>
      <c r="K17" s="262" t="s">
        <v>400</v>
      </c>
      <c r="L17" s="261" t="s">
        <v>399</v>
      </c>
      <c r="M17" s="263" t="s">
        <v>400</v>
      </c>
      <c r="O17" s="101" t="s">
        <v>401</v>
      </c>
      <c r="P17" s="102"/>
    </row>
    <row r="18" spans="1:16">
      <c r="A18" s="377" t="s">
        <v>49</v>
      </c>
      <c r="B18" s="11" t="s">
        <v>384</v>
      </c>
      <c r="C18" s="11">
        <v>0</v>
      </c>
      <c r="I18" s="7" t="s">
        <v>246</v>
      </c>
      <c r="J18" s="257" t="s">
        <v>384</v>
      </c>
      <c r="K18" s="258" t="s">
        <v>384</v>
      </c>
      <c r="L18" s="11" t="s">
        <v>384</v>
      </c>
      <c r="M18" s="258" t="s">
        <v>384</v>
      </c>
      <c r="O18" s="24" t="s">
        <v>313</v>
      </c>
      <c r="P18" s="99" t="s">
        <v>384</v>
      </c>
    </row>
    <row r="19" spans="1:16">
      <c r="A19" s="321" t="s">
        <v>141</v>
      </c>
      <c r="B19" s="99" t="s">
        <v>384</v>
      </c>
      <c r="C19" s="99">
        <v>0</v>
      </c>
      <c r="I19" s="24" t="s">
        <v>247</v>
      </c>
      <c r="J19" s="99" t="s">
        <v>384</v>
      </c>
      <c r="K19" s="256" t="s">
        <v>166</v>
      </c>
      <c r="L19" s="99" t="s">
        <v>384</v>
      </c>
      <c r="M19" s="99" t="s">
        <v>384</v>
      </c>
      <c r="O19" s="24" t="s">
        <v>314</v>
      </c>
      <c r="P19" s="99" t="s">
        <v>402</v>
      </c>
    </row>
    <row r="20" spans="1:16">
      <c r="A20" s="321" t="s">
        <v>142</v>
      </c>
      <c r="B20" s="99" t="s">
        <v>384</v>
      </c>
      <c r="C20" s="99">
        <v>0</v>
      </c>
      <c r="I20" s="24" t="s">
        <v>249</v>
      </c>
      <c r="J20" s="99" t="s">
        <v>402</v>
      </c>
      <c r="K20" s="254" t="s">
        <v>402</v>
      </c>
      <c r="L20" s="99" t="s">
        <v>403</v>
      </c>
      <c r="M20" s="254" t="s">
        <v>403</v>
      </c>
      <c r="O20" s="24" t="s">
        <v>315</v>
      </c>
      <c r="P20" s="99" t="s">
        <v>402</v>
      </c>
    </row>
    <row r="21" spans="1:16">
      <c r="A21" s="321" t="s">
        <v>87</v>
      </c>
      <c r="B21" s="99" t="s">
        <v>404</v>
      </c>
      <c r="C21" s="99">
        <v>2</v>
      </c>
      <c r="I21" s="24" t="s">
        <v>255</v>
      </c>
      <c r="J21" s="99" t="s">
        <v>402</v>
      </c>
      <c r="K21" s="99" t="s">
        <v>405</v>
      </c>
      <c r="L21" s="99" t="s">
        <v>403</v>
      </c>
      <c r="M21" s="99" t="s">
        <v>406</v>
      </c>
      <c r="O21" s="24" t="s">
        <v>316</v>
      </c>
      <c r="P21" s="99" t="s">
        <v>407</v>
      </c>
    </row>
    <row r="22" spans="1:16">
      <c r="A22" s="321" t="s">
        <v>143</v>
      </c>
      <c r="B22" s="99" t="s">
        <v>402</v>
      </c>
      <c r="C22" s="99">
        <v>0</v>
      </c>
      <c r="I22" s="24" t="s">
        <v>256</v>
      </c>
      <c r="J22" s="99" t="s">
        <v>402</v>
      </c>
      <c r="K22" s="99" t="s">
        <v>405</v>
      </c>
      <c r="L22" s="99" t="s">
        <v>403</v>
      </c>
      <c r="M22" s="99" t="s">
        <v>406</v>
      </c>
      <c r="O22" s="24" t="s">
        <v>317</v>
      </c>
      <c r="P22" s="99" t="s">
        <v>408</v>
      </c>
    </row>
    <row r="23" spans="1:16">
      <c r="A23" s="321" t="s">
        <v>144</v>
      </c>
      <c r="B23" s="99" t="s">
        <v>402</v>
      </c>
      <c r="C23" s="99">
        <v>0</v>
      </c>
      <c r="I23" s="24" t="s">
        <v>258</v>
      </c>
      <c r="J23" s="99" t="s">
        <v>402</v>
      </c>
      <c r="K23" s="99" t="s">
        <v>405</v>
      </c>
      <c r="L23" s="99" t="s">
        <v>403</v>
      </c>
      <c r="M23" s="99" t="s">
        <v>406</v>
      </c>
      <c r="O23" s="24" t="s">
        <v>318</v>
      </c>
      <c r="P23" s="99" t="s">
        <v>409</v>
      </c>
    </row>
    <row r="24" spans="1:16">
      <c r="A24" s="321" t="s">
        <v>145</v>
      </c>
      <c r="B24" s="99" t="s">
        <v>410</v>
      </c>
      <c r="C24" s="99">
        <v>2</v>
      </c>
      <c r="I24" s="24" t="s">
        <v>259</v>
      </c>
      <c r="J24" s="99" t="s">
        <v>411</v>
      </c>
      <c r="K24" s="254" t="s">
        <v>411</v>
      </c>
      <c r="L24" s="99" t="s">
        <v>412</v>
      </c>
      <c r="M24" s="254" t="s">
        <v>412</v>
      </c>
      <c r="O24" s="24" t="s">
        <v>319</v>
      </c>
      <c r="P24" s="99" t="s">
        <v>409</v>
      </c>
    </row>
    <row r="25" spans="1:16">
      <c r="A25" s="321" t="s">
        <v>146</v>
      </c>
      <c r="B25" s="99" t="s">
        <v>413</v>
      </c>
      <c r="C25" s="99">
        <v>1</v>
      </c>
      <c r="I25" s="24" t="s">
        <v>260</v>
      </c>
      <c r="J25" s="99" t="s">
        <v>412</v>
      </c>
      <c r="K25" s="99" t="s">
        <v>414</v>
      </c>
      <c r="L25" s="99" t="s">
        <v>411</v>
      </c>
      <c r="M25" s="99" t="s">
        <v>415</v>
      </c>
      <c r="O25" s="24" t="s">
        <v>320</v>
      </c>
      <c r="P25" s="99" t="s">
        <v>416</v>
      </c>
    </row>
    <row r="26" spans="1:16">
      <c r="A26" s="321" t="s">
        <v>147</v>
      </c>
      <c r="B26" s="99" t="s">
        <v>417</v>
      </c>
      <c r="C26" s="99">
        <v>1</v>
      </c>
      <c r="I26" s="24" t="s">
        <v>262</v>
      </c>
      <c r="J26" s="99" t="s">
        <v>411</v>
      </c>
      <c r="K26" s="99" t="s">
        <v>415</v>
      </c>
      <c r="L26" s="99" t="s">
        <v>412</v>
      </c>
      <c r="M26" s="99" t="s">
        <v>414</v>
      </c>
      <c r="O26" s="24" t="s">
        <v>321</v>
      </c>
      <c r="P26" s="99" t="s">
        <v>418</v>
      </c>
    </row>
    <row r="27" spans="1:16">
      <c r="A27" s="321" t="s">
        <v>148</v>
      </c>
      <c r="B27" s="99" t="s">
        <v>407</v>
      </c>
      <c r="C27" s="99">
        <v>0</v>
      </c>
      <c r="I27" s="24" t="s">
        <v>263</v>
      </c>
      <c r="J27" s="99" t="s">
        <v>412</v>
      </c>
      <c r="K27" s="99" t="s">
        <v>414</v>
      </c>
      <c r="L27" s="99" t="s">
        <v>411</v>
      </c>
      <c r="M27" s="99" t="s">
        <v>415</v>
      </c>
      <c r="O27" s="24" t="s">
        <v>322</v>
      </c>
      <c r="P27" s="99" t="s">
        <v>418</v>
      </c>
    </row>
    <row r="28" spans="1:16">
      <c r="A28" s="321" t="s">
        <v>149</v>
      </c>
      <c r="B28" s="99" t="s">
        <v>407</v>
      </c>
      <c r="C28" s="99">
        <v>0</v>
      </c>
      <c r="I28" s="24" t="s">
        <v>264</v>
      </c>
      <c r="J28" s="99" t="s">
        <v>419</v>
      </c>
      <c r="K28" s="254" t="s">
        <v>419</v>
      </c>
      <c r="L28" s="99" t="s">
        <v>420</v>
      </c>
      <c r="M28" s="254" t="s">
        <v>420</v>
      </c>
      <c r="O28" s="24" t="s">
        <v>323</v>
      </c>
      <c r="P28" s="99" t="s">
        <v>421</v>
      </c>
    </row>
    <row r="29" spans="1:16">
      <c r="A29" s="321" t="s">
        <v>150</v>
      </c>
      <c r="B29" s="99" t="s">
        <v>422</v>
      </c>
      <c r="C29" s="99">
        <v>4</v>
      </c>
      <c r="I29" s="24" t="s">
        <v>265</v>
      </c>
      <c r="J29" s="99" t="s">
        <v>419</v>
      </c>
      <c r="K29" s="99" t="s">
        <v>423</v>
      </c>
      <c r="L29" s="99" t="s">
        <v>420</v>
      </c>
      <c r="M29" s="99" t="s">
        <v>424</v>
      </c>
      <c r="O29" s="24" t="s">
        <v>324</v>
      </c>
      <c r="P29" s="99" t="s">
        <v>425</v>
      </c>
    </row>
    <row r="30" spans="1:16">
      <c r="I30" s="24" t="s">
        <v>266</v>
      </c>
      <c r="J30" s="99" t="s">
        <v>419</v>
      </c>
      <c r="K30" s="99" t="s">
        <v>423</v>
      </c>
      <c r="L30" s="99" t="s">
        <v>420</v>
      </c>
      <c r="M30" s="99" t="s">
        <v>424</v>
      </c>
      <c r="O30" s="24" t="s">
        <v>325</v>
      </c>
      <c r="P30" s="99" t="s">
        <v>426</v>
      </c>
    </row>
    <row r="31" spans="1:16">
      <c r="I31" s="24" t="s">
        <v>267</v>
      </c>
      <c r="J31" s="99" t="s">
        <v>419</v>
      </c>
      <c r="K31" s="99" t="s">
        <v>423</v>
      </c>
      <c r="L31" s="99" t="s">
        <v>420</v>
      </c>
      <c r="M31" s="99" t="s">
        <v>424</v>
      </c>
      <c r="O31" s="24" t="s">
        <v>326</v>
      </c>
      <c r="P31" s="99" t="s">
        <v>427</v>
      </c>
    </row>
    <row r="32" spans="1:16">
      <c r="I32" s="24" t="s">
        <v>268</v>
      </c>
      <c r="J32" s="99" t="s">
        <v>428</v>
      </c>
      <c r="K32" s="254" t="s">
        <v>428</v>
      </c>
      <c r="L32" s="99" t="s">
        <v>429</v>
      </c>
      <c r="M32" s="254" t="s">
        <v>429</v>
      </c>
      <c r="O32" s="24" t="s">
        <v>327</v>
      </c>
      <c r="P32" s="99" t="s">
        <v>408</v>
      </c>
    </row>
    <row r="33" spans="1:16">
      <c r="I33" s="24" t="s">
        <v>269</v>
      </c>
      <c r="J33" s="99" t="s">
        <v>429</v>
      </c>
      <c r="K33" s="99" t="s">
        <v>430</v>
      </c>
      <c r="L33" s="99" t="s">
        <v>428</v>
      </c>
      <c r="M33" s="99" t="s">
        <v>431</v>
      </c>
      <c r="O33" s="24" t="s">
        <v>328</v>
      </c>
      <c r="P33" s="99" t="s">
        <v>421</v>
      </c>
    </row>
    <row r="34" spans="1:16">
      <c r="I34" s="24" t="s">
        <v>271</v>
      </c>
      <c r="J34" s="99" t="s">
        <v>428</v>
      </c>
      <c r="K34" s="99" t="s">
        <v>431</v>
      </c>
      <c r="L34" s="99" t="s">
        <v>429</v>
      </c>
      <c r="M34" s="99" t="s">
        <v>430</v>
      </c>
      <c r="O34" s="24" t="s">
        <v>329</v>
      </c>
      <c r="P34" s="99" t="s">
        <v>421</v>
      </c>
    </row>
    <row r="35" spans="1:16">
      <c r="I35" s="24" t="s">
        <v>272</v>
      </c>
      <c r="J35" s="99" t="s">
        <v>429</v>
      </c>
      <c r="K35" s="99" t="s">
        <v>430</v>
      </c>
      <c r="L35" s="99" t="s">
        <v>428</v>
      </c>
      <c r="M35" s="99" t="s">
        <v>431</v>
      </c>
    </row>
    <row r="36" spans="1:16">
      <c r="I36" s="24" t="s">
        <v>273</v>
      </c>
      <c r="J36" s="99" t="s">
        <v>432</v>
      </c>
      <c r="K36" s="254" t="s">
        <v>432</v>
      </c>
      <c r="L36" s="99" t="s">
        <v>433</v>
      </c>
      <c r="M36" s="254" t="s">
        <v>433</v>
      </c>
    </row>
    <row r="37" spans="1:16">
      <c r="I37" s="24" t="s">
        <v>275</v>
      </c>
      <c r="J37" s="99" t="s">
        <v>432</v>
      </c>
      <c r="K37" s="99" t="s">
        <v>434</v>
      </c>
      <c r="L37" s="99" t="s">
        <v>433</v>
      </c>
      <c r="M37" s="99" t="s">
        <v>435</v>
      </c>
    </row>
    <row r="38" spans="1:16">
      <c r="I38" s="24" t="s">
        <v>276</v>
      </c>
      <c r="J38" s="99" t="s">
        <v>432</v>
      </c>
      <c r="K38" s="99" t="s">
        <v>434</v>
      </c>
      <c r="L38" s="99" t="s">
        <v>433</v>
      </c>
      <c r="M38" s="99" t="s">
        <v>435</v>
      </c>
    </row>
    <row r="39" spans="1:16">
      <c r="I39" s="24" t="s">
        <v>277</v>
      </c>
      <c r="J39" s="99" t="s">
        <v>432</v>
      </c>
      <c r="K39" s="99" t="s">
        <v>434</v>
      </c>
      <c r="L39" s="99" t="s">
        <v>433</v>
      </c>
      <c r="M39" s="99" t="s">
        <v>435</v>
      </c>
    </row>
    <row r="40" spans="1:16">
      <c r="I40" s="24" t="s">
        <v>279</v>
      </c>
      <c r="J40" s="99" t="s">
        <v>436</v>
      </c>
      <c r="K40" s="254" t="s">
        <v>436</v>
      </c>
      <c r="L40" s="99" t="s">
        <v>437</v>
      </c>
      <c r="M40" s="254" t="s">
        <v>437</v>
      </c>
    </row>
    <row r="41" spans="1:16">
      <c r="I41" s="24" t="s">
        <v>280</v>
      </c>
      <c r="J41" s="99" t="s">
        <v>437</v>
      </c>
      <c r="K41" s="99" t="s">
        <v>438</v>
      </c>
      <c r="L41" s="99" t="s">
        <v>436</v>
      </c>
      <c r="M41" s="99" t="s">
        <v>439</v>
      </c>
    </row>
    <row r="42" spans="1:16">
      <c r="I42" s="24" t="s">
        <v>281</v>
      </c>
      <c r="J42" s="99" t="s">
        <v>436</v>
      </c>
      <c r="K42" s="99" t="s">
        <v>439</v>
      </c>
      <c r="L42" s="99" t="s">
        <v>437</v>
      </c>
      <c r="M42" s="99" t="s">
        <v>438</v>
      </c>
    </row>
    <row r="43" spans="1:16">
      <c r="I43" s="24" t="s">
        <v>283</v>
      </c>
      <c r="J43" s="99" t="s">
        <v>437</v>
      </c>
      <c r="K43" s="99" t="s">
        <v>438</v>
      </c>
      <c r="L43" s="99" t="s">
        <v>436</v>
      </c>
      <c r="M43" s="99" t="s">
        <v>439</v>
      </c>
    </row>
    <row r="44" spans="1:16">
      <c r="I44" s="24" t="s">
        <v>284</v>
      </c>
      <c r="J44" s="99" t="s">
        <v>440</v>
      </c>
      <c r="K44" s="254" t="s">
        <v>440</v>
      </c>
      <c r="L44" s="99" t="s">
        <v>441</v>
      </c>
      <c r="M44" s="254" t="s">
        <v>441</v>
      </c>
    </row>
    <row r="45" spans="1:16">
      <c r="I45" s="24" t="s">
        <v>285</v>
      </c>
      <c r="J45" s="99" t="s">
        <v>440</v>
      </c>
      <c r="K45" s="99" t="s">
        <v>442</v>
      </c>
      <c r="L45" s="99" t="s">
        <v>441</v>
      </c>
      <c r="M45" s="99" t="s">
        <v>443</v>
      </c>
    </row>
    <row r="46" spans="1:16">
      <c r="I46" s="24" t="s">
        <v>287</v>
      </c>
      <c r="J46" s="99" t="s">
        <v>440</v>
      </c>
      <c r="K46" s="99" t="s">
        <v>442</v>
      </c>
      <c r="L46" s="99" t="s">
        <v>441</v>
      </c>
      <c r="M46" s="99" t="s">
        <v>443</v>
      </c>
    </row>
    <row r="47" spans="1:16">
      <c r="I47" s="24" t="s">
        <v>288</v>
      </c>
      <c r="J47" s="99" t="s">
        <v>440</v>
      </c>
      <c r="K47" s="99" t="s">
        <v>442</v>
      </c>
      <c r="L47" s="99" t="s">
        <v>441</v>
      </c>
      <c r="M47" s="99" t="s">
        <v>443</v>
      </c>
    </row>
    <row r="48" spans="1:16">
      <c r="I48" s="24" t="s">
        <v>289</v>
      </c>
      <c r="J48" s="99" t="s">
        <v>444</v>
      </c>
      <c r="K48" s="254" t="s">
        <v>444</v>
      </c>
      <c r="L48" s="99" t="s">
        <v>445</v>
      </c>
      <c r="M48" s="254" t="s">
        <v>445</v>
      </c>
    </row>
    <row r="49" spans="1:16">
      <c r="I49" s="24" t="s">
        <v>291</v>
      </c>
      <c r="J49" s="99" t="s">
        <v>445</v>
      </c>
      <c r="K49" s="99" t="s">
        <v>446</v>
      </c>
      <c r="L49" s="99" t="s">
        <v>444</v>
      </c>
      <c r="M49" s="99" t="s">
        <v>447</v>
      </c>
    </row>
    <row r="50" spans="1:16">
      <c r="I50" s="24" t="s">
        <v>292</v>
      </c>
      <c r="J50" s="99" t="s">
        <v>444</v>
      </c>
      <c r="K50" s="99" t="s">
        <v>447</v>
      </c>
      <c r="L50" s="99" t="s">
        <v>445</v>
      </c>
      <c r="M50" s="99" t="s">
        <v>446</v>
      </c>
    </row>
    <row r="51" spans="1:16">
      <c r="I51" s="24" t="s">
        <v>293</v>
      </c>
      <c r="J51" s="99" t="s">
        <v>445</v>
      </c>
      <c r="K51" s="99" t="s">
        <v>446</v>
      </c>
      <c r="L51" s="99" t="s">
        <v>444</v>
      </c>
      <c r="M51" s="99" t="s">
        <v>447</v>
      </c>
    </row>
    <row r="52" spans="1:16">
      <c r="I52" s="24" t="s">
        <v>294</v>
      </c>
      <c r="J52" s="99" t="s">
        <v>448</v>
      </c>
      <c r="K52" s="254" t="s">
        <v>448</v>
      </c>
      <c r="L52" s="99" t="s">
        <v>449</v>
      </c>
      <c r="M52" s="254" t="s">
        <v>449</v>
      </c>
    </row>
    <row r="53" spans="1:16">
      <c r="I53" s="24" t="s">
        <v>295</v>
      </c>
      <c r="J53" s="99" t="s">
        <v>448</v>
      </c>
      <c r="K53" s="99" t="s">
        <v>450</v>
      </c>
      <c r="L53" s="99" t="s">
        <v>449</v>
      </c>
      <c r="M53" s="99" t="s">
        <v>451</v>
      </c>
    </row>
    <row r="54" spans="1:16">
      <c r="I54" s="24" t="s">
        <v>296</v>
      </c>
      <c r="J54" s="99" t="s">
        <v>448</v>
      </c>
      <c r="K54" s="99" t="s">
        <v>450</v>
      </c>
      <c r="L54" s="99" t="s">
        <v>449</v>
      </c>
      <c r="M54" s="99" t="s">
        <v>451</v>
      </c>
    </row>
    <row r="55" spans="1:16">
      <c r="I55" s="24" t="s">
        <v>297</v>
      </c>
      <c r="J55" s="99" t="s">
        <v>448</v>
      </c>
      <c r="K55" s="99" t="s">
        <v>450</v>
      </c>
      <c r="L55" s="99" t="s">
        <v>449</v>
      </c>
      <c r="M55" s="99" t="s">
        <v>451</v>
      </c>
    </row>
    <row r="56" spans="1:16">
      <c r="I56" s="24" t="s">
        <v>298</v>
      </c>
      <c r="J56" s="99" t="s">
        <v>452</v>
      </c>
      <c r="K56" s="254" t="s">
        <v>452</v>
      </c>
      <c r="L56" s="99" t="s">
        <v>453</v>
      </c>
      <c r="M56" s="254" t="s">
        <v>453</v>
      </c>
    </row>
    <row r="57" spans="1:16">
      <c r="I57" s="24" t="s">
        <v>299</v>
      </c>
      <c r="J57" s="99" t="s">
        <v>453</v>
      </c>
      <c r="K57" s="99" t="s">
        <v>454</v>
      </c>
      <c r="L57" s="99" t="s">
        <v>452</v>
      </c>
      <c r="M57" s="99" t="s">
        <v>455</v>
      </c>
    </row>
    <row r="58" spans="1:16">
      <c r="I58" s="24" t="s">
        <v>300</v>
      </c>
      <c r="J58" s="99" t="s">
        <v>452</v>
      </c>
      <c r="K58" s="99" t="s">
        <v>455</v>
      </c>
      <c r="L58" s="99" t="s">
        <v>453</v>
      </c>
      <c r="M58" s="99" t="s">
        <v>454</v>
      </c>
    </row>
    <row r="59" spans="1:16">
      <c r="I59" s="24" t="s">
        <v>301</v>
      </c>
      <c r="J59" s="99" t="s">
        <v>453</v>
      </c>
      <c r="K59" s="99" t="s">
        <v>454</v>
      </c>
      <c r="L59" s="99" t="s">
        <v>452</v>
      </c>
      <c r="M59" s="99" t="s">
        <v>455</v>
      </c>
    </row>
    <row r="60" spans="1:16">
      <c r="I60" s="24" t="s">
        <v>302</v>
      </c>
      <c r="J60" s="99" t="s">
        <v>456</v>
      </c>
      <c r="K60" s="254" t="s">
        <v>456</v>
      </c>
      <c r="L60" s="99" t="s">
        <v>457</v>
      </c>
      <c r="M60" s="254" t="s">
        <v>457</v>
      </c>
    </row>
    <row r="61" spans="1:16">
      <c r="I61" s="24" t="s">
        <v>303</v>
      </c>
      <c r="J61" s="99" t="s">
        <v>456</v>
      </c>
      <c r="K61" s="99" t="s">
        <v>458</v>
      </c>
      <c r="L61" s="99" t="s">
        <v>457</v>
      </c>
      <c r="M61" s="99" t="s">
        <v>459</v>
      </c>
    </row>
    <row r="62" spans="1:16">
      <c r="I62" s="24" t="s">
        <v>304</v>
      </c>
      <c r="J62" s="99" t="s">
        <v>456</v>
      </c>
      <c r="K62" s="99" t="s">
        <v>458</v>
      </c>
      <c r="L62" s="99" t="s">
        <v>457</v>
      </c>
      <c r="M62" s="99" t="s">
        <v>459</v>
      </c>
    </row>
    <row r="63" spans="1:16">
      <c r="I63" s="24" t="s">
        <v>305</v>
      </c>
      <c r="J63" s="99" t="s">
        <v>456</v>
      </c>
      <c r="K63" s="99" t="s">
        <v>458</v>
      </c>
      <c r="L63" s="99" t="s">
        <v>457</v>
      </c>
      <c r="M63" s="99" t="s">
        <v>459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6:I17"/>
  </mergeCells>
  <printOptions gridLines="false" gridLinesSet="true"/>
  <pageMargins left="0.7086614173228347" right="0.7086614173228347" top="0.7480314960629921" bottom="0.7480314960629921" header="0.3149606299212598" footer="0.314960629921259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112"/>
  <sheetViews>
    <sheetView tabSelected="0" workbookViewId="0" showGridLines="true" showRowColHeaders="1">
      <selection activeCell="H15" sqref="H15"/>
    </sheetView>
  </sheetViews>
  <sheetFormatPr defaultRowHeight="14.4" outlineLevelRow="0" outlineLevelCol="0"/>
  <cols>
    <col min="2" max="2" width="11.6640625" customWidth="true" style="0"/>
    <col min="3" max="3" width="11.6640625" customWidth="true" style="0"/>
    <col min="4" max="4" width="13" customWidth="true" style="0"/>
    <col min="5" max="5" width="12" customWidth="true" style="0"/>
    <col min="6" max="6" width="11.5" customWidth="true" style="0"/>
    <col min="7" max="7" width="12.83203125" customWidth="true" style="0"/>
    <col min="8" max="8" width="11.1640625" customWidth="true" style="0"/>
    <col min="9" max="9" width="13" customWidth="true" style="0"/>
    <col min="10" max="10" width="11.5" customWidth="true" style="0"/>
    <col min="11" max="11" width="11.5" customWidth="true" style="0"/>
    <col min="12" max="12" width="12.33203125" customWidth="true" style="0"/>
    <col min="13" max="13" width="14" customWidth="true" style="0"/>
    <col min="14" max="14" width="14" customWidth="true" style="0"/>
    <col min="15" max="15" width="11.6640625" customWidth="true" style="0"/>
    <col min="16" max="16" width="11.5" customWidth="true" style="0"/>
    <col min="17" max="17" width="10.1640625" customWidth="true" style="0"/>
    <col min="18" max="18" width="10.1640625" customWidth="true" style="0"/>
    <col min="19" max="19" width="10.33203125" customWidth="true" style="0"/>
  </cols>
  <sheetData>
    <row r="1" spans="1:23" customHeight="1" ht="15">
      <c r="A1" s="4" t="s">
        <v>460</v>
      </c>
    </row>
    <row r="3" spans="1:23" customHeight="1" ht="12.75">
      <c r="A3" s="5" t="s">
        <v>461</v>
      </c>
      <c r="B3" t="s">
        <v>462</v>
      </c>
      <c r="G3" s="9"/>
      <c r="H3" s="9"/>
      <c r="I3" s="9"/>
      <c r="J3" s="9"/>
    </row>
    <row r="4" spans="1:23">
      <c r="B4" s="1103" t="s">
        <v>463</v>
      </c>
      <c r="C4" s="989"/>
      <c r="D4" s="994" t="s">
        <v>464</v>
      </c>
      <c r="E4" s="990"/>
      <c r="G4" s="1181"/>
      <c r="H4" s="1181"/>
      <c r="I4" s="1181"/>
      <c r="J4" s="1181"/>
    </row>
    <row r="5" spans="1:23" customHeight="1" ht="12.75">
      <c r="B5" s="103" t="s">
        <v>465</v>
      </c>
      <c r="C5" s="124" t="s">
        <v>466</v>
      </c>
      <c r="D5" s="123" t="s">
        <v>467</v>
      </c>
      <c r="E5" s="27" t="s">
        <v>468</v>
      </c>
      <c r="G5" s="9"/>
      <c r="H5" s="9"/>
      <c r="I5" s="93"/>
      <c r="J5" s="93"/>
    </row>
    <row r="6" spans="1:23">
      <c r="B6" s="122">
        <v>0</v>
      </c>
      <c r="C6" s="122">
        <v>1200</v>
      </c>
      <c r="D6" s="75">
        <v>2</v>
      </c>
      <c r="E6" s="75"/>
      <c r="G6" s="195"/>
      <c r="H6" s="195"/>
      <c r="I6" s="227"/>
      <c r="J6" s="227"/>
    </row>
    <row r="7" spans="1:23">
      <c r="B7" s="122">
        <v>1201</v>
      </c>
      <c r="C7" s="122">
        <v>1800</v>
      </c>
      <c r="D7" s="75">
        <v>3</v>
      </c>
      <c r="E7" s="75"/>
      <c r="G7" s="195"/>
      <c r="H7" s="195"/>
      <c r="I7" s="227"/>
      <c r="J7" s="227"/>
    </row>
    <row r="8" spans="1:23">
      <c r="B8" s="121">
        <v>1801</v>
      </c>
      <c r="C8" s="121">
        <v>2200</v>
      </c>
      <c r="D8" s="8">
        <v>2</v>
      </c>
      <c r="E8" s="8">
        <v>2</v>
      </c>
      <c r="G8" s="9"/>
      <c r="H8" s="9"/>
      <c r="I8" s="9"/>
      <c r="J8" s="9"/>
    </row>
    <row r="9" spans="1:23">
      <c r="B9" s="121">
        <v>2201</v>
      </c>
      <c r="C9" s="121">
        <v>2800</v>
      </c>
      <c r="D9" s="8">
        <v>3</v>
      </c>
      <c r="E9" s="8">
        <v>2</v>
      </c>
      <c r="G9" s="228"/>
      <c r="H9" s="9"/>
      <c r="I9" s="9"/>
      <c r="J9" s="9"/>
    </row>
    <row r="10" spans="1:23">
      <c r="B10" s="121">
        <v>2801</v>
      </c>
      <c r="C10" s="121">
        <v>3450</v>
      </c>
      <c r="D10" s="8">
        <v>4</v>
      </c>
      <c r="E10" s="8">
        <v>2</v>
      </c>
      <c r="G10" s="9"/>
      <c r="H10" s="9"/>
      <c r="I10" s="9"/>
      <c r="J10" s="9"/>
    </row>
    <row r="11" spans="1:23">
      <c r="B11" s="327">
        <v>2801</v>
      </c>
      <c r="C11" s="327">
        <v>3450</v>
      </c>
      <c r="D11" s="8">
        <v>4</v>
      </c>
      <c r="E11" s="8">
        <v>2</v>
      </c>
    </row>
    <row r="13" spans="1:23" customHeight="1" ht="12.75">
      <c r="A13" s="5" t="s">
        <v>469</v>
      </c>
    </row>
    <row r="14" spans="1:23" customHeight="1" ht="48.75">
      <c r="D14" s="38" t="s">
        <v>470</v>
      </c>
      <c r="E14" s="39" t="s">
        <v>471</v>
      </c>
      <c r="F14" s="39" t="s">
        <v>472</v>
      </c>
      <c r="G14" s="39" t="s">
        <v>473</v>
      </c>
      <c r="H14" s="39" t="s">
        <v>474</v>
      </c>
      <c r="I14" s="39" t="s">
        <v>475</v>
      </c>
      <c r="J14" s="40" t="s">
        <v>476</v>
      </c>
    </row>
    <row r="15" spans="1:23">
      <c r="D15" s="75" t="str">
        <f>IF('Panel Details'!G26="Type 1",('Panel Details'!I32+'Panel Details'!J32),('Panel Details'!I42+'Panel Details'!J42))</f>
        <v>0</v>
      </c>
      <c r="E15" s="75" t="str">
        <f>IFERROR('Panel Details'!H54-SUM('Panel Details'!H49:J49)+(60.2/2),0)</f>
        <v>0</v>
      </c>
      <c r="F15" s="75">
        <v>101</v>
      </c>
      <c r="G15" s="75">
        <v>43</v>
      </c>
      <c r="H15" s="593">
        <v>0</v>
      </c>
      <c r="I15" s="75">
        <v>96</v>
      </c>
      <c r="J15" s="75">
        <v>33</v>
      </c>
      <c r="L15" s="1"/>
    </row>
    <row r="16" spans="1:23">
      <c r="B16" t="s">
        <v>201</v>
      </c>
      <c r="D16" s="73" t="str">
        <f>D15</f>
        <v>0</v>
      </c>
      <c r="E16" s="73"/>
      <c r="F16" s="73" t="str">
        <f>F15</f>
        <v>0</v>
      </c>
      <c r="G16" s="73"/>
      <c r="H16" s="73"/>
      <c r="I16" s="73" t="str">
        <f>I15</f>
        <v>0</v>
      </c>
      <c r="J16" s="73" t="str">
        <f>J15</f>
        <v>0</v>
      </c>
      <c r="K16" s="128" t="str">
        <f>ROUNDDOWN(SUM(D16:J16),0)</f>
        <v>0</v>
      </c>
    </row>
    <row r="17" spans="1:23">
      <c r="B17" t="s">
        <v>477</v>
      </c>
      <c r="D17" s="73"/>
      <c r="E17" s="73" t="str">
        <f>E15</f>
        <v>0</v>
      </c>
      <c r="F17" s="73"/>
      <c r="G17" s="73" t="str">
        <f>G15</f>
        <v>0</v>
      </c>
      <c r="H17" s="73" t="str">
        <f>H15</f>
        <v>0</v>
      </c>
      <c r="I17" s="73" t="str">
        <f>I15</f>
        <v>0</v>
      </c>
      <c r="J17" s="73" t="str">
        <f>J15</f>
        <v>0</v>
      </c>
      <c r="K17" s="128" t="str">
        <f>ROUNDDOWN(SUM(D17:J17),0)</f>
        <v>0</v>
      </c>
    </row>
    <row r="19" spans="1:23" customHeight="1" ht="12.75">
      <c r="A19" s="5" t="s">
        <v>478</v>
      </c>
    </row>
    <row r="20" spans="1:23" customHeight="1" ht="36.75">
      <c r="B20" s="38" t="s">
        <v>479</v>
      </c>
      <c r="C20" s="38" t="s">
        <v>480</v>
      </c>
      <c r="D20" s="40" t="s">
        <v>481</v>
      </c>
      <c r="E20" s="40" t="s">
        <v>482</v>
      </c>
      <c r="F20" s="38" t="s">
        <v>483</v>
      </c>
    </row>
    <row r="21" spans="1:23">
      <c r="A21" t="s">
        <v>48</v>
      </c>
      <c r="B21" s="75">
        <v>9</v>
      </c>
      <c r="C21" s="203">
        <v>4</v>
      </c>
      <c r="D21" s="203">
        <v>261</v>
      </c>
      <c r="E21" s="203">
        <v>4</v>
      </c>
      <c r="F21" s="75">
        <v>13</v>
      </c>
      <c r="G21" s="128" t="str">
        <f>SUM(B21:F21)</f>
        <v>0</v>
      </c>
    </row>
    <row r="22" spans="1:23">
      <c r="A22" t="s">
        <v>484</v>
      </c>
      <c r="B22" s="75">
        <v>6</v>
      </c>
      <c r="C22" s="203">
        <v>4</v>
      </c>
      <c r="D22" s="203">
        <v>261</v>
      </c>
      <c r="E22" s="203">
        <v>4</v>
      </c>
      <c r="F22" s="75">
        <v>10</v>
      </c>
      <c r="G22" s="128" t="str">
        <f>SUM(B22:F22)</f>
        <v>0</v>
      </c>
    </row>
    <row r="24" spans="1:23" customHeight="1" ht="12.75">
      <c r="A24" s="5"/>
      <c r="G24" s="23"/>
      <c r="H24" s="23"/>
      <c r="I24" s="23"/>
      <c r="J24" s="23"/>
    </row>
    <row r="25" spans="1:23">
      <c r="A25" s="5" t="s">
        <v>485</v>
      </c>
      <c r="D25" s="1176" t="s">
        <v>486</v>
      </c>
      <c r="E25" s="1177"/>
      <c r="F25" s="1177"/>
      <c r="G25" s="1182" t="s">
        <v>487</v>
      </c>
      <c r="H25" s="1189"/>
      <c r="I25" s="1189"/>
      <c r="J25" s="1189"/>
      <c r="K25" s="1189"/>
      <c r="L25" s="1189"/>
      <c r="M25" s="1190"/>
    </row>
    <row r="26" spans="1:23" customHeight="1" ht="12.75">
      <c r="A26" s="5"/>
      <c r="D26" s="133"/>
      <c r="E26" s="1179" t="s">
        <v>488</v>
      </c>
      <c r="F26" s="1180"/>
      <c r="G26" s="1185" t="s">
        <v>489</v>
      </c>
      <c r="H26" s="1186"/>
      <c r="I26" s="1179"/>
      <c r="J26" s="132"/>
      <c r="K26" s="1179" t="s">
        <v>488</v>
      </c>
      <c r="L26" s="1180"/>
      <c r="M26" s="1191"/>
    </row>
    <row r="27" spans="1:23" customHeight="1" ht="36.75">
      <c r="B27" s="127" t="s">
        <v>490</v>
      </c>
      <c r="C27" s="131"/>
      <c r="D27" s="134" t="s">
        <v>491</v>
      </c>
      <c r="E27" s="135" t="s">
        <v>492</v>
      </c>
      <c r="F27" s="139" t="s">
        <v>493</v>
      </c>
      <c r="G27" s="138" t="s">
        <v>494</v>
      </c>
      <c r="H27" s="136" t="s">
        <v>495</v>
      </c>
      <c r="I27" s="139" t="s">
        <v>496</v>
      </c>
      <c r="J27" s="140" t="s">
        <v>497</v>
      </c>
      <c r="K27" s="135" t="s">
        <v>492</v>
      </c>
      <c r="L27" s="136" t="s">
        <v>493</v>
      </c>
      <c r="M27" s="137" t="s">
        <v>498</v>
      </c>
    </row>
    <row r="28" spans="1:23">
      <c r="B28" s="56" t="s">
        <v>49</v>
      </c>
      <c r="C28" s="57"/>
      <c r="D28" s="126">
        <v>1</v>
      </c>
      <c r="E28" s="75" t="str">
        <f>D28*2</f>
        <v>0</v>
      </c>
      <c r="F28" s="75" t="str">
        <f>D28*2</f>
        <v>0</v>
      </c>
      <c r="G28" s="75">
        <v>0</v>
      </c>
      <c r="H28" s="75">
        <v>0</v>
      </c>
      <c r="I28" s="75">
        <v>0</v>
      </c>
      <c r="J28" s="159">
        <v>0</v>
      </c>
      <c r="K28" s="75">
        <v>0</v>
      </c>
      <c r="L28" s="75">
        <v>0</v>
      </c>
      <c r="M28" s="75">
        <v>0</v>
      </c>
    </row>
    <row r="29" spans="1:23">
      <c r="B29" s="56" t="s">
        <v>141</v>
      </c>
      <c r="C29" s="57"/>
      <c r="D29" s="126">
        <v>1</v>
      </c>
      <c r="E29" s="75" t="str">
        <f>D29*2</f>
        <v>0</v>
      </c>
      <c r="F29" s="75" t="str">
        <f>D29*2</f>
        <v>0</v>
      </c>
      <c r="G29" s="75">
        <v>0</v>
      </c>
      <c r="H29" s="75">
        <v>0</v>
      </c>
      <c r="I29" s="75">
        <v>0</v>
      </c>
      <c r="J29" s="159">
        <v>0</v>
      </c>
      <c r="K29" s="75">
        <v>0</v>
      </c>
      <c r="L29" s="75">
        <v>0</v>
      </c>
      <c r="M29" s="75">
        <v>0</v>
      </c>
    </row>
    <row r="30" spans="1:23">
      <c r="B30" s="59" t="s">
        <v>142</v>
      </c>
      <c r="C30" s="60"/>
      <c r="D30" s="125">
        <v>1</v>
      </c>
      <c r="E30" s="8" t="str">
        <f>D30*2</f>
        <v>0</v>
      </c>
      <c r="F30" s="8" t="str">
        <f>D30*2</f>
        <v>0</v>
      </c>
      <c r="G30" s="8">
        <v>0</v>
      </c>
      <c r="H30" s="8">
        <v>0</v>
      </c>
      <c r="I30" s="8">
        <v>0</v>
      </c>
      <c r="J30" s="160">
        <v>0</v>
      </c>
      <c r="K30" s="8">
        <v>0</v>
      </c>
      <c r="L30" s="8">
        <v>0</v>
      </c>
      <c r="M30" s="8">
        <v>0</v>
      </c>
    </row>
    <row r="31" spans="1:23">
      <c r="B31" s="59" t="s">
        <v>87</v>
      </c>
      <c r="C31" s="60"/>
      <c r="D31" s="221">
        <v>1</v>
      </c>
      <c r="E31" s="8" t="str">
        <f>D31*2</f>
        <v>0</v>
      </c>
      <c r="F31" s="8" t="str">
        <f>D31*2</f>
        <v>0</v>
      </c>
      <c r="G31" s="8">
        <v>0</v>
      </c>
      <c r="H31" s="8">
        <v>0</v>
      </c>
      <c r="I31" s="8">
        <v>0</v>
      </c>
      <c r="J31" s="160">
        <v>0</v>
      </c>
      <c r="K31" s="8">
        <v>0</v>
      </c>
      <c r="L31" s="8">
        <v>0</v>
      </c>
      <c r="M31" s="8">
        <v>0</v>
      </c>
    </row>
    <row r="32" spans="1:23">
      <c r="B32" s="59" t="s">
        <v>143</v>
      </c>
      <c r="C32" s="60"/>
      <c r="D32" s="221">
        <v>2</v>
      </c>
      <c r="E32" s="8" t="str">
        <f>D32*2</f>
        <v>0</v>
      </c>
      <c r="F32" s="8" t="str">
        <f>D32*2</f>
        <v>0</v>
      </c>
      <c r="G32" s="8">
        <v>0</v>
      </c>
      <c r="H32" s="8">
        <v>0</v>
      </c>
      <c r="I32" s="8">
        <v>0</v>
      </c>
      <c r="J32" s="160">
        <v>3</v>
      </c>
      <c r="K32" s="8">
        <v>0</v>
      </c>
      <c r="L32" s="8">
        <v>0</v>
      </c>
      <c r="M32" s="8">
        <v>0</v>
      </c>
    </row>
    <row r="33" spans="1:23">
      <c r="B33" s="59" t="s">
        <v>144</v>
      </c>
      <c r="C33" s="60"/>
      <c r="D33" s="221">
        <v>2</v>
      </c>
      <c r="E33" s="8" t="str">
        <f>D33*2</f>
        <v>0</v>
      </c>
      <c r="F33" s="8" t="str">
        <f>D33*2</f>
        <v>0</v>
      </c>
      <c r="G33" s="8">
        <v>0</v>
      </c>
      <c r="H33" s="8">
        <v>0</v>
      </c>
      <c r="I33" s="8">
        <v>0</v>
      </c>
      <c r="J33" s="160">
        <v>3</v>
      </c>
      <c r="K33" s="8">
        <v>0</v>
      </c>
      <c r="L33" s="8">
        <v>0</v>
      </c>
      <c r="M33" s="8">
        <v>0</v>
      </c>
    </row>
    <row r="34" spans="1:23">
      <c r="B34" s="59" t="s">
        <v>145</v>
      </c>
      <c r="C34" s="60"/>
      <c r="D34" s="221">
        <v>2</v>
      </c>
      <c r="E34" s="8" t="str">
        <f>D34*2</f>
        <v>0</v>
      </c>
      <c r="F34" s="8" t="str">
        <f>D34*2</f>
        <v>0</v>
      </c>
      <c r="G34" s="8">
        <v>0</v>
      </c>
      <c r="H34" s="8">
        <v>0</v>
      </c>
      <c r="I34" s="8">
        <v>0</v>
      </c>
      <c r="J34" s="160">
        <v>3</v>
      </c>
      <c r="K34" s="8">
        <v>0</v>
      </c>
      <c r="L34" s="8">
        <v>0</v>
      </c>
      <c r="M34" s="8">
        <v>0</v>
      </c>
    </row>
    <row r="35" spans="1:23">
      <c r="B35" s="59" t="s">
        <v>146</v>
      </c>
      <c r="C35" s="60"/>
      <c r="D35" s="221">
        <v>2</v>
      </c>
      <c r="E35" s="8" t="str">
        <f>D35*2</f>
        <v>0</v>
      </c>
      <c r="F35" s="8" t="str">
        <f>D35*2</f>
        <v>0</v>
      </c>
      <c r="G35" s="8">
        <v>0</v>
      </c>
      <c r="H35" s="8">
        <v>0</v>
      </c>
      <c r="I35" s="8">
        <v>0</v>
      </c>
      <c r="J35" s="160">
        <v>3</v>
      </c>
      <c r="K35" s="8">
        <v>0</v>
      </c>
      <c r="L35" s="8">
        <v>0</v>
      </c>
      <c r="M35" s="8">
        <v>0</v>
      </c>
    </row>
    <row r="36" spans="1:23">
      <c r="B36" s="59" t="s">
        <v>147</v>
      </c>
      <c r="C36" s="60"/>
      <c r="D36" s="221">
        <v>3</v>
      </c>
      <c r="E36" s="8" t="str">
        <f>D36*2</f>
        <v>0</v>
      </c>
      <c r="F36" s="8" t="str">
        <f>D36*2</f>
        <v>0</v>
      </c>
      <c r="G36" s="8">
        <v>0</v>
      </c>
      <c r="H36" s="8">
        <v>0</v>
      </c>
      <c r="I36" s="8">
        <v>0</v>
      </c>
      <c r="J36" s="160">
        <v>6</v>
      </c>
      <c r="K36" s="8">
        <v>0</v>
      </c>
      <c r="L36" s="8">
        <v>0</v>
      </c>
      <c r="M36" s="8">
        <v>0</v>
      </c>
    </row>
    <row r="37" spans="1:23">
      <c r="B37" s="59" t="s">
        <v>148</v>
      </c>
      <c r="C37" s="60"/>
      <c r="D37" s="221">
        <v>2</v>
      </c>
      <c r="E37" s="8" t="str">
        <f>D37*2</f>
        <v>0</v>
      </c>
      <c r="F37" s="8">
        <v>3</v>
      </c>
      <c r="G37" s="8">
        <v>0</v>
      </c>
      <c r="H37" s="8">
        <v>0</v>
      </c>
      <c r="I37" s="8">
        <v>0</v>
      </c>
      <c r="J37" s="160">
        <v>0</v>
      </c>
      <c r="K37" s="8">
        <v>0</v>
      </c>
      <c r="L37" s="8">
        <v>0</v>
      </c>
      <c r="M37" s="8">
        <v>0</v>
      </c>
    </row>
    <row r="38" spans="1:23">
      <c r="B38" s="59" t="s">
        <v>149</v>
      </c>
      <c r="C38" s="60"/>
      <c r="D38" s="221">
        <v>2</v>
      </c>
      <c r="E38" s="8" t="str">
        <f>D38*2</f>
        <v>0</v>
      </c>
      <c r="F38" s="8">
        <v>3</v>
      </c>
      <c r="G38" s="8">
        <v>0</v>
      </c>
      <c r="H38" s="8">
        <v>0</v>
      </c>
      <c r="I38" s="8">
        <v>0</v>
      </c>
      <c r="J38" s="160">
        <v>0</v>
      </c>
      <c r="K38" s="8">
        <v>0</v>
      </c>
      <c r="L38" s="8">
        <v>0</v>
      </c>
      <c r="M38" s="8">
        <v>0</v>
      </c>
    </row>
    <row r="39" spans="1:23" customHeight="1" ht="12">
      <c r="B39" s="59" t="s">
        <v>150</v>
      </c>
      <c r="C39" s="60"/>
      <c r="D39" s="221">
        <v>2</v>
      </c>
      <c r="E39" s="8" t="str">
        <f>D39*2</f>
        <v>0</v>
      </c>
      <c r="F39" s="8">
        <v>3</v>
      </c>
      <c r="G39" s="8">
        <v>0</v>
      </c>
      <c r="H39" s="8">
        <v>0</v>
      </c>
      <c r="I39" s="8">
        <v>0</v>
      </c>
      <c r="J39" s="160">
        <v>0</v>
      </c>
      <c r="K39" s="8">
        <v>0</v>
      </c>
      <c r="L39" s="8">
        <v>0</v>
      </c>
      <c r="M39" s="8">
        <v>0</v>
      </c>
    </row>
    <row r="40" spans="1:23">
      <c r="J40" s="161" t="s">
        <v>499</v>
      </c>
    </row>
    <row r="41" spans="1:23" customHeight="1" ht="12.75">
      <c r="J41" s="141"/>
    </row>
    <row r="42" spans="1:23">
      <c r="D42" s="1176" t="s">
        <v>486</v>
      </c>
      <c r="E42" s="1177"/>
      <c r="F42" s="1177"/>
      <c r="G42" s="1182" t="s">
        <v>487</v>
      </c>
      <c r="H42" s="1183"/>
      <c r="I42" s="1183"/>
      <c r="J42" s="1183"/>
      <c r="K42" s="1184"/>
      <c r="L42" s="265"/>
      <c r="N42" s="272"/>
      <c r="O42" s="1176" t="s">
        <v>500</v>
      </c>
      <c r="P42" s="1177"/>
      <c r="Q42" s="1177"/>
      <c r="R42" s="1177"/>
      <c r="S42" s="1177"/>
      <c r="T42" s="1177"/>
      <c r="U42" s="1177"/>
      <c r="V42" s="1177"/>
      <c r="W42" s="1178"/>
    </row>
    <row r="43" spans="1:23" customHeight="1" ht="12.75">
      <c r="B43" s="1"/>
      <c r="C43" s="1"/>
      <c r="D43" s="214"/>
      <c r="E43" s="1187" t="s">
        <v>488</v>
      </c>
      <c r="F43" s="1188"/>
      <c r="G43" s="267"/>
      <c r="H43" s="264"/>
      <c r="I43" s="264"/>
      <c r="J43" s="264"/>
      <c r="K43" s="268"/>
      <c r="L43" s="265"/>
      <c r="M43" s="272"/>
      <c r="N43" s="272"/>
      <c r="O43" s="284"/>
      <c r="P43" s="285"/>
      <c r="Q43" s="285"/>
      <c r="R43" s="285"/>
      <c r="S43" s="285"/>
      <c r="T43" s="285"/>
      <c r="U43" s="285"/>
      <c r="V43" s="581"/>
      <c r="W43" s="286"/>
    </row>
    <row r="44" spans="1:23" customHeight="1" ht="36.75">
      <c r="B44" s="80" t="s">
        <v>501</v>
      </c>
      <c r="C44" s="215"/>
      <c r="D44" s="216" t="s">
        <v>491</v>
      </c>
      <c r="E44" s="217" t="s">
        <v>492</v>
      </c>
      <c r="F44" s="218" t="s">
        <v>493</v>
      </c>
      <c r="G44" s="269" t="s">
        <v>502</v>
      </c>
      <c r="H44" s="270" t="s">
        <v>503</v>
      </c>
      <c r="I44" s="270" t="s">
        <v>504</v>
      </c>
      <c r="J44" s="270" t="s">
        <v>505</v>
      </c>
      <c r="K44" s="271" t="s">
        <v>498</v>
      </c>
      <c r="L44" s="266"/>
      <c r="M44" s="272"/>
      <c r="N44" s="272"/>
      <c r="O44" s="287" t="s">
        <v>502</v>
      </c>
      <c r="P44" s="288" t="s">
        <v>506</v>
      </c>
      <c r="Q44" s="288" t="s">
        <v>507</v>
      </c>
      <c r="R44" s="288" t="s">
        <v>508</v>
      </c>
      <c r="S44" s="288" t="s">
        <v>509</v>
      </c>
      <c r="T44" s="288" t="s">
        <v>504</v>
      </c>
      <c r="U44" s="288" t="s">
        <v>505</v>
      </c>
      <c r="V44" s="582" t="s">
        <v>510</v>
      </c>
      <c r="W44" s="289" t="s">
        <v>498</v>
      </c>
    </row>
    <row r="45" spans="1:23">
      <c r="B45" s="219" t="s">
        <v>246</v>
      </c>
      <c r="C45" s="220"/>
      <c r="D45" s="221">
        <v>1</v>
      </c>
      <c r="E45" s="221">
        <v>4</v>
      </c>
      <c r="F45" s="221">
        <v>2</v>
      </c>
      <c r="G45" s="203">
        <v>0</v>
      </c>
      <c r="H45" s="203">
        <v>1</v>
      </c>
      <c r="I45" s="203">
        <v>1</v>
      </c>
      <c r="J45" s="203">
        <v>0</v>
      </c>
      <c r="K45" s="203">
        <v>1</v>
      </c>
      <c r="L45" s="227"/>
      <c r="M45" s="273" t="s">
        <v>511</v>
      </c>
      <c r="N45" s="275"/>
      <c r="O45" s="279">
        <v>1</v>
      </c>
      <c r="P45" s="203">
        <v>1</v>
      </c>
      <c r="Q45" s="203">
        <v>1</v>
      </c>
      <c r="R45" s="203">
        <v>1</v>
      </c>
      <c r="S45" s="203">
        <v>1</v>
      </c>
      <c r="T45" s="203"/>
      <c r="U45" s="203"/>
      <c r="V45" s="583"/>
      <c r="W45" s="280"/>
    </row>
    <row r="46" spans="1:23">
      <c r="B46" s="219" t="s">
        <v>247</v>
      </c>
      <c r="C46" s="220"/>
      <c r="D46" s="221">
        <v>1</v>
      </c>
      <c r="E46" s="221">
        <v>4</v>
      </c>
      <c r="F46" s="221">
        <v>2</v>
      </c>
      <c r="G46" s="225">
        <v>0</v>
      </c>
      <c r="H46" s="203">
        <v>1</v>
      </c>
      <c r="I46" s="225">
        <v>1</v>
      </c>
      <c r="J46" s="203">
        <v>0</v>
      </c>
      <c r="K46" s="203">
        <v>1</v>
      </c>
      <c r="L46" s="227"/>
      <c r="M46" s="274" t="s">
        <v>496</v>
      </c>
      <c r="N46" s="276"/>
      <c r="O46" s="277"/>
      <c r="P46" s="225"/>
      <c r="Q46" s="225"/>
      <c r="R46" s="225"/>
      <c r="S46" s="225"/>
      <c r="T46" s="225">
        <v>1</v>
      </c>
      <c r="U46" s="225">
        <v>1</v>
      </c>
      <c r="V46" s="584"/>
      <c r="W46" s="278"/>
    </row>
    <row r="47" spans="1:23">
      <c r="B47" s="219" t="s">
        <v>249</v>
      </c>
      <c r="C47" s="220"/>
      <c r="D47" s="221">
        <v>1</v>
      </c>
      <c r="E47" s="221">
        <v>6</v>
      </c>
      <c r="F47" s="221">
        <v>2</v>
      </c>
      <c r="G47" s="225">
        <v>1</v>
      </c>
      <c r="H47" s="203">
        <v>1</v>
      </c>
      <c r="I47" s="225">
        <v>1</v>
      </c>
      <c r="J47" s="203">
        <v>1</v>
      </c>
      <c r="K47" s="203">
        <v>2</v>
      </c>
      <c r="L47" s="227"/>
      <c r="M47" s="274" t="s">
        <v>512</v>
      </c>
      <c r="N47" s="276"/>
      <c r="O47" s="277">
        <v>1</v>
      </c>
      <c r="P47" s="225"/>
      <c r="Q47" s="225"/>
      <c r="R47" s="225"/>
      <c r="S47" s="225"/>
      <c r="T47" s="225"/>
      <c r="U47" s="225"/>
      <c r="V47" s="584"/>
      <c r="W47" s="278"/>
    </row>
    <row r="48" spans="1:23">
      <c r="B48" s="219" t="s">
        <v>255</v>
      </c>
      <c r="C48" s="220"/>
      <c r="D48" s="221">
        <v>1</v>
      </c>
      <c r="E48" s="221">
        <v>6</v>
      </c>
      <c r="F48" s="221">
        <v>2</v>
      </c>
      <c r="G48" s="225">
        <v>1</v>
      </c>
      <c r="H48" s="203">
        <v>1</v>
      </c>
      <c r="I48" s="225">
        <v>1</v>
      </c>
      <c r="J48" s="203">
        <v>1</v>
      </c>
      <c r="K48" s="203">
        <v>2</v>
      </c>
      <c r="L48" s="227"/>
      <c r="M48" s="274" t="s">
        <v>492</v>
      </c>
      <c r="N48" s="276"/>
      <c r="O48" s="277"/>
      <c r="P48" s="225">
        <v>1</v>
      </c>
      <c r="Q48" s="225">
        <v>1</v>
      </c>
      <c r="R48" s="225">
        <v>1</v>
      </c>
      <c r="S48" s="225">
        <v>1</v>
      </c>
      <c r="T48" s="225"/>
      <c r="U48" s="225"/>
      <c r="V48" s="584">
        <v>1</v>
      </c>
      <c r="W48" s="278"/>
    </row>
    <row r="49" spans="1:23">
      <c r="B49" s="219" t="s">
        <v>256</v>
      </c>
      <c r="C49" s="220"/>
      <c r="D49" s="221">
        <v>1</v>
      </c>
      <c r="E49" s="221">
        <v>6</v>
      </c>
      <c r="F49" s="221">
        <v>2</v>
      </c>
      <c r="G49" s="225">
        <v>2</v>
      </c>
      <c r="H49" s="203">
        <v>0</v>
      </c>
      <c r="I49" s="225">
        <v>0</v>
      </c>
      <c r="J49" s="203">
        <v>2</v>
      </c>
      <c r="K49" s="203">
        <v>2</v>
      </c>
      <c r="L49" s="227"/>
      <c r="M49" s="274" t="s">
        <v>493</v>
      </c>
      <c r="N49" s="276"/>
      <c r="O49" s="277"/>
      <c r="P49" s="225"/>
      <c r="Q49" s="225"/>
      <c r="R49" s="225"/>
      <c r="S49" s="225"/>
      <c r="T49" s="225">
        <v>1</v>
      </c>
      <c r="U49" s="225">
        <v>1</v>
      </c>
      <c r="V49" s="584"/>
      <c r="W49" s="278"/>
    </row>
    <row r="50" spans="1:23">
      <c r="B50" s="219" t="s">
        <v>258</v>
      </c>
      <c r="C50" s="220"/>
      <c r="D50" s="221">
        <v>1</v>
      </c>
      <c r="E50" s="221">
        <v>6</v>
      </c>
      <c r="F50" s="221">
        <v>2</v>
      </c>
      <c r="G50" s="225">
        <v>2</v>
      </c>
      <c r="H50" s="203">
        <v>0</v>
      </c>
      <c r="I50" s="225">
        <v>0</v>
      </c>
      <c r="J50" s="203">
        <v>2</v>
      </c>
      <c r="K50" s="203">
        <v>2</v>
      </c>
      <c r="L50" s="227"/>
      <c r="M50" s="274" t="s">
        <v>498</v>
      </c>
      <c r="N50" s="276"/>
      <c r="O50" s="277"/>
      <c r="P50" s="225"/>
      <c r="Q50" s="225"/>
      <c r="R50" s="225"/>
      <c r="S50" s="225"/>
      <c r="T50" s="225"/>
      <c r="U50" s="225"/>
      <c r="V50" s="584"/>
      <c r="W50" s="278">
        <v>1</v>
      </c>
    </row>
    <row r="51" spans="1:23">
      <c r="B51" s="219" t="s">
        <v>259</v>
      </c>
      <c r="C51" s="220"/>
      <c r="D51" s="221">
        <v>2</v>
      </c>
      <c r="E51" s="221">
        <v>8</v>
      </c>
      <c r="F51" s="221">
        <v>4</v>
      </c>
      <c r="G51" s="225">
        <v>1</v>
      </c>
      <c r="H51" s="203">
        <v>1</v>
      </c>
      <c r="I51" s="225">
        <v>1</v>
      </c>
      <c r="J51" s="203">
        <v>1</v>
      </c>
      <c r="K51" s="203">
        <v>2</v>
      </c>
      <c r="L51" s="227"/>
      <c r="M51" s="274" t="s">
        <v>513</v>
      </c>
      <c r="N51" s="276"/>
      <c r="O51" s="277"/>
      <c r="P51" s="225"/>
      <c r="Q51" s="225">
        <v>1</v>
      </c>
      <c r="R51" s="225">
        <v>1</v>
      </c>
      <c r="S51" s="225">
        <v>1</v>
      </c>
      <c r="T51" s="225"/>
      <c r="U51" s="225"/>
      <c r="V51" s="584"/>
      <c r="W51" s="278"/>
    </row>
    <row r="52" spans="1:23">
      <c r="B52" s="219" t="s">
        <v>260</v>
      </c>
      <c r="C52" s="220"/>
      <c r="D52" s="221">
        <v>2</v>
      </c>
      <c r="E52" s="221">
        <v>8</v>
      </c>
      <c r="F52" s="221">
        <v>4</v>
      </c>
      <c r="G52" s="225">
        <v>1</v>
      </c>
      <c r="H52" s="203">
        <v>1</v>
      </c>
      <c r="I52" s="225">
        <v>1</v>
      </c>
      <c r="J52" s="203">
        <v>1</v>
      </c>
      <c r="K52" s="203">
        <v>2</v>
      </c>
      <c r="L52" s="227"/>
      <c r="M52" s="274" t="s">
        <v>514</v>
      </c>
      <c r="N52" s="276"/>
      <c r="O52" s="277">
        <v>1</v>
      </c>
      <c r="P52" s="225">
        <v>1</v>
      </c>
      <c r="Q52" s="225">
        <v>1</v>
      </c>
      <c r="R52" s="225">
        <v>1</v>
      </c>
      <c r="S52" s="225">
        <v>1</v>
      </c>
      <c r="T52" s="225"/>
      <c r="U52" s="225"/>
      <c r="V52" s="584"/>
      <c r="W52" s="278"/>
    </row>
    <row r="53" spans="1:23">
      <c r="B53" s="219" t="s">
        <v>262</v>
      </c>
      <c r="C53" s="220"/>
      <c r="D53" s="221">
        <v>2</v>
      </c>
      <c r="E53" s="221">
        <v>8</v>
      </c>
      <c r="F53" s="221">
        <v>4</v>
      </c>
      <c r="G53" s="225">
        <v>2</v>
      </c>
      <c r="H53" s="203">
        <v>0</v>
      </c>
      <c r="I53" s="225">
        <v>0</v>
      </c>
      <c r="J53" s="203">
        <v>2</v>
      </c>
      <c r="K53" s="203">
        <v>2</v>
      </c>
      <c r="L53" s="227"/>
      <c r="M53" s="274" t="s">
        <v>515</v>
      </c>
      <c r="N53" s="585"/>
      <c r="O53" s="277"/>
      <c r="P53" s="225"/>
      <c r="Q53" s="225"/>
      <c r="R53" s="225"/>
      <c r="S53" s="225"/>
      <c r="T53" s="225">
        <v>1</v>
      </c>
      <c r="U53" s="225"/>
      <c r="V53" s="584">
        <v>1</v>
      </c>
      <c r="W53" s="278"/>
    </row>
    <row r="54" spans="1:23">
      <c r="B54" s="219" t="s">
        <v>263</v>
      </c>
      <c r="C54" s="220"/>
      <c r="D54" s="221">
        <v>2</v>
      </c>
      <c r="E54" s="221">
        <v>8</v>
      </c>
      <c r="F54" s="221">
        <v>4</v>
      </c>
      <c r="G54" s="225">
        <v>2</v>
      </c>
      <c r="H54" s="203">
        <v>0</v>
      </c>
      <c r="I54" s="225">
        <v>0</v>
      </c>
      <c r="J54" s="203">
        <v>2</v>
      </c>
      <c r="K54" s="203">
        <v>2</v>
      </c>
      <c r="L54" s="227"/>
      <c r="M54" s="274" t="s">
        <v>516</v>
      </c>
      <c r="N54" s="276"/>
      <c r="O54" s="277"/>
      <c r="P54" s="225"/>
      <c r="Q54" s="225"/>
      <c r="R54" s="225"/>
      <c r="S54" s="225"/>
      <c r="T54" s="225"/>
      <c r="U54" s="225"/>
      <c r="V54" s="584"/>
      <c r="W54" s="278">
        <v>1</v>
      </c>
    </row>
    <row r="55" spans="1:23">
      <c r="B55" s="219" t="s">
        <v>264</v>
      </c>
      <c r="C55" s="220"/>
      <c r="D55" s="221">
        <v>2</v>
      </c>
      <c r="E55" s="221">
        <v>10</v>
      </c>
      <c r="F55" s="221">
        <v>4</v>
      </c>
      <c r="G55" s="225">
        <v>2</v>
      </c>
      <c r="H55" s="203">
        <v>1</v>
      </c>
      <c r="I55" s="225">
        <v>1</v>
      </c>
      <c r="J55" s="203">
        <v>2</v>
      </c>
      <c r="K55" s="203">
        <v>3</v>
      </c>
      <c r="L55" s="227"/>
      <c r="M55" s="274" t="s">
        <v>517</v>
      </c>
      <c r="N55" s="276"/>
      <c r="O55" s="277"/>
      <c r="P55" s="225"/>
      <c r="Q55" s="225">
        <v>1</v>
      </c>
      <c r="R55" s="225"/>
      <c r="S55" s="225">
        <v>1</v>
      </c>
      <c r="T55" s="225"/>
      <c r="U55" s="225"/>
      <c r="V55" s="584"/>
      <c r="W55" s="278"/>
    </row>
    <row r="56" spans="1:23">
      <c r="B56" s="219" t="s">
        <v>265</v>
      </c>
      <c r="C56" s="220"/>
      <c r="D56" s="221">
        <v>2</v>
      </c>
      <c r="E56" s="221">
        <v>10</v>
      </c>
      <c r="F56" s="221">
        <v>4</v>
      </c>
      <c r="G56" s="225">
        <v>2</v>
      </c>
      <c r="H56" s="203">
        <v>1</v>
      </c>
      <c r="I56" s="225">
        <v>1</v>
      </c>
      <c r="J56" s="203">
        <v>2</v>
      </c>
      <c r="K56" s="203">
        <v>3</v>
      </c>
      <c r="L56" s="227"/>
      <c r="M56" s="274" t="s">
        <v>518</v>
      </c>
      <c r="N56" s="276"/>
      <c r="O56" s="277"/>
      <c r="P56" s="225"/>
      <c r="Q56" s="225"/>
      <c r="R56" s="225">
        <v>1</v>
      </c>
      <c r="S56" s="225"/>
      <c r="T56" s="225"/>
      <c r="U56" s="225"/>
      <c r="V56" s="584"/>
      <c r="W56" s="278"/>
    </row>
    <row r="57" spans="1:23">
      <c r="B57" s="219" t="s">
        <v>266</v>
      </c>
      <c r="C57" s="220"/>
      <c r="D57" s="221">
        <v>2</v>
      </c>
      <c r="E57" s="221">
        <v>10</v>
      </c>
      <c r="F57" s="221">
        <v>4</v>
      </c>
      <c r="G57" s="225">
        <v>3</v>
      </c>
      <c r="H57" s="203">
        <v>0</v>
      </c>
      <c r="I57" s="225">
        <v>0</v>
      </c>
      <c r="J57" s="203">
        <v>3</v>
      </c>
      <c r="K57" s="203">
        <v>3</v>
      </c>
      <c r="L57" s="227"/>
      <c r="M57" s="274" t="s">
        <v>519</v>
      </c>
      <c r="N57" s="276"/>
      <c r="O57" s="277">
        <v>1</v>
      </c>
      <c r="P57" s="225"/>
      <c r="Q57" s="225"/>
      <c r="R57" s="225"/>
      <c r="S57" s="225"/>
      <c r="T57" s="225"/>
      <c r="U57" s="225"/>
      <c r="V57" s="584"/>
      <c r="W57" s="278"/>
    </row>
    <row r="58" spans="1:23">
      <c r="B58" s="219" t="s">
        <v>267</v>
      </c>
      <c r="C58" s="220"/>
      <c r="D58" s="221">
        <v>2</v>
      </c>
      <c r="E58" s="221">
        <v>10</v>
      </c>
      <c r="F58" s="221">
        <v>4</v>
      </c>
      <c r="G58" s="225">
        <v>3</v>
      </c>
      <c r="H58" s="203">
        <v>0</v>
      </c>
      <c r="I58" s="225">
        <v>0</v>
      </c>
      <c r="J58" s="203">
        <v>3</v>
      </c>
      <c r="K58" s="203">
        <v>3</v>
      </c>
      <c r="L58" s="227"/>
    </row>
    <row r="59" spans="1:23">
      <c r="B59" s="219" t="s">
        <v>268</v>
      </c>
      <c r="C59" s="220"/>
      <c r="D59" s="221">
        <v>3</v>
      </c>
      <c r="E59" s="221">
        <v>12</v>
      </c>
      <c r="F59" s="221">
        <v>6</v>
      </c>
      <c r="G59" s="225">
        <v>2</v>
      </c>
      <c r="H59" s="203">
        <v>1</v>
      </c>
      <c r="I59" s="225">
        <v>1</v>
      </c>
      <c r="J59" s="203">
        <v>2</v>
      </c>
      <c r="K59" s="203">
        <v>3</v>
      </c>
      <c r="L59" s="227"/>
    </row>
    <row r="60" spans="1:23">
      <c r="B60" s="219" t="s">
        <v>269</v>
      </c>
      <c r="C60" s="220"/>
      <c r="D60" s="221">
        <v>3</v>
      </c>
      <c r="E60" s="221">
        <v>12</v>
      </c>
      <c r="F60" s="221">
        <v>6</v>
      </c>
      <c r="G60" s="225">
        <v>2</v>
      </c>
      <c r="H60" s="203">
        <v>1</v>
      </c>
      <c r="I60" s="225">
        <v>1</v>
      </c>
      <c r="J60" s="203">
        <v>2</v>
      </c>
      <c r="K60" s="203">
        <v>3</v>
      </c>
      <c r="L60" s="227"/>
      <c r="M60" s="227"/>
      <c r="N60" s="227"/>
      <c r="O60" s="227"/>
      <c r="P60" s="227"/>
      <c r="Q60" s="227"/>
      <c r="R60" s="227"/>
      <c r="S60" s="227"/>
    </row>
    <row r="61" spans="1:23">
      <c r="B61" s="219" t="s">
        <v>271</v>
      </c>
      <c r="C61" s="220"/>
      <c r="D61" s="221">
        <v>3</v>
      </c>
      <c r="E61" s="221">
        <v>12</v>
      </c>
      <c r="F61" s="221">
        <v>6</v>
      </c>
      <c r="G61" s="225">
        <v>3</v>
      </c>
      <c r="H61" s="203">
        <v>0</v>
      </c>
      <c r="I61" s="225">
        <v>0</v>
      </c>
      <c r="J61" s="203">
        <v>3</v>
      </c>
      <c r="K61" s="203">
        <v>3</v>
      </c>
      <c r="L61" s="227"/>
      <c r="M61" s="227"/>
      <c r="N61" s="227"/>
      <c r="O61" s="227"/>
      <c r="P61" s="227"/>
      <c r="Q61" s="227"/>
      <c r="R61" s="227"/>
      <c r="S61" s="227"/>
    </row>
    <row r="62" spans="1:23">
      <c r="B62" s="219" t="s">
        <v>272</v>
      </c>
      <c r="C62" s="220"/>
      <c r="D62" s="221">
        <v>3</v>
      </c>
      <c r="E62" s="221">
        <v>12</v>
      </c>
      <c r="F62" s="221">
        <v>6</v>
      </c>
      <c r="G62" s="225">
        <v>3</v>
      </c>
      <c r="H62" s="203">
        <v>0</v>
      </c>
      <c r="I62" s="225">
        <v>0</v>
      </c>
      <c r="J62" s="203">
        <v>3</v>
      </c>
      <c r="K62" s="203">
        <v>3</v>
      </c>
      <c r="L62" s="227"/>
      <c r="M62" s="227"/>
      <c r="N62" s="227"/>
      <c r="O62" s="227"/>
      <c r="P62" s="227"/>
      <c r="Q62" s="227"/>
      <c r="R62" s="227"/>
      <c r="S62" s="227"/>
    </row>
    <row r="63" spans="1:23">
      <c r="B63" s="219" t="s">
        <v>273</v>
      </c>
      <c r="C63" s="220"/>
      <c r="D63" s="221">
        <v>3</v>
      </c>
      <c r="E63" s="221">
        <v>14</v>
      </c>
      <c r="F63" s="221">
        <v>6</v>
      </c>
      <c r="G63" s="225">
        <v>3</v>
      </c>
      <c r="H63" s="203">
        <v>1</v>
      </c>
      <c r="I63" s="225">
        <v>1</v>
      </c>
      <c r="J63" s="203">
        <v>3</v>
      </c>
      <c r="K63" s="203">
        <v>4</v>
      </c>
      <c r="L63" s="227"/>
      <c r="M63" s="227"/>
      <c r="N63" s="227"/>
      <c r="O63" s="227"/>
      <c r="P63" s="227"/>
      <c r="Q63" s="227"/>
      <c r="R63" s="227"/>
      <c r="S63" s="227"/>
    </row>
    <row r="64" spans="1:23">
      <c r="B64" s="219" t="s">
        <v>275</v>
      </c>
      <c r="C64" s="220"/>
      <c r="D64" s="221">
        <v>3</v>
      </c>
      <c r="E64" s="221">
        <v>14</v>
      </c>
      <c r="F64" s="221">
        <v>6</v>
      </c>
      <c r="G64" s="225">
        <v>3</v>
      </c>
      <c r="H64" s="203">
        <v>1</v>
      </c>
      <c r="I64" s="225">
        <v>1</v>
      </c>
      <c r="J64" s="203">
        <v>3</v>
      </c>
      <c r="K64" s="203">
        <v>4</v>
      </c>
      <c r="L64" s="227"/>
      <c r="M64" s="227"/>
      <c r="N64" s="227"/>
      <c r="O64" s="227"/>
      <c r="P64" s="227"/>
      <c r="Q64" s="227"/>
      <c r="R64" s="227"/>
      <c r="S64" s="227"/>
    </row>
    <row r="65" spans="1:23">
      <c r="B65" s="219" t="s">
        <v>276</v>
      </c>
      <c r="C65" s="220"/>
      <c r="D65" s="221">
        <v>3</v>
      </c>
      <c r="E65" s="221">
        <v>14</v>
      </c>
      <c r="F65" s="221">
        <v>6</v>
      </c>
      <c r="G65" s="225">
        <v>4</v>
      </c>
      <c r="H65" s="203">
        <v>0</v>
      </c>
      <c r="I65" s="225">
        <v>0</v>
      </c>
      <c r="J65" s="203">
        <v>4</v>
      </c>
      <c r="K65" s="203">
        <v>4</v>
      </c>
      <c r="L65" s="227"/>
      <c r="M65" s="227"/>
      <c r="N65" s="227"/>
      <c r="O65" s="227"/>
      <c r="P65" s="227"/>
      <c r="Q65" s="227"/>
      <c r="R65" s="227"/>
      <c r="S65" s="227"/>
    </row>
    <row r="66" spans="1:23">
      <c r="B66" s="219" t="s">
        <v>277</v>
      </c>
      <c r="C66" s="220"/>
      <c r="D66" s="221">
        <v>3</v>
      </c>
      <c r="E66" s="221">
        <v>14</v>
      </c>
      <c r="F66" s="221">
        <v>6</v>
      </c>
      <c r="G66" s="225">
        <v>4</v>
      </c>
      <c r="H66" s="203">
        <v>0</v>
      </c>
      <c r="I66" s="225">
        <v>0</v>
      </c>
      <c r="J66" s="203">
        <v>4</v>
      </c>
      <c r="K66" s="203">
        <v>4</v>
      </c>
      <c r="L66" s="227"/>
      <c r="M66" s="227"/>
      <c r="N66" s="227"/>
      <c r="O66" s="227"/>
      <c r="P66" s="227"/>
      <c r="Q66" s="227"/>
      <c r="R66" s="227"/>
      <c r="S66" s="227"/>
    </row>
    <row r="67" spans="1:23">
      <c r="B67" s="219" t="s">
        <v>279</v>
      </c>
      <c r="C67" s="220"/>
      <c r="D67" s="221">
        <v>4</v>
      </c>
      <c r="E67" s="221">
        <v>16</v>
      </c>
      <c r="F67" s="221">
        <v>8</v>
      </c>
      <c r="G67" s="225">
        <v>3</v>
      </c>
      <c r="H67" s="203">
        <v>1</v>
      </c>
      <c r="I67" s="225">
        <v>1</v>
      </c>
      <c r="J67" s="203">
        <v>3</v>
      </c>
      <c r="K67" s="203">
        <v>4</v>
      </c>
      <c r="L67" s="227"/>
      <c r="M67" s="227"/>
      <c r="N67" s="227"/>
      <c r="O67" s="227"/>
      <c r="P67" s="227"/>
      <c r="Q67" s="227"/>
      <c r="R67" s="227"/>
      <c r="S67" s="227"/>
    </row>
    <row r="68" spans="1:23">
      <c r="B68" s="219" t="s">
        <v>280</v>
      </c>
      <c r="C68" s="220"/>
      <c r="D68" s="221">
        <v>4</v>
      </c>
      <c r="E68" s="221">
        <v>16</v>
      </c>
      <c r="F68" s="221">
        <v>8</v>
      </c>
      <c r="G68" s="225">
        <v>3</v>
      </c>
      <c r="H68" s="203">
        <v>1</v>
      </c>
      <c r="I68" s="225">
        <v>1</v>
      </c>
      <c r="J68" s="203">
        <v>3</v>
      </c>
      <c r="K68" s="203">
        <v>4</v>
      </c>
      <c r="L68" s="227"/>
      <c r="M68" s="227"/>
      <c r="N68" s="227"/>
      <c r="O68" s="227"/>
      <c r="P68" s="227"/>
      <c r="Q68" s="227"/>
      <c r="R68" s="227"/>
      <c r="S68" s="227"/>
    </row>
    <row r="69" spans="1:23">
      <c r="B69" s="219" t="s">
        <v>281</v>
      </c>
      <c r="C69" s="220"/>
      <c r="D69" s="221">
        <v>4</v>
      </c>
      <c r="E69" s="221">
        <v>16</v>
      </c>
      <c r="F69" s="221">
        <v>8</v>
      </c>
      <c r="G69" s="225">
        <v>4</v>
      </c>
      <c r="H69" s="203">
        <v>0</v>
      </c>
      <c r="I69" s="225">
        <v>0</v>
      </c>
      <c r="J69" s="203">
        <v>4</v>
      </c>
      <c r="K69" s="203">
        <v>4</v>
      </c>
      <c r="L69" s="227"/>
      <c r="M69" s="227"/>
      <c r="N69" s="227"/>
      <c r="O69" s="227"/>
      <c r="P69" s="227"/>
      <c r="Q69" s="227"/>
      <c r="R69" s="227"/>
      <c r="S69" s="227"/>
    </row>
    <row r="70" spans="1:23">
      <c r="B70" s="219" t="s">
        <v>283</v>
      </c>
      <c r="C70" s="220"/>
      <c r="D70" s="221">
        <v>4</v>
      </c>
      <c r="E70" s="221">
        <v>16</v>
      </c>
      <c r="F70" s="221">
        <v>8</v>
      </c>
      <c r="G70" s="225">
        <v>4</v>
      </c>
      <c r="H70" s="203">
        <v>0</v>
      </c>
      <c r="I70" s="225">
        <v>0</v>
      </c>
      <c r="J70" s="203">
        <v>4</v>
      </c>
      <c r="K70" s="203">
        <v>4</v>
      </c>
      <c r="L70" s="227"/>
      <c r="M70" s="227"/>
      <c r="N70" s="227"/>
      <c r="O70" s="227"/>
      <c r="P70" s="227"/>
      <c r="Q70" s="227"/>
      <c r="R70" s="227"/>
      <c r="S70" s="227"/>
    </row>
    <row r="71" spans="1:23">
      <c r="B71" s="219" t="s">
        <v>284</v>
      </c>
      <c r="C71" s="220"/>
      <c r="D71" s="221">
        <v>4</v>
      </c>
      <c r="E71" s="221">
        <v>18</v>
      </c>
      <c r="F71" s="221">
        <v>8</v>
      </c>
      <c r="G71" s="225">
        <v>4</v>
      </c>
      <c r="H71" s="203">
        <v>1</v>
      </c>
      <c r="I71" s="225">
        <v>1</v>
      </c>
      <c r="J71" s="203">
        <v>4</v>
      </c>
      <c r="K71" s="203">
        <v>5</v>
      </c>
      <c r="L71" s="227"/>
      <c r="M71" s="227"/>
      <c r="N71" s="227"/>
      <c r="O71" s="227"/>
      <c r="P71" s="227"/>
      <c r="Q71" s="227"/>
      <c r="R71" s="227"/>
      <c r="S71" s="227"/>
    </row>
    <row r="72" spans="1:23">
      <c r="B72" s="219" t="s">
        <v>285</v>
      </c>
      <c r="C72" s="220"/>
      <c r="D72" s="221">
        <v>4</v>
      </c>
      <c r="E72" s="221">
        <v>18</v>
      </c>
      <c r="F72" s="221">
        <v>8</v>
      </c>
      <c r="G72" s="225">
        <v>4</v>
      </c>
      <c r="H72" s="203">
        <v>1</v>
      </c>
      <c r="I72" s="225">
        <v>1</v>
      </c>
      <c r="J72" s="203">
        <v>4</v>
      </c>
      <c r="K72" s="203">
        <v>5</v>
      </c>
      <c r="L72" s="227"/>
      <c r="M72" s="227"/>
      <c r="N72" s="227"/>
      <c r="O72" s="227"/>
      <c r="P72" s="227"/>
      <c r="Q72" s="227"/>
      <c r="R72" s="227"/>
      <c r="S72" s="227"/>
    </row>
    <row r="73" spans="1:23">
      <c r="B73" s="219" t="s">
        <v>287</v>
      </c>
      <c r="C73" s="220"/>
      <c r="D73" s="221">
        <v>4</v>
      </c>
      <c r="E73" s="221">
        <v>18</v>
      </c>
      <c r="F73" s="221">
        <v>8</v>
      </c>
      <c r="G73" s="225">
        <v>5</v>
      </c>
      <c r="H73" s="203">
        <v>0</v>
      </c>
      <c r="I73" s="225">
        <v>0</v>
      </c>
      <c r="J73" s="203">
        <v>5</v>
      </c>
      <c r="K73" s="203">
        <v>5</v>
      </c>
      <c r="L73" s="227"/>
      <c r="M73" s="227"/>
      <c r="N73" s="227"/>
      <c r="O73" s="227"/>
      <c r="P73" s="227"/>
      <c r="Q73" s="227"/>
      <c r="R73" s="227"/>
      <c r="S73" s="227"/>
    </row>
    <row r="74" spans="1:23">
      <c r="B74" s="219" t="s">
        <v>288</v>
      </c>
      <c r="C74" s="220"/>
      <c r="D74" s="221">
        <v>4</v>
      </c>
      <c r="E74" s="221">
        <v>18</v>
      </c>
      <c r="F74" s="221">
        <v>8</v>
      </c>
      <c r="G74" s="225">
        <v>5</v>
      </c>
      <c r="H74" s="203">
        <v>0</v>
      </c>
      <c r="I74" s="225">
        <v>0</v>
      </c>
      <c r="J74" s="203">
        <v>5</v>
      </c>
      <c r="K74" s="203">
        <v>5</v>
      </c>
      <c r="L74" s="227"/>
      <c r="M74" s="227"/>
      <c r="N74" s="227"/>
      <c r="O74" s="227"/>
      <c r="P74" s="227"/>
      <c r="Q74" s="227"/>
      <c r="R74" s="227"/>
      <c r="S74" s="227"/>
    </row>
    <row r="75" spans="1:23">
      <c r="B75" s="219" t="s">
        <v>289</v>
      </c>
      <c r="C75" s="220"/>
      <c r="D75" s="221">
        <v>5</v>
      </c>
      <c r="E75" s="221">
        <v>20</v>
      </c>
      <c r="F75" s="221">
        <v>10</v>
      </c>
      <c r="G75" s="225">
        <v>4</v>
      </c>
      <c r="H75" s="203">
        <v>1</v>
      </c>
      <c r="I75" s="225">
        <v>1</v>
      </c>
      <c r="J75" s="203">
        <v>4</v>
      </c>
      <c r="K75" s="203">
        <v>5</v>
      </c>
      <c r="L75" s="227"/>
      <c r="M75" s="227"/>
      <c r="N75" s="227"/>
      <c r="O75" s="227"/>
      <c r="P75" s="227"/>
      <c r="Q75" s="227"/>
      <c r="R75" s="227"/>
      <c r="S75" s="227"/>
    </row>
    <row r="76" spans="1:23">
      <c r="B76" s="219" t="s">
        <v>291</v>
      </c>
      <c r="C76" s="220"/>
      <c r="D76" s="221">
        <v>5</v>
      </c>
      <c r="E76" s="221">
        <v>20</v>
      </c>
      <c r="F76" s="221">
        <v>10</v>
      </c>
      <c r="G76" s="225">
        <v>4</v>
      </c>
      <c r="H76" s="203">
        <v>1</v>
      </c>
      <c r="I76" s="225">
        <v>1</v>
      </c>
      <c r="J76" s="203">
        <v>4</v>
      </c>
      <c r="K76" s="203">
        <v>5</v>
      </c>
      <c r="L76" s="227"/>
      <c r="M76" s="227"/>
      <c r="N76" s="227"/>
      <c r="O76" s="227"/>
      <c r="P76" s="227"/>
      <c r="Q76" s="227"/>
      <c r="R76" s="227"/>
      <c r="S76" s="227"/>
    </row>
    <row r="77" spans="1:23">
      <c r="B77" s="219" t="s">
        <v>292</v>
      </c>
      <c r="C77" s="220"/>
      <c r="D77" s="221">
        <v>5</v>
      </c>
      <c r="E77" s="221">
        <v>20</v>
      </c>
      <c r="F77" s="221">
        <v>10</v>
      </c>
      <c r="G77" s="225">
        <v>5</v>
      </c>
      <c r="H77" s="203">
        <v>0</v>
      </c>
      <c r="I77" s="225">
        <v>0</v>
      </c>
      <c r="J77" s="203">
        <v>5</v>
      </c>
      <c r="K77" s="203">
        <v>5</v>
      </c>
      <c r="L77" s="227"/>
      <c r="M77" s="227"/>
      <c r="N77" s="227"/>
      <c r="O77" s="227"/>
      <c r="P77" s="227"/>
      <c r="Q77" s="227"/>
      <c r="R77" s="227"/>
      <c r="S77" s="227"/>
    </row>
    <row r="78" spans="1:23">
      <c r="B78" s="219" t="s">
        <v>293</v>
      </c>
      <c r="C78" s="220"/>
      <c r="D78" s="221">
        <v>5</v>
      </c>
      <c r="E78" s="221">
        <v>20</v>
      </c>
      <c r="F78" s="221">
        <v>10</v>
      </c>
      <c r="G78" s="225">
        <v>5</v>
      </c>
      <c r="H78" s="203">
        <v>0</v>
      </c>
      <c r="I78" s="225">
        <v>0</v>
      </c>
      <c r="J78" s="203">
        <v>5</v>
      </c>
      <c r="K78" s="203">
        <v>5</v>
      </c>
      <c r="L78" s="227"/>
      <c r="M78" s="227"/>
      <c r="N78" s="227"/>
      <c r="O78" s="227"/>
      <c r="P78" s="227"/>
      <c r="Q78" s="227"/>
      <c r="R78" s="227"/>
      <c r="S78" s="227"/>
    </row>
    <row r="79" spans="1:23">
      <c r="B79" s="219" t="s">
        <v>294</v>
      </c>
      <c r="C79" s="220"/>
      <c r="D79" s="221">
        <v>5</v>
      </c>
      <c r="E79" s="221">
        <v>22</v>
      </c>
      <c r="F79" s="221">
        <v>10</v>
      </c>
      <c r="G79" s="225">
        <v>5</v>
      </c>
      <c r="H79" s="203">
        <v>1</v>
      </c>
      <c r="I79" s="225">
        <v>1</v>
      </c>
      <c r="J79" s="203">
        <v>5</v>
      </c>
      <c r="K79" s="203">
        <v>6</v>
      </c>
      <c r="L79" s="227"/>
      <c r="M79" s="227"/>
      <c r="N79" s="227"/>
      <c r="O79" s="227"/>
      <c r="P79" s="227"/>
      <c r="Q79" s="227"/>
      <c r="R79" s="227"/>
      <c r="S79" s="227"/>
    </row>
    <row r="80" spans="1:23">
      <c r="B80" s="219" t="s">
        <v>295</v>
      </c>
      <c r="C80" s="220"/>
      <c r="D80" s="221">
        <v>5</v>
      </c>
      <c r="E80" s="221">
        <v>22</v>
      </c>
      <c r="F80" s="221">
        <v>10</v>
      </c>
      <c r="G80" s="225">
        <v>5</v>
      </c>
      <c r="H80" s="203">
        <v>1</v>
      </c>
      <c r="I80" s="225">
        <v>1</v>
      </c>
      <c r="J80" s="203">
        <v>5</v>
      </c>
      <c r="K80" s="203">
        <v>6</v>
      </c>
      <c r="L80" s="227"/>
      <c r="M80" s="227"/>
      <c r="N80" s="227"/>
      <c r="O80" s="227"/>
      <c r="P80" s="227"/>
      <c r="Q80" s="227"/>
      <c r="R80" s="227"/>
      <c r="S80" s="227"/>
    </row>
    <row r="81" spans="1:23">
      <c r="B81" s="219" t="s">
        <v>296</v>
      </c>
      <c r="C81" s="220"/>
      <c r="D81" s="221">
        <v>5</v>
      </c>
      <c r="E81" s="221">
        <v>22</v>
      </c>
      <c r="F81" s="221">
        <v>10</v>
      </c>
      <c r="G81" s="225">
        <v>6</v>
      </c>
      <c r="H81" s="203">
        <v>0</v>
      </c>
      <c r="I81" s="225">
        <v>0</v>
      </c>
      <c r="J81" s="203">
        <v>6</v>
      </c>
      <c r="K81" s="203">
        <v>6</v>
      </c>
      <c r="L81" s="227"/>
      <c r="M81" s="227"/>
      <c r="N81" s="227"/>
      <c r="O81" s="227"/>
      <c r="P81" s="227"/>
      <c r="Q81" s="227"/>
      <c r="R81" s="227"/>
      <c r="S81" s="227"/>
    </row>
    <row r="82" spans="1:23">
      <c r="B82" s="219" t="s">
        <v>297</v>
      </c>
      <c r="C82" s="220"/>
      <c r="D82" s="221">
        <v>5</v>
      </c>
      <c r="E82" s="221">
        <v>22</v>
      </c>
      <c r="F82" s="221">
        <v>10</v>
      </c>
      <c r="G82" s="225">
        <v>6</v>
      </c>
      <c r="H82" s="203">
        <v>0</v>
      </c>
      <c r="I82" s="225">
        <v>0</v>
      </c>
      <c r="J82" s="203">
        <v>6</v>
      </c>
      <c r="K82" s="203">
        <v>6</v>
      </c>
      <c r="L82" s="227"/>
      <c r="M82" s="227"/>
      <c r="N82" s="227"/>
      <c r="O82" s="227"/>
      <c r="P82" s="227"/>
      <c r="Q82" s="227"/>
      <c r="R82" s="227"/>
      <c r="S82" s="227"/>
    </row>
    <row r="83" spans="1:23">
      <c r="B83" s="219" t="s">
        <v>298</v>
      </c>
      <c r="C83" s="220"/>
      <c r="D83" s="221">
        <v>6</v>
      </c>
      <c r="E83" s="221">
        <v>24</v>
      </c>
      <c r="F83" s="221">
        <v>12</v>
      </c>
      <c r="G83" s="225">
        <v>5</v>
      </c>
      <c r="H83" s="203">
        <v>1</v>
      </c>
      <c r="I83" s="225">
        <v>1</v>
      </c>
      <c r="J83" s="203">
        <v>5</v>
      </c>
      <c r="K83" s="203">
        <v>6</v>
      </c>
      <c r="L83" s="227"/>
      <c r="M83" s="227"/>
      <c r="N83" s="227"/>
      <c r="O83" s="227"/>
      <c r="P83" s="227"/>
      <c r="Q83" s="227"/>
      <c r="R83" s="227"/>
      <c r="S83" s="227"/>
    </row>
    <row r="84" spans="1:23">
      <c r="B84" s="219" t="s">
        <v>299</v>
      </c>
      <c r="C84" s="220"/>
      <c r="D84" s="221">
        <v>6</v>
      </c>
      <c r="E84" s="221">
        <v>24</v>
      </c>
      <c r="F84" s="221">
        <v>12</v>
      </c>
      <c r="G84" s="225">
        <v>5</v>
      </c>
      <c r="H84" s="203">
        <v>1</v>
      </c>
      <c r="I84" s="225">
        <v>1</v>
      </c>
      <c r="J84" s="203">
        <v>5</v>
      </c>
      <c r="K84" s="203">
        <v>6</v>
      </c>
      <c r="L84" s="227"/>
      <c r="M84" s="227"/>
      <c r="N84" s="227"/>
      <c r="O84" s="227"/>
      <c r="P84" s="227"/>
      <c r="Q84" s="227"/>
      <c r="R84" s="227"/>
      <c r="S84" s="227"/>
    </row>
    <row r="85" spans="1:23">
      <c r="B85" s="219" t="s">
        <v>300</v>
      </c>
      <c r="C85" s="220"/>
      <c r="D85" s="221">
        <v>6</v>
      </c>
      <c r="E85" s="221">
        <v>24</v>
      </c>
      <c r="F85" s="221">
        <v>12</v>
      </c>
      <c r="G85" s="225">
        <v>6</v>
      </c>
      <c r="H85" s="203">
        <v>0</v>
      </c>
      <c r="I85" s="225">
        <v>0</v>
      </c>
      <c r="J85" s="203">
        <v>6</v>
      </c>
      <c r="K85" s="203">
        <v>6</v>
      </c>
      <c r="L85" s="227"/>
      <c r="M85" s="227"/>
      <c r="N85" s="227"/>
      <c r="O85" s="227"/>
      <c r="P85" s="227"/>
      <c r="Q85" s="227"/>
      <c r="R85" s="227"/>
      <c r="S85" s="227"/>
    </row>
    <row r="86" spans="1:23">
      <c r="B86" s="219" t="s">
        <v>301</v>
      </c>
      <c r="C86" s="220"/>
      <c r="D86" s="221">
        <v>6</v>
      </c>
      <c r="E86" s="221">
        <v>24</v>
      </c>
      <c r="F86" s="221">
        <v>12</v>
      </c>
      <c r="G86" s="225">
        <v>6</v>
      </c>
      <c r="H86" s="203">
        <v>0</v>
      </c>
      <c r="I86" s="225">
        <v>0</v>
      </c>
      <c r="J86" s="203">
        <v>6</v>
      </c>
      <c r="K86" s="203">
        <v>6</v>
      </c>
      <c r="L86" s="227"/>
      <c r="M86" s="227"/>
      <c r="N86" s="227"/>
      <c r="O86" s="227"/>
      <c r="P86" s="227"/>
      <c r="Q86" s="227"/>
      <c r="R86" s="227"/>
      <c r="S86" s="227"/>
    </row>
    <row r="87" spans="1:23">
      <c r="B87" s="219" t="s">
        <v>302</v>
      </c>
      <c r="C87" s="220"/>
      <c r="D87" s="221">
        <v>6</v>
      </c>
      <c r="E87" s="221">
        <v>26</v>
      </c>
      <c r="F87" s="221">
        <v>12</v>
      </c>
      <c r="G87" s="225">
        <v>6</v>
      </c>
      <c r="H87" s="203">
        <v>1</v>
      </c>
      <c r="I87" s="225">
        <v>1</v>
      </c>
      <c r="J87" s="203">
        <v>6</v>
      </c>
      <c r="K87" s="203">
        <v>7</v>
      </c>
      <c r="L87" s="227"/>
      <c r="M87" s="227"/>
      <c r="N87" s="227"/>
      <c r="O87" s="227"/>
      <c r="P87" s="227"/>
      <c r="Q87" s="227"/>
      <c r="R87" s="227"/>
      <c r="S87" s="227"/>
    </row>
    <row r="88" spans="1:23">
      <c r="B88" s="219" t="s">
        <v>303</v>
      </c>
      <c r="C88" s="220"/>
      <c r="D88" s="221">
        <v>6</v>
      </c>
      <c r="E88" s="221">
        <v>26</v>
      </c>
      <c r="F88" s="221">
        <v>12</v>
      </c>
      <c r="G88" s="225">
        <v>6</v>
      </c>
      <c r="H88" s="203">
        <v>1</v>
      </c>
      <c r="I88" s="225">
        <v>1</v>
      </c>
      <c r="J88" s="203">
        <v>6</v>
      </c>
      <c r="K88" s="203">
        <v>7</v>
      </c>
      <c r="L88" s="227"/>
      <c r="M88" s="227"/>
      <c r="N88" s="227"/>
      <c r="O88" s="227"/>
      <c r="P88" s="227"/>
      <c r="Q88" s="227"/>
      <c r="R88" s="227"/>
      <c r="S88" s="227"/>
    </row>
    <row r="89" spans="1:23">
      <c r="B89" s="219" t="s">
        <v>304</v>
      </c>
      <c r="C89" s="220"/>
      <c r="D89" s="221">
        <v>6</v>
      </c>
      <c r="E89" s="221">
        <v>26</v>
      </c>
      <c r="F89" s="221">
        <v>12</v>
      </c>
      <c r="G89" s="225">
        <v>7</v>
      </c>
      <c r="H89" s="203">
        <v>0</v>
      </c>
      <c r="I89" s="225">
        <v>0</v>
      </c>
      <c r="J89" s="203">
        <v>7</v>
      </c>
      <c r="K89" s="203">
        <v>7</v>
      </c>
      <c r="L89" s="227"/>
      <c r="M89" s="227"/>
      <c r="N89" s="227"/>
      <c r="O89" s="227"/>
      <c r="P89" s="227"/>
      <c r="Q89" s="227"/>
      <c r="R89" s="227"/>
      <c r="S89" s="227"/>
    </row>
    <row r="90" spans="1:23">
      <c r="B90" s="219" t="s">
        <v>305</v>
      </c>
      <c r="C90" s="220"/>
      <c r="D90" s="221">
        <v>6</v>
      </c>
      <c r="E90" s="221">
        <v>26</v>
      </c>
      <c r="F90" s="221">
        <v>12</v>
      </c>
      <c r="G90" s="225">
        <v>7</v>
      </c>
      <c r="H90" s="203">
        <v>0</v>
      </c>
      <c r="I90" s="225">
        <v>0</v>
      </c>
      <c r="J90" s="203">
        <v>7</v>
      </c>
      <c r="K90" s="203">
        <v>7</v>
      </c>
      <c r="L90" s="227"/>
      <c r="M90" s="227"/>
      <c r="N90" s="227"/>
      <c r="O90" s="227"/>
      <c r="P90" s="227"/>
      <c r="Q90" s="227"/>
      <c r="R90" s="227"/>
      <c r="S90" s="227"/>
    </row>
    <row r="92" spans="1:23" customHeight="1" ht="12.75"/>
    <row r="93" spans="1:23">
      <c r="F93" s="1176" t="s">
        <v>486</v>
      </c>
      <c r="G93" s="1177"/>
      <c r="H93" s="1177"/>
      <c r="I93" s="1182" t="s">
        <v>487</v>
      </c>
      <c r="J93" s="1183"/>
      <c r="K93" s="1183"/>
      <c r="L93" s="1183"/>
      <c r="M93" s="1184"/>
      <c r="N93" s="272"/>
      <c r="O93" s="272"/>
      <c r="P93" s="272"/>
    </row>
    <row r="94" spans="1:23" customHeight="1" ht="12.75">
      <c r="F94" s="133"/>
      <c r="G94" s="1179" t="s">
        <v>488</v>
      </c>
      <c r="H94" s="1180"/>
      <c r="I94" s="282"/>
      <c r="J94" s="281"/>
      <c r="K94" s="281"/>
      <c r="L94" s="580"/>
      <c r="M94" s="268"/>
      <c r="N94" s="9"/>
      <c r="O94" s="1181"/>
      <c r="P94" s="1181"/>
      <c r="Q94" s="1181"/>
    </row>
    <row r="95" spans="1:23" customHeight="1" ht="24.75">
      <c r="B95" s="179" t="s">
        <v>520</v>
      </c>
      <c r="C95" s="180"/>
      <c r="D95" s="181"/>
      <c r="E95" s="182"/>
      <c r="F95" s="134" t="s">
        <v>491</v>
      </c>
      <c r="G95" s="135" t="s">
        <v>492</v>
      </c>
      <c r="H95" s="139" t="s">
        <v>493</v>
      </c>
      <c r="I95" s="269" t="s">
        <v>502</v>
      </c>
      <c r="J95" s="270" t="s">
        <v>505</v>
      </c>
      <c r="K95" s="270" t="s">
        <v>498</v>
      </c>
      <c r="L95" s="586" t="s">
        <v>510</v>
      </c>
      <c r="M95" s="271" t="s">
        <v>521</v>
      </c>
      <c r="N95" s="283" t="s">
        <v>522</v>
      </c>
      <c r="O95" s="266"/>
      <c r="P95" s="266"/>
      <c r="Q95" s="266"/>
    </row>
    <row r="96" spans="1:23">
      <c r="B96" s="56" t="s">
        <v>313</v>
      </c>
      <c r="C96" s="70"/>
      <c r="D96" s="70"/>
      <c r="E96" s="57"/>
      <c r="F96" s="184">
        <v>1</v>
      </c>
      <c r="G96" s="75">
        <v>5</v>
      </c>
      <c r="H96" s="75" t="str">
        <f>F96*2</f>
        <v>0</v>
      </c>
      <c r="I96" s="75">
        <v>2</v>
      </c>
      <c r="J96" s="75" t="str">
        <f>I96</f>
        <v>0</v>
      </c>
      <c r="K96" s="203">
        <v>2</v>
      </c>
      <c r="L96" s="203" t="str">
        <f>F96</f>
        <v>0</v>
      </c>
      <c r="M96" s="203">
        <v>1</v>
      </c>
      <c r="N96" s="224">
        <v>0</v>
      </c>
      <c r="O96" s="227"/>
      <c r="P96" s="227"/>
      <c r="Q96" s="227"/>
    </row>
    <row r="97" spans="1:23">
      <c r="B97" s="59" t="s">
        <v>314</v>
      </c>
      <c r="C97" s="72"/>
      <c r="D97" s="72"/>
      <c r="E97" s="60"/>
      <c r="F97" s="183">
        <v>1</v>
      </c>
      <c r="G97" s="8">
        <v>7</v>
      </c>
      <c r="H97" s="8" t="str">
        <f>F97*2</f>
        <v>0</v>
      </c>
      <c r="I97" s="8">
        <v>3</v>
      </c>
      <c r="J97" s="75" t="str">
        <f>I97</f>
        <v>0</v>
      </c>
      <c r="K97" s="225">
        <v>3</v>
      </c>
      <c r="L97" s="225" t="str">
        <f>F97</f>
        <v>0</v>
      </c>
      <c r="M97" s="225">
        <v>1</v>
      </c>
      <c r="N97" s="226">
        <v>1</v>
      </c>
      <c r="O97" s="227"/>
      <c r="P97" s="227"/>
      <c r="Q97" s="227"/>
    </row>
    <row r="98" spans="1:23">
      <c r="B98" s="59" t="s">
        <v>315</v>
      </c>
      <c r="C98" s="72"/>
      <c r="D98" s="72"/>
      <c r="E98" s="60"/>
      <c r="F98" s="183">
        <v>2</v>
      </c>
      <c r="G98" s="8">
        <v>10</v>
      </c>
      <c r="H98" s="8" t="str">
        <f>F98*2</f>
        <v>0</v>
      </c>
      <c r="I98" s="8">
        <v>4</v>
      </c>
      <c r="J98" s="75" t="str">
        <f>I98</f>
        <v>0</v>
      </c>
      <c r="K98" s="225">
        <v>4</v>
      </c>
      <c r="L98" s="225" t="str">
        <f>F98</f>
        <v>0</v>
      </c>
      <c r="M98" s="225">
        <v>2</v>
      </c>
      <c r="N98" s="226">
        <v>0</v>
      </c>
      <c r="O98" s="227"/>
      <c r="P98" s="227"/>
      <c r="Q98" s="227"/>
    </row>
    <row r="99" spans="1:23">
      <c r="B99" s="59" t="s">
        <v>316</v>
      </c>
      <c r="C99" s="72"/>
      <c r="D99" s="72"/>
      <c r="E99" s="60"/>
      <c r="F99" s="183">
        <v>2</v>
      </c>
      <c r="G99" s="8">
        <v>10</v>
      </c>
      <c r="H99" s="8" t="str">
        <f>F99*2</f>
        <v>0</v>
      </c>
      <c r="I99" s="8">
        <v>4</v>
      </c>
      <c r="J99" s="75" t="str">
        <f>I99</f>
        <v>0</v>
      </c>
      <c r="K99" s="225">
        <v>4</v>
      </c>
      <c r="L99" s="225" t="str">
        <f>F99</f>
        <v>0</v>
      </c>
      <c r="M99" s="225">
        <v>2</v>
      </c>
      <c r="N99" s="226">
        <v>0</v>
      </c>
      <c r="O99" s="227"/>
      <c r="P99" s="227"/>
      <c r="Q99" s="227"/>
    </row>
    <row r="100" spans="1:23">
      <c r="B100" s="59" t="s">
        <v>317</v>
      </c>
      <c r="C100" s="72"/>
      <c r="D100" s="72"/>
      <c r="E100" s="60"/>
      <c r="F100" s="183">
        <v>3</v>
      </c>
      <c r="G100" s="8">
        <v>15</v>
      </c>
      <c r="H100" s="8" t="str">
        <f>F100*2</f>
        <v>0</v>
      </c>
      <c r="I100" s="8">
        <v>6</v>
      </c>
      <c r="J100" s="75" t="str">
        <f>I100</f>
        <v>0</v>
      </c>
      <c r="K100" s="225">
        <v>6</v>
      </c>
      <c r="L100" s="225" t="str">
        <f>F100</f>
        <v>0</v>
      </c>
      <c r="M100" s="225">
        <v>3</v>
      </c>
      <c r="N100" s="226">
        <v>0</v>
      </c>
      <c r="O100" s="227"/>
      <c r="P100" s="227"/>
      <c r="Q100" s="227"/>
    </row>
    <row r="101" spans="1:23">
      <c r="B101" s="59" t="s">
        <v>318</v>
      </c>
      <c r="C101" s="72"/>
      <c r="D101" s="72"/>
      <c r="E101" s="60"/>
      <c r="F101" s="183">
        <v>2</v>
      </c>
      <c r="G101" s="8">
        <v>14</v>
      </c>
      <c r="H101" s="8" t="str">
        <f>F101*2</f>
        <v>0</v>
      </c>
      <c r="I101" s="8">
        <v>6</v>
      </c>
      <c r="J101" s="75" t="str">
        <f>I101</f>
        <v>0</v>
      </c>
      <c r="K101" s="225">
        <v>6</v>
      </c>
      <c r="L101" s="225" t="str">
        <f>F101</f>
        <v>0</v>
      </c>
      <c r="M101" s="225">
        <v>2</v>
      </c>
      <c r="N101" s="226">
        <v>2</v>
      </c>
      <c r="O101" s="227"/>
      <c r="P101" s="227"/>
      <c r="Q101" s="227"/>
    </row>
    <row r="102" spans="1:23">
      <c r="B102" s="59" t="s">
        <v>319</v>
      </c>
      <c r="C102" s="72"/>
      <c r="D102" s="72"/>
      <c r="E102" s="60"/>
      <c r="F102" s="183">
        <v>4</v>
      </c>
      <c r="G102" s="8">
        <v>20</v>
      </c>
      <c r="H102" s="8" t="str">
        <f>F102*2</f>
        <v>0</v>
      </c>
      <c r="I102" s="8">
        <v>8</v>
      </c>
      <c r="J102" s="75" t="str">
        <f>I102</f>
        <v>0</v>
      </c>
      <c r="K102" s="225">
        <v>8</v>
      </c>
      <c r="L102" s="225" t="str">
        <f>F102</f>
        <v>0</v>
      </c>
      <c r="M102" s="225">
        <v>4</v>
      </c>
      <c r="N102" s="226">
        <v>0</v>
      </c>
      <c r="O102" s="227"/>
      <c r="P102" s="227"/>
      <c r="Q102" s="227"/>
    </row>
    <row r="103" spans="1:23">
      <c r="B103" s="59" t="s">
        <v>320</v>
      </c>
      <c r="C103" s="72"/>
      <c r="D103" s="72"/>
      <c r="E103" s="60"/>
      <c r="F103" s="183">
        <v>4</v>
      </c>
      <c r="G103" s="8">
        <v>20</v>
      </c>
      <c r="H103" s="8" t="str">
        <f>F103*2</f>
        <v>0</v>
      </c>
      <c r="I103" s="8">
        <v>8</v>
      </c>
      <c r="J103" s="75" t="str">
        <f>I103</f>
        <v>0</v>
      </c>
      <c r="K103" s="225">
        <v>8</v>
      </c>
      <c r="L103" s="225" t="str">
        <f>F103</f>
        <v>0</v>
      </c>
      <c r="M103" s="225">
        <v>4</v>
      </c>
      <c r="N103" s="226">
        <v>0</v>
      </c>
      <c r="O103" s="227"/>
      <c r="P103" s="227"/>
      <c r="Q103" s="227"/>
    </row>
    <row r="104" spans="1:23">
      <c r="B104" s="59" t="s">
        <v>321</v>
      </c>
      <c r="C104" s="72"/>
      <c r="D104" s="72"/>
      <c r="E104" s="60"/>
      <c r="F104" s="183">
        <v>2</v>
      </c>
      <c r="G104" s="8">
        <v>16</v>
      </c>
      <c r="H104" s="8" t="str">
        <f>F104*2</f>
        <v>0</v>
      </c>
      <c r="I104" s="8">
        <v>8</v>
      </c>
      <c r="J104" s="75" t="str">
        <f>I104</f>
        <v>0</v>
      </c>
      <c r="K104" s="225">
        <v>8</v>
      </c>
      <c r="L104" s="225" t="str">
        <f>F104</f>
        <v>0</v>
      </c>
      <c r="M104" s="225">
        <v>2</v>
      </c>
      <c r="N104" s="226">
        <v>4</v>
      </c>
      <c r="O104" s="227"/>
      <c r="P104" s="227"/>
      <c r="Q104" s="227"/>
    </row>
    <row r="105" spans="1:23">
      <c r="B105" s="59" t="s">
        <v>322</v>
      </c>
      <c r="C105" s="72"/>
      <c r="D105" s="72"/>
      <c r="E105" s="60"/>
      <c r="F105" s="183">
        <v>6</v>
      </c>
      <c r="G105" s="8">
        <v>30</v>
      </c>
      <c r="H105" s="8" t="str">
        <f>F105*2</f>
        <v>0</v>
      </c>
      <c r="I105" s="8">
        <v>12</v>
      </c>
      <c r="J105" s="75" t="str">
        <f>I105</f>
        <v>0</v>
      </c>
      <c r="K105" s="225">
        <v>12</v>
      </c>
      <c r="L105" s="225" t="str">
        <f>F105</f>
        <v>0</v>
      </c>
      <c r="M105" s="225">
        <v>6</v>
      </c>
      <c r="N105" s="226">
        <v>0</v>
      </c>
      <c r="O105" s="227"/>
      <c r="P105" s="227"/>
      <c r="Q105" s="227"/>
    </row>
    <row r="106" spans="1:23">
      <c r="B106" s="59" t="s">
        <v>323</v>
      </c>
      <c r="C106" s="72"/>
      <c r="D106" s="72"/>
      <c r="E106" s="60"/>
      <c r="F106" s="183">
        <v>4</v>
      </c>
      <c r="G106" s="8">
        <v>24</v>
      </c>
      <c r="H106" s="8" t="str">
        <f>F106*2</f>
        <v>0</v>
      </c>
      <c r="I106" s="8">
        <v>10</v>
      </c>
      <c r="J106" s="75" t="str">
        <f>I106</f>
        <v>0</v>
      </c>
      <c r="K106" s="225">
        <v>10</v>
      </c>
      <c r="L106" s="225" t="str">
        <f>F106</f>
        <v>0</v>
      </c>
      <c r="M106" s="225">
        <v>4</v>
      </c>
      <c r="N106" s="226">
        <v>2</v>
      </c>
      <c r="O106" s="227"/>
      <c r="P106" s="227"/>
      <c r="Q106" s="227"/>
    </row>
    <row r="107" spans="1:23">
      <c r="B107" s="59" t="s">
        <v>324</v>
      </c>
      <c r="C107" s="72"/>
      <c r="D107" s="72"/>
      <c r="E107" s="60"/>
      <c r="F107" s="183">
        <v>2</v>
      </c>
      <c r="G107" s="8">
        <v>22</v>
      </c>
      <c r="H107" s="8" t="str">
        <f>F107*2</f>
        <v>0</v>
      </c>
      <c r="I107" s="8">
        <v>10</v>
      </c>
      <c r="J107" s="75" t="str">
        <f>I107</f>
        <v>0</v>
      </c>
      <c r="K107" s="225">
        <v>10</v>
      </c>
      <c r="L107" s="225" t="str">
        <f>F107</f>
        <v>0</v>
      </c>
      <c r="M107" s="225">
        <v>2</v>
      </c>
      <c r="N107" s="226">
        <v>6</v>
      </c>
      <c r="O107" s="227"/>
      <c r="P107" s="227"/>
      <c r="Q107" s="227"/>
    </row>
    <row r="108" spans="1:23">
      <c r="B108" s="59" t="s">
        <v>325</v>
      </c>
      <c r="C108" s="72"/>
      <c r="D108" s="72"/>
      <c r="E108" s="60"/>
      <c r="F108" s="183">
        <v>4</v>
      </c>
      <c r="G108" s="8">
        <v>28</v>
      </c>
      <c r="H108" s="8" t="str">
        <f>F108*2</f>
        <v>0</v>
      </c>
      <c r="I108" s="8">
        <v>12</v>
      </c>
      <c r="J108" s="75" t="str">
        <f>I108</f>
        <v>0</v>
      </c>
      <c r="K108" s="225">
        <v>12</v>
      </c>
      <c r="L108" s="225" t="str">
        <f>F108</f>
        <v>0</v>
      </c>
      <c r="M108" s="225">
        <v>4</v>
      </c>
      <c r="N108" s="226">
        <v>4</v>
      </c>
      <c r="O108" s="227"/>
      <c r="P108" s="227"/>
      <c r="Q108" s="227"/>
    </row>
    <row r="109" spans="1:23">
      <c r="B109" s="59" t="s">
        <v>326</v>
      </c>
      <c r="C109" s="72"/>
      <c r="D109" s="72"/>
      <c r="E109" s="60"/>
      <c r="F109" s="183">
        <v>3</v>
      </c>
      <c r="G109" s="8">
        <v>23</v>
      </c>
      <c r="H109" s="8" t="str">
        <f>F109*2</f>
        <v>0</v>
      </c>
      <c r="I109" s="8">
        <v>11</v>
      </c>
      <c r="J109" s="75" t="str">
        <f>I109</f>
        <v>0</v>
      </c>
      <c r="K109" s="225">
        <v>11</v>
      </c>
      <c r="L109" s="225" t="str">
        <f>F109</f>
        <v>0</v>
      </c>
      <c r="M109" s="225">
        <v>3</v>
      </c>
      <c r="N109" s="226">
        <v>5</v>
      </c>
      <c r="O109" s="227"/>
      <c r="P109" s="227"/>
      <c r="Q109" s="227"/>
    </row>
    <row r="110" spans="1:23">
      <c r="B110" s="59" t="s">
        <v>327</v>
      </c>
      <c r="C110" s="72"/>
      <c r="D110" s="72"/>
      <c r="E110" s="60"/>
      <c r="F110" s="183">
        <v>3</v>
      </c>
      <c r="G110" s="8">
        <v>15</v>
      </c>
      <c r="H110" s="8" t="str">
        <f>F110*2</f>
        <v>0</v>
      </c>
      <c r="I110" s="8">
        <v>6</v>
      </c>
      <c r="J110" s="75" t="str">
        <f>I110</f>
        <v>0</v>
      </c>
      <c r="K110" s="225">
        <v>6</v>
      </c>
      <c r="L110" s="225" t="str">
        <f>F110</f>
        <v>0</v>
      </c>
      <c r="M110" s="225">
        <v>3</v>
      </c>
      <c r="N110" s="226">
        <v>0</v>
      </c>
      <c r="O110" s="227"/>
      <c r="P110" s="227"/>
      <c r="Q110" s="227"/>
    </row>
    <row r="111" spans="1:23">
      <c r="B111" s="59" t="s">
        <v>328</v>
      </c>
      <c r="C111" s="72"/>
      <c r="D111" s="72"/>
      <c r="E111" s="60"/>
      <c r="F111" s="183">
        <v>3</v>
      </c>
      <c r="G111" s="8">
        <v>21</v>
      </c>
      <c r="H111" s="8" t="str">
        <f>F111*2</f>
        <v>0</v>
      </c>
      <c r="I111" s="8">
        <v>9</v>
      </c>
      <c r="J111" s="75" t="str">
        <f>I111</f>
        <v>0</v>
      </c>
      <c r="K111" s="225">
        <v>9</v>
      </c>
      <c r="L111" s="225" t="str">
        <f>F111</f>
        <v>0</v>
      </c>
      <c r="M111" s="225">
        <v>3</v>
      </c>
      <c r="N111" s="226">
        <v>3</v>
      </c>
      <c r="O111" s="227"/>
      <c r="P111" s="227"/>
      <c r="Q111" s="227"/>
    </row>
    <row r="112" spans="1:23">
      <c r="B112" s="59" t="s">
        <v>329</v>
      </c>
      <c r="C112" s="72"/>
      <c r="D112" s="72"/>
      <c r="E112" s="60"/>
      <c r="F112" s="183">
        <v>6</v>
      </c>
      <c r="G112" s="8">
        <v>30</v>
      </c>
      <c r="H112" s="8" t="str">
        <f>F112*2</f>
        <v>0</v>
      </c>
      <c r="I112" s="8">
        <v>12</v>
      </c>
      <c r="J112" s="75" t="str">
        <f>I112</f>
        <v>0</v>
      </c>
      <c r="K112" s="225">
        <v>12</v>
      </c>
      <c r="L112" s="225" t="str">
        <f>F112</f>
        <v>0</v>
      </c>
      <c r="M112" s="225">
        <v>6</v>
      </c>
      <c r="N112" s="226">
        <v>0</v>
      </c>
      <c r="O112" s="227"/>
      <c r="P112" s="227"/>
      <c r="Q112" s="2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:C4"/>
    <mergeCell ref="G26:I26"/>
    <mergeCell ref="D42:F42"/>
    <mergeCell ref="D4:E4"/>
    <mergeCell ref="E43:F43"/>
    <mergeCell ref="G25:M25"/>
    <mergeCell ref="E26:F26"/>
    <mergeCell ref="D25:F25"/>
    <mergeCell ref="K26:M26"/>
    <mergeCell ref="G4:H4"/>
    <mergeCell ref="I4:J4"/>
    <mergeCell ref="G42:K42"/>
    <mergeCell ref="O42:W42"/>
    <mergeCell ref="F93:H93"/>
    <mergeCell ref="G94:H94"/>
    <mergeCell ref="O94:Q94"/>
    <mergeCell ref="I93:M93"/>
  </mergeCells>
  <printOptions gridLines="false" gridLinesSet="true"/>
  <pageMargins left="0.7086614173228347" right="0.7086614173228347" top="0.38" bottom="0.22" header="0.3149606299212598" footer="0.16"/>
  <pageSetup paperSize="9" orientation="landscape" scale="7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76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23.5" customWidth="true" style="0"/>
    <col min="2" max="2" width="21.1640625" customWidth="true" style="0"/>
    <col min="3" max="3" width="37" customWidth="true" style="0"/>
    <col min="4" max="4" width="24" customWidth="true" style="0"/>
    <col min="5" max="5" width="24.5" customWidth="true" style="0"/>
    <col min="6" max="6" width="18.5" customWidth="true" style="0"/>
    <col min="7" max="7" width="14.83203125" customWidth="true" style="0"/>
    <col min="8" max="8" width="23.5" customWidth="true" style="0"/>
    <col min="9" max="9" width="9.83203125" customWidth="true" style="0"/>
    <col min="10" max="10" width="6.5" customWidth="true" style="0"/>
    <col min="11" max="11" width="6.5" customWidth="true" style="0"/>
    <col min="12" max="12" width="17" customWidth="true" style="0"/>
    <col min="13" max="13" width="5.6640625" customWidth="true" style="0"/>
    <col min="14" max="14" width="17" customWidth="true" style="0"/>
  </cols>
  <sheetData>
    <row r="1" spans="1:14" customHeight="1" ht="12.75"/>
    <row r="2" spans="1:14" customHeight="1" ht="12.75" s="392" customFormat="1">
      <c r="A2" s="388" t="s">
        <v>523</v>
      </c>
      <c r="B2" s="390" t="s">
        <v>524</v>
      </c>
      <c r="C2" s="390" t="s">
        <v>503</v>
      </c>
      <c r="D2" s="391" t="s">
        <v>525</v>
      </c>
    </row>
    <row r="3" spans="1:14">
      <c r="A3" s="7" t="s">
        <v>203</v>
      </c>
      <c r="B3" s="71">
        <v>34</v>
      </c>
      <c r="C3" s="7" t="s">
        <v>507</v>
      </c>
      <c r="D3" s="7" t="s">
        <v>502</v>
      </c>
    </row>
    <row r="4" spans="1:14">
      <c r="A4" s="24" t="s">
        <v>526</v>
      </c>
      <c r="B4" s="294">
        <v>34</v>
      </c>
      <c r="C4" s="24" t="s">
        <v>508</v>
      </c>
      <c r="D4" s="24" t="s">
        <v>502</v>
      </c>
    </row>
    <row r="5" spans="1:14">
      <c r="A5" s="24" t="s">
        <v>527</v>
      </c>
      <c r="B5" s="294">
        <v>34</v>
      </c>
      <c r="C5" s="24" t="s">
        <v>508</v>
      </c>
      <c r="D5" s="24" t="s">
        <v>502</v>
      </c>
    </row>
    <row r="6" spans="1:14">
      <c r="A6" s="24" t="s">
        <v>528</v>
      </c>
      <c r="B6" s="294">
        <v>25</v>
      </c>
      <c r="C6" s="24" t="s">
        <v>509</v>
      </c>
      <c r="D6" s="24" t="s">
        <v>506</v>
      </c>
    </row>
    <row r="7" spans="1:14" customHeight="1" ht="12.75"/>
    <row r="8" spans="1:14" customHeight="1" ht="24.75" s="392" customFormat="1">
      <c r="A8" s="447" t="s">
        <v>529</v>
      </c>
      <c r="B8" s="390" t="s">
        <v>530</v>
      </c>
      <c r="C8" s="390" t="s">
        <v>531</v>
      </c>
      <c r="D8" s="390" t="s">
        <v>532</v>
      </c>
      <c r="E8" s="390" t="s">
        <v>533</v>
      </c>
      <c r="F8" s="391" t="s">
        <v>534</v>
      </c>
    </row>
    <row r="9" spans="1:14" customHeight="1" ht="12.75">
      <c r="A9" s="377" t="s">
        <v>196</v>
      </c>
      <c r="B9" s="377" t="s">
        <v>49</v>
      </c>
      <c r="C9" s="377" t="s">
        <v>196</v>
      </c>
      <c r="D9" s="377">
        <v>0</v>
      </c>
      <c r="E9" s="377">
        <v>0</v>
      </c>
      <c r="F9" s="1"/>
      <c r="K9" s="1194" t="s">
        <v>535</v>
      </c>
      <c r="L9" s="1193"/>
      <c r="M9" s="1192" t="s">
        <v>536</v>
      </c>
      <c r="N9" s="1193"/>
    </row>
    <row r="10" spans="1:14">
      <c r="A10" s="321" t="s">
        <v>257</v>
      </c>
      <c r="B10" s="321" t="s">
        <v>526</v>
      </c>
      <c r="C10" s="377" t="s">
        <v>196</v>
      </c>
      <c r="D10" s="377">
        <v>0</v>
      </c>
      <c r="E10" s="377">
        <v>0</v>
      </c>
      <c r="F10" s="1"/>
      <c r="H10" s="321" t="s">
        <v>257</v>
      </c>
      <c r="I10" s="24" t="s">
        <v>141</v>
      </c>
      <c r="J10" s="24" t="str">
        <f>H10&amp;I10</f>
        <v>0</v>
      </c>
      <c r="K10" s="536" t="s">
        <v>141</v>
      </c>
      <c r="L10" s="321" t="s">
        <v>526</v>
      </c>
      <c r="M10" s="569">
        <v>0</v>
      </c>
      <c r="N10" s="321">
        <v>0</v>
      </c>
    </row>
    <row r="11" spans="1:14">
      <c r="A11" s="321" t="s">
        <v>261</v>
      </c>
      <c r="B11" s="321" t="s">
        <v>527</v>
      </c>
      <c r="C11" s="377" t="s">
        <v>196</v>
      </c>
      <c r="D11" s="377">
        <v>0</v>
      </c>
      <c r="E11" s="377">
        <v>0</v>
      </c>
      <c r="F11" s="1"/>
      <c r="H11" s="321" t="s">
        <v>257</v>
      </c>
      <c r="I11" s="24" t="s">
        <v>142</v>
      </c>
      <c r="J11" s="24" t="str">
        <f>H11&amp;I11</f>
        <v>0</v>
      </c>
      <c r="K11" s="536">
        <v>0</v>
      </c>
      <c r="L11" s="321">
        <v>0</v>
      </c>
      <c r="M11" s="569" t="s">
        <v>142</v>
      </c>
      <c r="N11" s="321" t="s">
        <v>526</v>
      </c>
    </row>
    <row r="12" spans="1:14">
      <c r="A12" s="321" t="s">
        <v>270</v>
      </c>
      <c r="B12" s="321" t="s">
        <v>49</v>
      </c>
      <c r="C12" s="321" t="s">
        <v>270</v>
      </c>
      <c r="D12" s="321">
        <v>27</v>
      </c>
      <c r="E12" s="321">
        <v>35</v>
      </c>
      <c r="F12" s="321">
        <v>3</v>
      </c>
      <c r="H12" s="321" t="s">
        <v>257</v>
      </c>
      <c r="I12" s="132" t="s">
        <v>87</v>
      </c>
      <c r="J12" s="24" t="str">
        <f>H12&amp;I12</f>
        <v>0</v>
      </c>
      <c r="K12" s="536" t="s">
        <v>141</v>
      </c>
      <c r="L12" s="321" t="s">
        <v>526</v>
      </c>
      <c r="M12" s="569" t="s">
        <v>142</v>
      </c>
      <c r="N12" s="321" t="s">
        <v>526</v>
      </c>
    </row>
    <row r="13" spans="1:14">
      <c r="A13" s="321" t="s">
        <v>274</v>
      </c>
      <c r="B13" s="321" t="s">
        <v>49</v>
      </c>
      <c r="C13" s="321" t="s">
        <v>274</v>
      </c>
      <c r="D13" s="321">
        <v>46</v>
      </c>
      <c r="E13" s="321">
        <v>35</v>
      </c>
      <c r="F13" s="321">
        <v>3</v>
      </c>
      <c r="H13" s="321" t="s">
        <v>261</v>
      </c>
      <c r="I13" s="24" t="s">
        <v>141</v>
      </c>
      <c r="J13" s="24" t="str">
        <f>H13&amp;I13</f>
        <v>0</v>
      </c>
      <c r="K13" s="536" t="s">
        <v>141</v>
      </c>
      <c r="L13" s="321" t="s">
        <v>527</v>
      </c>
      <c r="M13" s="569">
        <v>0</v>
      </c>
      <c r="N13" s="321">
        <v>0</v>
      </c>
    </row>
    <row r="14" spans="1:14">
      <c r="A14" s="321" t="s">
        <v>278</v>
      </c>
      <c r="B14" s="321" t="s">
        <v>49</v>
      </c>
      <c r="C14" s="321" t="s">
        <v>278</v>
      </c>
      <c r="D14" s="321">
        <v>19</v>
      </c>
      <c r="E14" s="321">
        <v>100</v>
      </c>
      <c r="F14" s="321">
        <v>2</v>
      </c>
      <c r="H14" s="321" t="s">
        <v>261</v>
      </c>
      <c r="I14" s="24" t="s">
        <v>142</v>
      </c>
      <c r="J14" s="24" t="str">
        <f>H14&amp;I14</f>
        <v>0</v>
      </c>
      <c r="K14" s="536">
        <v>0</v>
      </c>
      <c r="L14" s="321">
        <v>0</v>
      </c>
      <c r="M14" s="569" t="s">
        <v>142</v>
      </c>
      <c r="N14" s="321" t="s">
        <v>527</v>
      </c>
    </row>
    <row r="15" spans="1:14">
      <c r="A15" s="321" t="s">
        <v>282</v>
      </c>
      <c r="B15" s="321" t="s">
        <v>49</v>
      </c>
      <c r="C15" s="321" t="s">
        <v>282</v>
      </c>
      <c r="D15" s="321">
        <v>19</v>
      </c>
      <c r="E15" s="321">
        <v>160</v>
      </c>
      <c r="F15" s="321">
        <v>2</v>
      </c>
      <c r="H15" s="321" t="s">
        <v>261</v>
      </c>
      <c r="I15" s="132" t="s">
        <v>87</v>
      </c>
      <c r="J15" s="24" t="str">
        <f>H15&amp;I15</f>
        <v>0</v>
      </c>
      <c r="K15" s="536" t="s">
        <v>141</v>
      </c>
      <c r="L15" s="321" t="s">
        <v>527</v>
      </c>
      <c r="M15" s="569" t="s">
        <v>142</v>
      </c>
      <c r="N15" s="321" t="s">
        <v>527</v>
      </c>
    </row>
    <row r="16" spans="1:14">
      <c r="A16" s="321" t="s">
        <v>286</v>
      </c>
      <c r="B16" s="321" t="s">
        <v>49</v>
      </c>
      <c r="C16" s="321" t="s">
        <v>286</v>
      </c>
      <c r="D16" s="321">
        <v>19</v>
      </c>
      <c r="E16" s="321">
        <v>200</v>
      </c>
      <c r="F16" s="321">
        <v>2</v>
      </c>
      <c r="H16" s="321" t="s">
        <v>261</v>
      </c>
      <c r="I16" s="568" t="s">
        <v>162</v>
      </c>
      <c r="J16" s="24" t="str">
        <f>H16&amp;I16</f>
        <v>0</v>
      </c>
      <c r="K16" s="536" t="s">
        <v>162</v>
      </c>
      <c r="L16" s="321" t="s">
        <v>526</v>
      </c>
      <c r="M16" s="569">
        <v>0</v>
      </c>
      <c r="N16" s="321">
        <v>0</v>
      </c>
    </row>
    <row r="17" spans="1:14">
      <c r="A17" s="321" t="s">
        <v>290</v>
      </c>
      <c r="B17" s="321" t="s">
        <v>49</v>
      </c>
      <c r="C17" s="321" t="s">
        <v>290</v>
      </c>
      <c r="D17" s="321">
        <v>19</v>
      </c>
      <c r="E17" s="370" t="s">
        <v>49</v>
      </c>
      <c r="F17" s="321">
        <v>2</v>
      </c>
      <c r="H17" s="321" t="s">
        <v>261</v>
      </c>
      <c r="I17" s="568" t="s">
        <v>163</v>
      </c>
      <c r="J17" s="24" t="str">
        <f>H17&amp;I17</f>
        <v>0</v>
      </c>
      <c r="K17" s="536">
        <v>0</v>
      </c>
      <c r="L17" s="321">
        <v>0</v>
      </c>
      <c r="M17" s="569" t="s">
        <v>163</v>
      </c>
      <c r="N17" s="321" t="s">
        <v>526</v>
      </c>
    </row>
    <row r="18" spans="1:14" customHeight="1" ht="12.75">
      <c r="H18" s="321" t="s">
        <v>261</v>
      </c>
      <c r="I18" s="568" t="s">
        <v>226</v>
      </c>
      <c r="J18" s="24" t="str">
        <f>H18&amp;I18</f>
        <v>0</v>
      </c>
      <c r="K18" s="536" t="s">
        <v>162</v>
      </c>
      <c r="L18" s="321" t="s">
        <v>526</v>
      </c>
      <c r="M18" s="569" t="s">
        <v>142</v>
      </c>
      <c r="N18" s="321" t="s">
        <v>527</v>
      </c>
    </row>
    <row r="19" spans="1:14" customHeight="1" ht="12.75" s="392" customFormat="1">
      <c r="A19" s="388" t="s">
        <v>139</v>
      </c>
      <c r="B19" s="389" t="s">
        <v>537</v>
      </c>
      <c r="H19" s="321" t="s">
        <v>261</v>
      </c>
      <c r="I19" s="568" t="s">
        <v>225</v>
      </c>
      <c r="J19" s="24" t="str">
        <f>H19&amp;I19</f>
        <v>0</v>
      </c>
      <c r="K19" s="589" t="s">
        <v>162</v>
      </c>
      <c r="L19" s="321" t="s">
        <v>526</v>
      </c>
      <c r="M19" s="569" t="s">
        <v>163</v>
      </c>
      <c r="N19" s="321" t="s">
        <v>526</v>
      </c>
    </row>
    <row r="20" spans="1:14">
      <c r="A20" s="7" t="s">
        <v>49</v>
      </c>
      <c r="B20" s="7">
        <v>0</v>
      </c>
      <c r="H20" s="321" t="s">
        <v>261</v>
      </c>
      <c r="I20" s="568" t="s">
        <v>227</v>
      </c>
      <c r="J20" s="24" t="str">
        <f>H20&amp;I20</f>
        <v>0</v>
      </c>
      <c r="K20" s="536" t="s">
        <v>141</v>
      </c>
      <c r="L20" s="321" t="s">
        <v>527</v>
      </c>
      <c r="M20" s="569" t="s">
        <v>163</v>
      </c>
      <c r="N20" s="321" t="s">
        <v>526</v>
      </c>
    </row>
    <row r="21" spans="1:14">
      <c r="A21" s="7" t="s">
        <v>141</v>
      </c>
      <c r="B21" s="7">
        <v>1</v>
      </c>
    </row>
    <row r="22" spans="1:14">
      <c r="A22" s="24" t="s">
        <v>142</v>
      </c>
      <c r="B22" s="24">
        <v>1</v>
      </c>
    </row>
    <row r="23" spans="1:14">
      <c r="A23" s="132" t="s">
        <v>87</v>
      </c>
      <c r="B23" s="132">
        <v>2</v>
      </c>
    </row>
    <row r="24" spans="1:14">
      <c r="A24" s="568" t="s">
        <v>162</v>
      </c>
      <c r="B24" s="24">
        <v>1</v>
      </c>
    </row>
    <row r="25" spans="1:14">
      <c r="A25" s="568" t="s">
        <v>163</v>
      </c>
      <c r="B25" s="24">
        <v>1</v>
      </c>
    </row>
    <row r="26" spans="1:14">
      <c r="A26" s="568" t="s">
        <v>226</v>
      </c>
      <c r="B26" s="24">
        <v>2</v>
      </c>
    </row>
    <row r="27" spans="1:14">
      <c r="A27" s="568" t="s">
        <v>227</v>
      </c>
      <c r="B27" s="24">
        <v>2</v>
      </c>
    </row>
    <row r="28" spans="1:14" customHeight="1" ht="12.75"/>
    <row r="29" spans="1:14" customHeight="1" ht="12.75" s="392" customFormat="1">
      <c r="A29" s="388" t="s">
        <v>523</v>
      </c>
      <c r="B29" s="389" t="s">
        <v>21</v>
      </c>
      <c r="C29" s="389" t="s">
        <v>140</v>
      </c>
      <c r="D29" s="390" t="s">
        <v>538</v>
      </c>
      <c r="E29" s="391" t="s">
        <v>539</v>
      </c>
    </row>
    <row r="30" spans="1:14">
      <c r="A30" s="7" t="s">
        <v>203</v>
      </c>
      <c r="B30" s="7" t="s">
        <v>49</v>
      </c>
      <c r="C30" s="320" t="str">
        <f>A30&amp;B30</f>
        <v>0</v>
      </c>
      <c r="D30" s="7">
        <v>0</v>
      </c>
      <c r="E30" s="7">
        <v>34</v>
      </c>
    </row>
    <row r="31" spans="1:14">
      <c r="A31" s="24" t="s">
        <v>203</v>
      </c>
      <c r="B31" s="24" t="s">
        <v>540</v>
      </c>
      <c r="C31" s="320" t="str">
        <f>A31&amp;B31</f>
        <v>0</v>
      </c>
      <c r="D31" s="24">
        <v>19</v>
      </c>
      <c r="E31" s="24" t="str">
        <f>34+19</f>
        <v>0</v>
      </c>
    </row>
    <row r="32" spans="1:14">
      <c r="A32" s="24" t="s">
        <v>203</v>
      </c>
      <c r="B32" s="24" t="s">
        <v>541</v>
      </c>
      <c r="C32" s="320" t="str">
        <f>A32&amp;B32</f>
        <v>0</v>
      </c>
      <c r="D32" s="24">
        <v>19</v>
      </c>
      <c r="E32" s="24" t="str">
        <f>34+19</f>
        <v>0</v>
      </c>
    </row>
    <row r="33" spans="1:14">
      <c r="A33" s="24" t="s">
        <v>203</v>
      </c>
      <c r="B33" s="24" t="s">
        <v>542</v>
      </c>
      <c r="C33" s="320" t="str">
        <f>A33&amp;B33</f>
        <v>0</v>
      </c>
      <c r="D33" s="24">
        <v>19</v>
      </c>
      <c r="E33" s="24" t="str">
        <f>34+19</f>
        <v>0</v>
      </c>
    </row>
    <row r="34" spans="1:14">
      <c r="A34" s="24" t="s">
        <v>203</v>
      </c>
      <c r="B34" s="24" t="s">
        <v>543</v>
      </c>
      <c r="C34" s="320" t="str">
        <f>A34&amp;B34</f>
        <v>0</v>
      </c>
      <c r="D34" s="24">
        <v>19</v>
      </c>
      <c r="E34" s="24" t="str">
        <f>34+19</f>
        <v>0</v>
      </c>
    </row>
    <row r="35" spans="1:14">
      <c r="A35" s="24" t="s">
        <v>526</v>
      </c>
      <c r="B35" s="24" t="s">
        <v>49</v>
      </c>
      <c r="C35" s="320" t="str">
        <f>A35&amp;B35</f>
        <v>0</v>
      </c>
      <c r="D35" s="7">
        <v>0</v>
      </c>
      <c r="E35" s="7">
        <v>34</v>
      </c>
    </row>
    <row r="36" spans="1:14">
      <c r="A36" s="24" t="s">
        <v>526</v>
      </c>
      <c r="B36" s="24" t="s">
        <v>540</v>
      </c>
      <c r="C36" s="320" t="str">
        <f>A36&amp;B36</f>
        <v>0</v>
      </c>
      <c r="D36" s="24">
        <v>19</v>
      </c>
      <c r="E36" s="24" t="str">
        <f>34+19</f>
        <v>0</v>
      </c>
    </row>
    <row r="37" spans="1:14">
      <c r="A37" s="24" t="s">
        <v>526</v>
      </c>
      <c r="B37" s="24" t="s">
        <v>541</v>
      </c>
      <c r="C37" s="320" t="str">
        <f>A37&amp;B37</f>
        <v>0</v>
      </c>
      <c r="D37" s="24">
        <v>19</v>
      </c>
      <c r="E37" s="24" t="str">
        <f>34+19</f>
        <v>0</v>
      </c>
    </row>
    <row r="38" spans="1:14">
      <c r="A38" s="24" t="s">
        <v>526</v>
      </c>
      <c r="B38" s="24" t="s">
        <v>542</v>
      </c>
      <c r="C38" s="320" t="str">
        <f>A38&amp;B38</f>
        <v>0</v>
      </c>
      <c r="D38" s="24">
        <v>19</v>
      </c>
      <c r="E38" s="24" t="str">
        <f>34+19</f>
        <v>0</v>
      </c>
    </row>
    <row r="39" spans="1:14">
      <c r="A39" s="24" t="s">
        <v>526</v>
      </c>
      <c r="B39" s="24" t="s">
        <v>543</v>
      </c>
      <c r="C39" s="320" t="str">
        <f>A39&amp;B39</f>
        <v>0</v>
      </c>
      <c r="D39" s="24">
        <v>19</v>
      </c>
      <c r="E39" s="24" t="str">
        <f>34+19</f>
        <v>0</v>
      </c>
    </row>
    <row r="40" spans="1:14">
      <c r="A40" s="24" t="s">
        <v>527</v>
      </c>
      <c r="B40" s="24" t="s">
        <v>49</v>
      </c>
      <c r="C40" s="320" t="str">
        <f>A40&amp;B40</f>
        <v>0</v>
      </c>
      <c r="D40" s="7">
        <v>0</v>
      </c>
      <c r="E40" s="7">
        <v>34</v>
      </c>
    </row>
    <row r="41" spans="1:14">
      <c r="A41" s="24" t="s">
        <v>527</v>
      </c>
      <c r="B41" s="24" t="s">
        <v>540</v>
      </c>
      <c r="C41" s="320" t="str">
        <f>A41&amp;B41</f>
        <v>0</v>
      </c>
      <c r="D41" s="24">
        <v>19</v>
      </c>
      <c r="E41" s="24" t="str">
        <f>34+19</f>
        <v>0</v>
      </c>
    </row>
    <row r="42" spans="1:14">
      <c r="A42" s="24" t="s">
        <v>527</v>
      </c>
      <c r="B42" s="24" t="s">
        <v>541</v>
      </c>
      <c r="C42" s="320" t="str">
        <f>A42&amp;B42</f>
        <v>0</v>
      </c>
      <c r="D42" s="24">
        <v>19</v>
      </c>
      <c r="E42" s="24" t="str">
        <f>34+19</f>
        <v>0</v>
      </c>
    </row>
    <row r="43" spans="1:14">
      <c r="A43" s="24" t="s">
        <v>527</v>
      </c>
      <c r="B43" s="24" t="s">
        <v>542</v>
      </c>
      <c r="C43" s="320" t="str">
        <f>A43&amp;B43</f>
        <v>0</v>
      </c>
      <c r="D43" s="24">
        <v>19</v>
      </c>
      <c r="E43" s="24" t="str">
        <f>34+19</f>
        <v>0</v>
      </c>
    </row>
    <row r="44" spans="1:14">
      <c r="A44" s="24" t="s">
        <v>527</v>
      </c>
      <c r="B44" s="24" t="s">
        <v>543</v>
      </c>
      <c r="C44" s="320" t="str">
        <f>A44&amp;B44</f>
        <v>0</v>
      </c>
      <c r="D44" s="24">
        <v>19</v>
      </c>
      <c r="E44" s="24" t="str">
        <f>34+19</f>
        <v>0</v>
      </c>
    </row>
    <row r="45" spans="1:14">
      <c r="A45" s="24" t="s">
        <v>528</v>
      </c>
      <c r="B45" s="24" t="s">
        <v>49</v>
      </c>
      <c r="C45" s="320" t="str">
        <f>A45&amp;B45</f>
        <v>0</v>
      </c>
      <c r="D45" s="7">
        <v>0</v>
      </c>
      <c r="E45" s="7">
        <v>34</v>
      </c>
    </row>
    <row r="46" spans="1:14">
      <c r="A46" s="24" t="s">
        <v>528</v>
      </c>
      <c r="B46" s="24" t="s">
        <v>540</v>
      </c>
      <c r="C46" s="320" t="str">
        <f>A46&amp;B46</f>
        <v>0</v>
      </c>
      <c r="D46" s="24">
        <v>19</v>
      </c>
      <c r="E46" s="24">
        <v>44</v>
      </c>
    </row>
    <row r="47" spans="1:14">
      <c r="A47" s="24" t="s">
        <v>528</v>
      </c>
      <c r="B47" s="24" t="s">
        <v>541</v>
      </c>
      <c r="C47" s="320" t="str">
        <f>A47&amp;B47</f>
        <v>0</v>
      </c>
      <c r="D47" s="24">
        <v>19</v>
      </c>
      <c r="E47" s="24">
        <v>44</v>
      </c>
    </row>
    <row r="48" spans="1:14">
      <c r="A48" s="24" t="s">
        <v>528</v>
      </c>
      <c r="B48" s="24" t="s">
        <v>542</v>
      </c>
      <c r="C48" s="320" t="str">
        <f>A48&amp;B48</f>
        <v>0</v>
      </c>
      <c r="D48" s="24">
        <v>19</v>
      </c>
      <c r="E48" s="24">
        <v>44</v>
      </c>
    </row>
    <row r="49" spans="1:14">
      <c r="A49" s="24" t="s">
        <v>528</v>
      </c>
      <c r="B49" s="24" t="s">
        <v>543</v>
      </c>
      <c r="C49" s="320" t="str">
        <f>A49&amp;B49</f>
        <v>0</v>
      </c>
      <c r="D49" s="24">
        <v>19</v>
      </c>
      <c r="E49" s="24">
        <v>44</v>
      </c>
    </row>
    <row r="51" spans="1:14" customHeight="1" ht="12.75"/>
    <row r="52" spans="1:14" customHeight="1" ht="12.75">
      <c r="A52" s="311" t="s">
        <v>22</v>
      </c>
      <c r="B52" s="312" t="s">
        <v>85</v>
      </c>
    </row>
    <row r="53" spans="1:14">
      <c r="A53" s="7" t="s">
        <v>49</v>
      </c>
      <c r="B53" s="71">
        <v>0</v>
      </c>
    </row>
    <row r="54" spans="1:14">
      <c r="A54" s="24" t="s">
        <v>544</v>
      </c>
      <c r="B54" s="371">
        <v>53</v>
      </c>
    </row>
    <row r="55" spans="1:14">
      <c r="A55" s="24" t="s">
        <v>545</v>
      </c>
      <c r="B55" s="371">
        <v>101</v>
      </c>
    </row>
    <row r="56" spans="1:14">
      <c r="A56" s="24" t="s">
        <v>546</v>
      </c>
      <c r="B56" s="371" t="s">
        <v>377</v>
      </c>
    </row>
    <row r="57" spans="1:14">
      <c r="B57" s="23"/>
    </row>
    <row r="58" spans="1:14" customHeight="1" ht="12.75"/>
    <row r="59" spans="1:14" customHeight="1" ht="12.75">
      <c r="A59" s="388" t="s">
        <v>523</v>
      </c>
      <c r="B59" s="312" t="s">
        <v>547</v>
      </c>
      <c r="C59" s="414" t="s">
        <v>140</v>
      </c>
      <c r="D59" s="414" t="s">
        <v>548</v>
      </c>
      <c r="E59" s="414" t="s">
        <v>549</v>
      </c>
    </row>
    <row r="60" spans="1:14">
      <c r="A60" s="7" t="s">
        <v>203</v>
      </c>
      <c r="B60" s="7" t="s">
        <v>550</v>
      </c>
      <c r="C60" s="7" t="str">
        <f>A60&amp;B60</f>
        <v>0</v>
      </c>
      <c r="D60" s="416" t="str">
        <f>('BF - MO'!M32*'BF - MO'!N32)/500+3</f>
        <v>0</v>
      </c>
      <c r="E60" t="s">
        <v>551</v>
      </c>
    </row>
    <row r="61" spans="1:14">
      <c r="A61" s="7" t="s">
        <v>203</v>
      </c>
      <c r="B61" s="321">
        <v>0</v>
      </c>
      <c r="C61" s="321" t="str">
        <f>A61&amp;B61</f>
        <v>0</v>
      </c>
      <c r="D61" s="415" t="str">
        <f>('BF - MO'!M32*'BF - MO'!N32)/500+3</f>
        <v>0</v>
      </c>
      <c r="E61" t="s">
        <v>551</v>
      </c>
    </row>
    <row r="62" spans="1:14">
      <c r="A62" s="24" t="s">
        <v>526</v>
      </c>
      <c r="B62" s="24" t="s">
        <v>550</v>
      </c>
      <c r="C62" s="24" t="str">
        <f>A62&amp;B62</f>
        <v>0</v>
      </c>
      <c r="D62" s="415" t="str">
        <f>('BF - MO'!M32*'BF - MO'!N32)/500+3+3</f>
        <v>0</v>
      </c>
      <c r="E62" t="s">
        <v>552</v>
      </c>
    </row>
    <row r="63" spans="1:14">
      <c r="A63" s="24" t="s">
        <v>526</v>
      </c>
      <c r="B63" s="321">
        <v>0</v>
      </c>
      <c r="C63" s="321" t="str">
        <f>A63&amp;B63</f>
        <v>0</v>
      </c>
      <c r="D63" s="415" t="str">
        <f>(('BF - MO'!M32*'BF - MO'!N32)/500+1)*2</f>
        <v>0</v>
      </c>
      <c r="E63" t="s">
        <v>553</v>
      </c>
    </row>
    <row r="64" spans="1:14">
      <c r="A64" s="24" t="s">
        <v>527</v>
      </c>
      <c r="B64" s="24" t="s">
        <v>550</v>
      </c>
      <c r="C64" s="24" t="str">
        <f>A64&amp;B64</f>
        <v>0</v>
      </c>
      <c r="D64" s="415" t="str">
        <f>('BF - MO'!M32*'BF - MO'!N32)/500+3+3</f>
        <v>0</v>
      </c>
      <c r="E64" t="s">
        <v>552</v>
      </c>
    </row>
    <row r="65" spans="1:14">
      <c r="A65" s="24" t="s">
        <v>527</v>
      </c>
      <c r="B65" s="321">
        <v>0</v>
      </c>
      <c r="C65" s="321" t="str">
        <f>A65&amp;B65</f>
        <v>0</v>
      </c>
      <c r="D65" s="415" t="str">
        <f>(('BF - MO'!M32*'BF - MO'!N32)/500+1)*2</f>
        <v>0</v>
      </c>
      <c r="E65" t="s">
        <v>553</v>
      </c>
    </row>
    <row r="66" spans="1:14">
      <c r="A66" s="24" t="s">
        <v>528</v>
      </c>
      <c r="B66" s="24" t="s">
        <v>550</v>
      </c>
      <c r="C66" s="24" t="str">
        <f>A66&amp;B66</f>
        <v>0</v>
      </c>
      <c r="D66" s="415" t="str">
        <f>('BF - MO'!M32*'BF - MO'!N32)/500+3</f>
        <v>0</v>
      </c>
      <c r="E66" t="s">
        <v>551</v>
      </c>
    </row>
    <row r="67" spans="1:14" customHeight="1" ht="12.75">
      <c r="A67" s="24" t="s">
        <v>528</v>
      </c>
      <c r="B67" s="321">
        <v>0</v>
      </c>
      <c r="C67" s="321" t="str">
        <f>A67&amp;B67</f>
        <v>0</v>
      </c>
      <c r="D67" s="415" t="str">
        <f>(('BF - MO'!M32*'BF - MO'!N32)/500+1)*2</f>
        <v>0</v>
      </c>
      <c r="E67" t="s">
        <v>553</v>
      </c>
    </row>
    <row r="68" spans="1:14" customHeight="1" ht="12.75">
      <c r="C68" s="414" t="s">
        <v>140</v>
      </c>
      <c r="D68" s="417" t="s">
        <v>554</v>
      </c>
      <c r="E68" s="414" t="s">
        <v>549</v>
      </c>
    </row>
    <row r="69" spans="1:14">
      <c r="C69" s="7" t="str">
        <f>C60</f>
        <v>0</v>
      </c>
      <c r="D69" s="416" t="str">
        <f>('BP - MO'!M32*'BP - MO'!N32)/500+3</f>
        <v>0</v>
      </c>
    </row>
    <row r="70" spans="1:14">
      <c r="C70" s="7" t="str">
        <f>C61</f>
        <v>0</v>
      </c>
      <c r="D70" s="415" t="str">
        <f>('BP - MO'!M32*'BP - MO'!N32)/500+3</f>
        <v>0</v>
      </c>
    </row>
    <row r="71" spans="1:14">
      <c r="C71" s="7" t="str">
        <f>C62</f>
        <v>0</v>
      </c>
      <c r="D71" s="415" t="str">
        <f>('BP - MO'!M32*'BP - MO'!N32)/500+3+3</f>
        <v>0</v>
      </c>
    </row>
    <row r="72" spans="1:14">
      <c r="C72" s="7" t="str">
        <f>C63</f>
        <v>0</v>
      </c>
      <c r="D72" s="415" t="str">
        <f>(('BP - MO'!M32*'BP - MO'!N32)/500+1)*2</f>
        <v>0</v>
      </c>
    </row>
    <row r="73" spans="1:14">
      <c r="C73" s="7" t="str">
        <f>C64</f>
        <v>0</v>
      </c>
      <c r="D73" s="415" t="str">
        <f>('BP - MO'!M32*'BP - MO'!N32)/500+3+3</f>
        <v>0</v>
      </c>
    </row>
    <row r="74" spans="1:14">
      <c r="C74" s="7" t="str">
        <f>C65</f>
        <v>0</v>
      </c>
      <c r="D74" s="415" t="str">
        <f>(('BP - MO'!M32*'BP - MO'!N32)/500+1)*2</f>
        <v>0</v>
      </c>
    </row>
    <row r="75" spans="1:14">
      <c r="C75" s="7" t="str">
        <f>C66</f>
        <v>0</v>
      </c>
      <c r="D75" s="415" t="str">
        <f>('BP - MO'!M32*'BP - MO'!N32)/500+3</f>
        <v>0</v>
      </c>
    </row>
    <row r="76" spans="1:14">
      <c r="C76" s="7" t="str">
        <f>C67</f>
        <v>0</v>
      </c>
      <c r="D76" s="415" t="str">
        <f>(('BP - MO'!M32*'BP - MO'!N32)/500+1)*2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9:N9"/>
    <mergeCell ref="K9:L9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R8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8.1640625" customWidth="true" style="737"/>
    <col min="2" max="2" width="16.6640625" customWidth="true" style="737"/>
    <col min="3" max="3" width="10.33203125" customWidth="true" style="737"/>
    <col min="4" max="4" width="8.6640625" customWidth="true" style="737"/>
    <col min="5" max="5" width="10.6640625" customWidth="true" style="737"/>
    <col min="6" max="6" width="10.6640625" customWidth="true" style="737"/>
    <col min="7" max="7" width="10.6640625" customWidth="true" style="843"/>
    <col min="8" max="8" width="2.6640625" customWidth="true" style="737"/>
    <col min="9" max="9" width="7.1640625" customWidth="true" style="737"/>
    <col min="10" max="10" width="5.5" customWidth="true" style="737"/>
    <col min="11" max="11" width="9.6640625" customWidth="true" style="737"/>
    <col min="12" max="12" width="9.1640625" customWidth="true" style="737"/>
    <col min="13" max="13" width="9.33203125" customWidth="true" style="737"/>
    <col min="14" max="14" width="10.5" customWidth="true" style="737"/>
    <col min="15" max="15" width="1.6640625" customWidth="true" style="737"/>
    <col min="16" max="16" width="9.33203125" customWidth="true" style="737"/>
  </cols>
  <sheetData>
    <row r="1" spans="1:18" customHeight="1" ht="17.25">
      <c r="A1" s="735"/>
      <c r="B1" s="735"/>
      <c r="C1" s="735"/>
      <c r="D1" s="1195" t="s">
        <v>555</v>
      </c>
      <c r="E1" s="1195"/>
      <c r="F1" s="1195"/>
      <c r="G1" s="736"/>
      <c r="H1" s="735"/>
      <c r="I1" s="735"/>
      <c r="J1" s="735"/>
      <c r="K1" s="735"/>
      <c r="L1" s="735"/>
      <c r="M1" s="735"/>
      <c r="N1" s="735"/>
      <c r="O1" s="735"/>
    </row>
    <row r="2" spans="1:18" customHeight="1" ht="17.25">
      <c r="A2" s="735"/>
      <c r="B2" s="735"/>
      <c r="C2" s="735"/>
      <c r="D2" s="1195"/>
      <c r="E2" s="1195"/>
      <c r="F2" s="1195"/>
      <c r="G2" s="736"/>
      <c r="H2" s="735"/>
      <c r="I2" s="735"/>
      <c r="J2" s="735"/>
      <c r="K2" s="735"/>
      <c r="L2" s="735"/>
      <c r="M2" s="735"/>
      <c r="N2" s="735"/>
      <c r="O2" s="735"/>
    </row>
    <row r="3" spans="1:18" customHeight="1" ht="7.5">
      <c r="A3" s="735"/>
      <c r="B3" s="735"/>
      <c r="C3" s="735"/>
      <c r="D3" s="735"/>
      <c r="E3" s="735"/>
      <c r="F3" s="735"/>
      <c r="G3" s="736"/>
      <c r="H3" s="735"/>
      <c r="I3" s="735"/>
      <c r="J3" s="735"/>
      <c r="K3" s="735"/>
      <c r="L3" s="735"/>
      <c r="M3" s="735"/>
      <c r="N3" s="735"/>
      <c r="O3" s="735"/>
    </row>
    <row r="4" spans="1:18" customHeight="1" ht="13.5">
      <c r="A4" s="738" t="s">
        <v>556</v>
      </c>
      <c r="B4" s="739"/>
      <c r="C4" s="739"/>
      <c r="D4" s="739"/>
      <c r="E4" s="739"/>
      <c r="F4" s="739"/>
      <c r="G4" s="740"/>
      <c r="H4" s="741"/>
      <c r="I4" s="738" t="s">
        <v>557</v>
      </c>
      <c r="J4" s="739"/>
      <c r="K4" s="739"/>
      <c r="L4" s="739"/>
      <c r="M4" s="742" t="s">
        <v>37</v>
      </c>
      <c r="N4" s="743" t="s">
        <v>8</v>
      </c>
      <c r="O4" s="735"/>
    </row>
    <row r="5" spans="1:18">
      <c r="A5" s="744"/>
      <c r="B5" s="745" t="s">
        <v>52</v>
      </c>
      <c r="C5" s="745"/>
      <c r="D5" s="746" t="str">
        <f>'H - INPUT'!F17</f>
        <v>0</v>
      </c>
      <c r="E5" s="747"/>
      <c r="F5" s="747"/>
      <c r="G5" s="748" t="str">
        <f>'H - INPUT'!F16</f>
        <v>0</v>
      </c>
      <c r="H5" s="735"/>
      <c r="I5" s="749" t="s">
        <v>340</v>
      </c>
      <c r="J5" s="750"/>
      <c r="K5" s="750"/>
      <c r="L5" s="750"/>
      <c r="M5" s="751" t="str">
        <f>IFERROR('Panel Details'!I12,0)+IF(OR(C20="LL",C20="RR",C20="LRR",C20="LLR",C20="LLRR"),0,0)</f>
        <v>0</v>
      </c>
      <c r="N5" s="752" t="str">
        <f>IFERROR(('Panel Details'!E16+'Panel Details'!G16)*C21*D9,0)</f>
        <v>0</v>
      </c>
      <c r="O5" s="735"/>
    </row>
    <row r="6" spans="1:18" customHeight="1" ht="15">
      <c r="A6" s="753"/>
      <c r="B6" s="754" t="s">
        <v>1</v>
      </c>
      <c r="C6" s="754"/>
      <c r="D6" s="755" t="str">
        <f>'H - INPUT'!F18</f>
        <v>0</v>
      </c>
      <c r="E6" s="746"/>
      <c r="F6" s="746"/>
      <c r="G6" s="756"/>
      <c r="H6" s="735"/>
      <c r="I6" s="744"/>
      <c r="J6" s="745"/>
      <c r="K6" s="745"/>
      <c r="L6" s="745"/>
      <c r="M6" s="745"/>
      <c r="N6" s="757"/>
      <c r="O6" s="735"/>
    </row>
    <row r="7" spans="1:18" customHeight="1" ht="15">
      <c r="A7" s="753"/>
      <c r="B7" s="754" t="s">
        <v>5</v>
      </c>
      <c r="C7" s="754"/>
      <c r="D7" s="755" t="str">
        <f>'H - INPUT'!F19</f>
        <v>0</v>
      </c>
      <c r="E7" s="746"/>
      <c r="F7" s="746"/>
      <c r="G7" s="756"/>
      <c r="H7" s="735"/>
      <c r="I7" s="758" t="s">
        <v>558</v>
      </c>
      <c r="J7" s="745"/>
      <c r="K7" s="745"/>
      <c r="L7" s="745"/>
      <c r="M7" s="745"/>
      <c r="N7" s="757"/>
      <c r="O7" s="735"/>
    </row>
    <row r="8" spans="1:18">
      <c r="A8" s="759"/>
      <c r="B8" s="760" t="s">
        <v>53</v>
      </c>
      <c r="C8" s="760"/>
      <c r="D8" s="761" t="str">
        <f>'H - INPUT'!F20</f>
        <v>0</v>
      </c>
      <c r="E8" s="761"/>
      <c r="F8" s="761"/>
      <c r="G8" s="762"/>
      <c r="H8" s="735"/>
      <c r="I8" s="759" t="s">
        <v>559</v>
      </c>
      <c r="J8" s="760"/>
      <c r="K8" s="760"/>
      <c r="L8" s="760"/>
      <c r="M8" s="763" t="str">
        <f>IFERROR(IF('Panel Details'!G26="Type 1",'Panel Details'!I11,0),0)</f>
        <v>0</v>
      </c>
      <c r="N8" s="764" t="str">
        <f>IF(NOT(M8=0),C21*D9,0)</f>
        <v>0</v>
      </c>
      <c r="O8" s="735"/>
    </row>
    <row r="9" spans="1:18">
      <c r="A9" s="759"/>
      <c r="B9" s="760" t="s">
        <v>560</v>
      </c>
      <c r="C9" s="760"/>
      <c r="D9" s="761" t="str">
        <f>'H - INPUT'!F21</f>
        <v>0</v>
      </c>
      <c r="E9" s="761"/>
      <c r="F9" s="761"/>
      <c r="G9" s="762"/>
      <c r="H9" s="735"/>
      <c r="I9" s="759" t="s">
        <v>561</v>
      </c>
      <c r="J9" s="760"/>
      <c r="K9" s="760"/>
      <c r="L9" s="760"/>
      <c r="M9" s="763" t="str">
        <f>IFERROR(IF('Panel Details'!G26="Type 1",0,'Panel Details'!I11),0)</f>
        <v>0</v>
      </c>
      <c r="N9" s="764" t="str">
        <f>IF(NOT(M9=0),C21*D9,0)</f>
        <v>0</v>
      </c>
      <c r="O9" s="735"/>
    </row>
    <row r="10" spans="1:18">
      <c r="A10" s="759"/>
      <c r="B10" s="760" t="s">
        <v>9</v>
      </c>
      <c r="C10" s="760"/>
      <c r="D10" s="761" t="str">
        <f>'H - INPUT'!F22</f>
        <v>0</v>
      </c>
      <c r="E10" s="761"/>
      <c r="F10" s="761"/>
      <c r="G10" s="762"/>
      <c r="H10" s="735"/>
      <c r="I10" s="759" t="s">
        <v>562</v>
      </c>
      <c r="J10" s="760"/>
      <c r="K10" s="760"/>
      <c r="L10" s="760"/>
      <c r="M10" s="763" t="str">
        <f>IFERROR(IF('Panel Details'!G26="Type 1",0,'Panel Details'!I11),0)</f>
        <v>0</v>
      </c>
      <c r="N10" s="764" t="str">
        <f>IF(NOT(M10=0),C21*D9,0)</f>
        <v>0</v>
      </c>
      <c r="O10" s="735"/>
    </row>
    <row r="11" spans="1:18">
      <c r="A11" s="759"/>
      <c r="B11" s="760" t="s">
        <v>12</v>
      </c>
      <c r="C11" s="760"/>
      <c r="D11" s="761" t="str">
        <f>'H - INPUT'!F26</f>
        <v>0</v>
      </c>
      <c r="E11" s="761"/>
      <c r="F11" s="765" t="s">
        <v>7</v>
      </c>
      <c r="G11" s="762" t="str">
        <f>IF('H - INPUT'!F27="","",'H - INPUT'!F27)</f>
        <v>0</v>
      </c>
      <c r="H11" s="735"/>
      <c r="I11" s="759" t="s">
        <v>563</v>
      </c>
      <c r="J11" s="760"/>
      <c r="K11" s="760"/>
      <c r="L11" s="760"/>
      <c r="M11" s="766" t="str">
        <f>IF(NOT(M10=0),'Panel Details'!E42,0)</f>
        <v>0</v>
      </c>
      <c r="N11" s="767" t="str">
        <f>IF(N9&gt;0,M11+9+91,"")</f>
        <v>0</v>
      </c>
      <c r="O11" s="735"/>
    </row>
    <row r="12" spans="1:18">
      <c r="A12" s="759"/>
      <c r="B12" s="760" t="s">
        <v>10</v>
      </c>
      <c r="C12" s="760"/>
      <c r="D12" s="761" t="str">
        <f>'H - INPUT'!F23</f>
        <v>0</v>
      </c>
      <c r="E12" s="761"/>
      <c r="F12" s="761"/>
      <c r="G12" s="762"/>
      <c r="H12" s="735"/>
      <c r="I12" s="744"/>
      <c r="J12" s="745"/>
      <c r="K12" s="745"/>
      <c r="L12" s="745"/>
      <c r="M12" s="745"/>
      <c r="N12" s="757"/>
      <c r="O12" s="735"/>
    </row>
    <row r="13" spans="1:18" customHeight="1" ht="13.5">
      <c r="A13" s="753"/>
      <c r="B13" s="754" t="s">
        <v>55</v>
      </c>
      <c r="C13" s="754"/>
      <c r="D13" s="746" t="str">
        <f>'H - INPUT'!F24</f>
        <v>0</v>
      </c>
      <c r="E13" s="746"/>
      <c r="F13" s="746"/>
      <c r="G13" s="756"/>
      <c r="H13" s="735"/>
      <c r="I13" s="759" t="s">
        <v>564</v>
      </c>
      <c r="J13" s="760"/>
      <c r="K13" s="760"/>
      <c r="L13" s="760"/>
      <c r="M13" s="763" t="str">
        <f>IFERROR(IF(NOT(D24="N/A"),'Panel Details'!I11,0),0)</f>
        <v>0</v>
      </c>
      <c r="N13" s="764" t="str">
        <f>IF(M13=0,0,C21*1*D9)</f>
        <v>0</v>
      </c>
      <c r="O13" s="735"/>
    </row>
    <row r="14" spans="1:18" customHeight="1" ht="13.5">
      <c r="A14" s="738" t="s">
        <v>565</v>
      </c>
      <c r="B14" s="739"/>
      <c r="C14" s="739"/>
      <c r="D14" s="739"/>
      <c r="E14" s="739"/>
      <c r="F14" s="739"/>
      <c r="G14" s="740"/>
      <c r="H14" s="735"/>
      <c r="I14" s="744"/>
      <c r="J14" s="745"/>
      <c r="K14" s="745"/>
      <c r="L14" s="745"/>
      <c r="M14" s="745"/>
      <c r="N14" s="757"/>
      <c r="O14" s="735"/>
    </row>
    <row r="15" spans="1:18">
      <c r="A15" s="768"/>
      <c r="B15" s="769"/>
      <c r="C15" s="769"/>
      <c r="D15" s="769"/>
      <c r="E15" s="769"/>
      <c r="F15" s="770" t="s">
        <v>85</v>
      </c>
      <c r="G15" s="771" t="s">
        <v>86</v>
      </c>
      <c r="H15" s="735"/>
      <c r="I15" s="758" t="s">
        <v>470</v>
      </c>
      <c r="J15" s="745"/>
      <c r="K15" s="745"/>
      <c r="L15" s="745"/>
      <c r="M15" s="745"/>
      <c r="N15" s="757"/>
      <c r="O15" s="735"/>
    </row>
    <row r="16" spans="1:18">
      <c r="A16" s="772" t="s">
        <v>15</v>
      </c>
      <c r="B16" s="765" t="str">
        <f>'H - INPUT'!F34</f>
        <v>0</v>
      </c>
      <c r="C16" s="773"/>
      <c r="D16" s="774" t="s">
        <v>566</v>
      </c>
      <c r="E16" s="773"/>
      <c r="F16" s="775" t="str">
        <f>'H - INPUT'!F35</f>
        <v>0</v>
      </c>
      <c r="G16" s="776" t="str">
        <f>'H - INPUT'!F36</f>
        <v>0</v>
      </c>
      <c r="H16" s="735"/>
      <c r="I16" s="759" t="s">
        <v>561</v>
      </c>
      <c r="J16" s="760"/>
      <c r="K16" s="760"/>
      <c r="L16" s="760"/>
      <c r="M16" s="763" t="str">
        <f>IFERROR('Panel Details'!I11,0)</f>
        <v>0</v>
      </c>
      <c r="N16" s="764" t="str">
        <f>C21*D9</f>
        <v>0</v>
      </c>
      <c r="O16" s="735"/>
    </row>
    <row r="17" spans="1:18">
      <c r="A17" s="772" t="s">
        <v>567</v>
      </c>
      <c r="B17" s="777" t="str">
        <f>'H - INPUT'!F32</f>
        <v>0</v>
      </c>
      <c r="C17" s="778"/>
      <c r="D17" s="774" t="s">
        <v>568</v>
      </c>
      <c r="E17" s="773"/>
      <c r="F17" s="775" t="str">
        <f>IFERROR('Opening H'!B8,0)</f>
        <v>0</v>
      </c>
      <c r="G17" s="776" t="str">
        <f>IFERROR('Opening H'!B9,0)</f>
        <v>0</v>
      </c>
      <c r="H17" s="735"/>
      <c r="I17" s="759" t="s">
        <v>562</v>
      </c>
      <c r="J17" s="760"/>
      <c r="K17" s="760"/>
      <c r="L17" s="760"/>
      <c r="M17" s="763" t="str">
        <f>IFERROR('Panel Details'!I11,0)</f>
        <v>0</v>
      </c>
      <c r="N17" s="764" t="str">
        <f>C21*D9</f>
        <v>0</v>
      </c>
      <c r="O17" s="735"/>
    </row>
    <row r="18" spans="1:18" customHeight="1" ht="13.5">
      <c r="A18" s="779"/>
      <c r="B18" s="780"/>
      <c r="C18" s="781"/>
      <c r="D18" s="782" t="s">
        <v>569</v>
      </c>
      <c r="E18" s="783"/>
      <c r="F18" s="784" t="str">
        <f>IFERROR('Panel H'!B11,0)</f>
        <v>0</v>
      </c>
      <c r="G18" s="785" t="str">
        <f>IFERROR('Panel H'!B12,0)</f>
        <v>0</v>
      </c>
      <c r="H18" s="735"/>
      <c r="I18" s="759" t="s">
        <v>563</v>
      </c>
      <c r="J18" s="760"/>
      <c r="K18" s="760"/>
      <c r="L18" s="760"/>
      <c r="M18" s="766" t="str">
        <f>IFERROR(IF('Panel Details'!G26="Type 1",'Panel Details'!J32,'Panel Details'!J42),0)</f>
        <v>0</v>
      </c>
      <c r="N18" s="767" t="str">
        <f>M18+9+91</f>
        <v>0</v>
      </c>
      <c r="O18" s="735"/>
    </row>
    <row r="19" spans="1:18" customHeight="1" ht="13.5">
      <c r="A19" s="738" t="s">
        <v>570</v>
      </c>
      <c r="B19" s="739"/>
      <c r="C19" s="739"/>
      <c r="D19" s="739"/>
      <c r="E19" s="739"/>
      <c r="F19" s="739"/>
      <c r="G19" s="740"/>
      <c r="H19" s="735"/>
      <c r="I19" s="744"/>
      <c r="J19" s="745"/>
      <c r="K19" s="745"/>
      <c r="L19" s="745"/>
      <c r="M19" s="745"/>
      <c r="N19" s="757"/>
      <c r="O19" s="735"/>
    </row>
    <row r="20" spans="1:18">
      <c r="A20" s="786" t="s">
        <v>571</v>
      </c>
      <c r="B20" s="787"/>
      <c r="C20" s="788" t="str">
        <f>'H - INPUT'!F38</f>
        <v>0</v>
      </c>
      <c r="D20" s="789"/>
      <c r="E20" s="790" t="s">
        <v>572</v>
      </c>
      <c r="F20" s="789"/>
      <c r="G20" s="791" t="str">
        <f>'H - INPUT'!F29</f>
        <v>0</v>
      </c>
      <c r="H20" s="735"/>
      <c r="I20" s="759" t="s">
        <v>573</v>
      </c>
      <c r="J20" s="760"/>
      <c r="K20" s="760"/>
      <c r="L20" s="760"/>
      <c r="M20" s="763" t="str">
        <f>IFERROR('Panel Details'!I17,0)</f>
        <v>0</v>
      </c>
      <c r="N20" s="764" t="str">
        <f>(SUMPRODUCT(LEN(C22)-LEN(SUBSTITUTE(C22,"A","")))*2+SUMPRODUCT(LEN(C22)-LEN(SUBSTITUTE(C22,"B","")))*1+SUMPRODUCT(LEN(C22)-LEN(SUBSTITUTE(C22,"C","")))*1+SUMPRODUCT(LEN(C22)-LEN(SUBSTITUTE(C22,"D","")))*1)*D9</f>
        <v>0</v>
      </c>
      <c r="O20" s="735"/>
    </row>
    <row r="21" spans="1:18">
      <c r="A21" s="759" t="s">
        <v>112</v>
      </c>
      <c r="B21" s="760"/>
      <c r="C21" s="761" t="str">
        <f>'H - INPUT'!F39</f>
        <v>0</v>
      </c>
      <c r="D21" s="792"/>
      <c r="E21" s="774" t="s">
        <v>574</v>
      </c>
      <c r="F21" s="792"/>
      <c r="G21" s="793" t="str">
        <f>'H - INPUT'!F30</f>
        <v>0</v>
      </c>
      <c r="H21" s="735"/>
      <c r="I21" s="759" t="s">
        <v>575</v>
      </c>
      <c r="J21" s="760"/>
      <c r="K21" s="760"/>
      <c r="L21" s="760"/>
      <c r="M21" s="763" t="str">
        <f>IFERROR(IF(N21=0,0,'Panel Details'!I17),0)</f>
        <v>0</v>
      </c>
      <c r="N21" s="764" t="str">
        <f>IFERROR((SUMPRODUCT(LEN(C22)-LEN(SUBSTITUTE(C22,"A","")))*0+SUMPRODUCT(LEN(C22)-LEN(SUBSTITUTE(C22,"B","")))*1+SUMPRODUCT(LEN(C22)-LEN(SUBSTITUTE(C22,"C","")))*1+SUMPRODUCT(LEN(C22)-LEN(SUBSTITUTE(C22,"D","")))*1)*D9-N22,0)</f>
        <v>0</v>
      </c>
      <c r="O21" s="735"/>
    </row>
    <row r="22" spans="1:18" customHeight="1" ht="13.5">
      <c r="A22" s="779" t="s">
        <v>576</v>
      </c>
      <c r="B22" s="781"/>
      <c r="C22" s="781" t="str">
        <f>IFERROR(VLOOKUP(C20,Stiles!A18:B29,2,FALSE),0)</f>
        <v>0</v>
      </c>
      <c r="D22" s="781"/>
      <c r="E22" s="781"/>
      <c r="F22" s="781"/>
      <c r="G22" s="794"/>
      <c r="H22" s="735"/>
      <c r="I22" s="759" t="s">
        <v>398</v>
      </c>
      <c r="J22" s="760"/>
      <c r="K22" s="760"/>
      <c r="L22" s="760"/>
      <c r="M22" s="763" t="str">
        <f>IFERROR(IF(N22&gt;0,'Panel Details'!I17,0),0)</f>
        <v>0</v>
      </c>
      <c r="N22" s="764" t="str">
        <f>IFERROR(VLOOKUP(C20,Stiles!A18:C29,3,FALSE)*D9,0)</f>
        <v>0</v>
      </c>
      <c r="O22" s="735"/>
    </row>
    <row r="23" spans="1:18" customHeight="1" ht="13.5">
      <c r="A23" s="738" t="s">
        <v>577</v>
      </c>
      <c r="B23" s="739"/>
      <c r="C23" s="739"/>
      <c r="D23" s="739"/>
      <c r="E23" s="739"/>
      <c r="F23" s="739"/>
      <c r="G23" s="740"/>
      <c r="H23" s="735"/>
      <c r="I23" s="744"/>
      <c r="J23" s="745"/>
      <c r="K23" s="745"/>
      <c r="L23" s="745"/>
      <c r="M23" s="745"/>
      <c r="N23" s="757"/>
      <c r="O23" s="735"/>
    </row>
    <row r="24" spans="1:18">
      <c r="A24" s="786" t="s">
        <v>578</v>
      </c>
      <c r="B24" s="787"/>
      <c r="C24" s="795"/>
      <c r="D24" s="796" t="str">
        <f>IFERROR('Panel Details'!H53,0)</f>
        <v>0</v>
      </c>
      <c r="E24" s="747" t="s">
        <v>579</v>
      </c>
      <c r="F24" s="747"/>
      <c r="G24" s="797" t="str">
        <f>IFERROR(ROUND((76.2*(D24-1))+103.2+M18+46-26.5,0),0)</f>
        <v>0</v>
      </c>
      <c r="H24" s="735"/>
      <c r="I24" s="759" t="s">
        <v>580</v>
      </c>
      <c r="J24" s="760"/>
      <c r="K24" s="760"/>
      <c r="L24" s="763" t="str">
        <f>IFERROR('Panel Details'!E16,0)</f>
        <v>0</v>
      </c>
      <c r="M24" s="763" t="str">
        <f>IFERROR('Panel Details'!I18,0)</f>
        <v>0</v>
      </c>
      <c r="N24" s="764" t="str">
        <f>2*C21*D9</f>
        <v>0</v>
      </c>
      <c r="O24" s="735"/>
    </row>
    <row r="25" spans="1:18">
      <c r="A25" s="759" t="s">
        <v>581</v>
      </c>
      <c r="B25" s="760"/>
      <c r="C25" s="773"/>
      <c r="D25" s="798" t="str">
        <f>IFERROR('Panel Details'!H55,0)</f>
        <v>0</v>
      </c>
      <c r="E25" s="761"/>
      <c r="F25" s="761"/>
      <c r="G25" s="799"/>
      <c r="H25" s="735"/>
      <c r="I25" s="759" t="s">
        <v>580</v>
      </c>
      <c r="J25" s="760"/>
      <c r="K25" s="760"/>
      <c r="L25" s="763" t="str">
        <f>IFERROR('Panel Details'!G16,0)</f>
        <v>0</v>
      </c>
      <c r="M25" s="763" t="str">
        <f>IFERROR(IF('Panel Details'!I19&gt;0,'Panel Details'!I19,0),0)</f>
        <v>0</v>
      </c>
      <c r="N25" s="764" t="str">
        <f>IF(M25&gt;0,2*C21*D9,0)</f>
        <v>0</v>
      </c>
      <c r="O25" s="735"/>
    </row>
    <row r="26" spans="1:18">
      <c r="A26" s="759" t="s">
        <v>582</v>
      </c>
      <c r="B26" s="760"/>
      <c r="C26" s="760"/>
      <c r="D26" s="761" t="str">
        <f>'H - INPUT'!F44</f>
        <v>0</v>
      </c>
      <c r="E26" s="761"/>
      <c r="F26" s="761"/>
      <c r="G26" s="799"/>
      <c r="H26" s="735"/>
      <c r="I26" s="744"/>
      <c r="J26" s="745"/>
      <c r="K26" s="745"/>
      <c r="L26" s="745"/>
      <c r="M26" s="745"/>
      <c r="N26" s="757"/>
      <c r="O26" s="735"/>
    </row>
    <row r="27" spans="1:18">
      <c r="A27" s="759" t="s">
        <v>583</v>
      </c>
      <c r="B27" s="760"/>
      <c r="C27" s="760"/>
      <c r="D27" s="761" t="str">
        <f>'H - INPUT'!F45</f>
        <v>0</v>
      </c>
      <c r="E27" s="761"/>
      <c r="F27" s="761"/>
      <c r="G27" s="762"/>
      <c r="H27" s="735"/>
      <c r="I27" s="759" t="s">
        <v>584</v>
      </c>
      <c r="J27" s="760"/>
      <c r="K27" s="760"/>
      <c r="L27" s="760"/>
      <c r="M27" s="763" t="str">
        <f>IFERROR(IF(OR(NOT(L31=0),NOT(L32=0)),IF(NOT(L31=0),L31,L32),0),0)</f>
        <v>0</v>
      </c>
      <c r="N27" s="764" t="str">
        <f>IFERROR(IF(IF(N31=0,0,N31)+IF(N32=0,0,N32)=0,0,IF(N31=0,0,N31)+IF(N32=0,0,N32)),0)</f>
        <v>0</v>
      </c>
      <c r="O27" s="735"/>
    </row>
    <row r="28" spans="1:18">
      <c r="A28" s="759" t="s">
        <v>585</v>
      </c>
      <c r="B28" s="760"/>
      <c r="C28" s="760"/>
      <c r="D28" s="761" t="str">
        <f>IFERROR(IF(D27="At Centre",G17/2,IF(D27="Custom",'H - INPUT'!F46,VLOOKUP(D27,Hardware!B16:K17,10,FALSE))),0)</f>
        <v>0</v>
      </c>
      <c r="E28" s="761"/>
      <c r="F28" s="761"/>
      <c r="G28" s="762"/>
      <c r="H28" s="735"/>
      <c r="I28" s="759" t="s">
        <v>584</v>
      </c>
      <c r="J28" s="760"/>
      <c r="K28" s="760"/>
      <c r="L28" s="760"/>
      <c r="M28" s="763" t="str">
        <f>IFERROR(IF(OR(NOT(L33=0),NOT(L34=0)),IF(NOT(L33=0),L33,L34),0),0)</f>
        <v>0</v>
      </c>
      <c r="N28" s="764" t="str">
        <f>IFERROR(IF(IF(N33=0,0,N33)+IF(N34=0,0,N34)=0,0,IF(N33=0,0,N33)+IF(N34=0,0,N34)),0)</f>
        <v>0</v>
      </c>
      <c r="O28" s="735"/>
    </row>
    <row r="29" spans="1:18">
      <c r="A29" s="759" t="s">
        <v>586</v>
      </c>
      <c r="B29" s="760"/>
      <c r="C29" s="760"/>
      <c r="D29" s="761" t="str">
        <f>'H - INPUT'!Y2</f>
        <v>0</v>
      </c>
      <c r="E29" s="761"/>
      <c r="F29" s="761"/>
      <c r="G29" s="762"/>
      <c r="H29" s="735"/>
      <c r="I29" s="744"/>
      <c r="J29" s="745"/>
      <c r="K29" s="745"/>
      <c r="L29" s="745"/>
      <c r="M29" s="745"/>
      <c r="N29" s="757"/>
      <c r="O29" s="735"/>
    </row>
    <row r="30" spans="1:18" customHeight="1" ht="13.5">
      <c r="A30" s="779" t="s">
        <v>587</v>
      </c>
      <c r="B30" s="781"/>
      <c r="C30" s="781"/>
      <c r="D30" s="800" t="str">
        <f>IFERROR(IF('H - INPUT'!F49="N/A","N/A",IF('H - INPUT'!F49="Custom",'H - INPUT'!F50,'H - INPUT'!F49)),0)</f>
        <v>0</v>
      </c>
      <c r="E30" s="800"/>
      <c r="F30" s="800"/>
      <c r="G30" s="801" t="str">
        <f>IFERROR(VLOOKUP('H - INPUT'!F49,'Panel Details'!D71:H75,5,FALSE),0)</f>
        <v>0</v>
      </c>
      <c r="H30" s="735"/>
      <c r="I30" s="758" t="s">
        <v>13</v>
      </c>
      <c r="J30" s="745"/>
      <c r="K30" s="745"/>
      <c r="L30" s="802" t="s">
        <v>588</v>
      </c>
      <c r="M30" s="802" t="s">
        <v>589</v>
      </c>
      <c r="N30" s="803" t="s">
        <v>8</v>
      </c>
      <c r="O30" s="735"/>
    </row>
    <row r="31" spans="1:18" customHeight="1" ht="13.5">
      <c r="A31" s="735"/>
      <c r="B31" s="735"/>
      <c r="C31" s="735"/>
      <c r="D31" s="735"/>
      <c r="E31" s="735"/>
      <c r="F31" s="735"/>
      <c r="G31" s="736"/>
      <c r="H31" s="745"/>
      <c r="I31" s="772" t="s">
        <v>590</v>
      </c>
      <c r="J31" s="798" t="str">
        <f>IF(NOT(Frames!D15="."),Frames!D13,IF(NOT(Frames!F15="."),Frames!F13,""))</f>
        <v>0</v>
      </c>
      <c r="K31" s="763" t="str">
        <f>IF(AND($G$20="L Frame",NOT(J31="")),"Frame L",IF(AND($G$20="Z Frame",NOT(J31=""),NOT(RIGHT(J31,4)="(SP)")),"Frame Z",IF(AND($G$20="Z Frame",NOT(J31=""),RIGHT(J31,4)="(SP)"),"Frame L","")))</f>
        <v>0</v>
      </c>
      <c r="L31" s="763" t="str">
        <f>IFERROR(IF($J$31="L",Frames!D16,IF($J$31="L(SP)",Frames!F16,0)),0)</f>
        <v>0</v>
      </c>
      <c r="M31" s="763" t="str">
        <f>IFERROR(IF(J31="L",Frames!E16,IF(J31="L(SP)",Frames!G16,0)),0)</f>
        <v>0</v>
      </c>
      <c r="N31" s="764" t="str">
        <f>IF(NOT(M31=0),$D$9,0)</f>
        <v>0</v>
      </c>
      <c r="O31" s="735"/>
    </row>
    <row r="32" spans="1:18" customHeight="1" ht="13.5">
      <c r="A32" s="738" t="s">
        <v>487</v>
      </c>
      <c r="B32" s="804"/>
      <c r="C32" s="739"/>
      <c r="D32" s="805"/>
      <c r="E32" s="745"/>
      <c r="F32" s="745"/>
      <c r="G32" s="745"/>
      <c r="H32" s="745"/>
      <c r="I32" s="772" t="s">
        <v>591</v>
      </c>
      <c r="J32" s="798" t="str">
        <f>IF(NOT(Frames!H15="."),Frames!H13,IF(NOT(Frames!J15="."),Frames!J13,""))</f>
        <v>0</v>
      </c>
      <c r="K32" s="763" t="str">
        <f>IF(AND($G$20="L Frame",NOT(J32="")),"Frame L",IF(AND($G$20="Z Frame",NOT(J32=""),NOT(RIGHT(J32,4)="(SP)")),"Frame Z",IF(AND($G$20="Z Frame",NOT(J32=""),RIGHT(J32,4)="(SP)"),"Frame L","")))</f>
        <v>0</v>
      </c>
      <c r="L32" s="763" t="str">
        <f>IFERROR(IF($J$32="R",Frames!H16,IF($J$32="R(SP)",Frames!J16,0)),0)</f>
        <v>0</v>
      </c>
      <c r="M32" s="763" t="str">
        <f>IFERROR(IF($J$32="R",Frames!I16,IF($J$32="R(SP)",Frames!K16,0)),0)</f>
        <v>0</v>
      </c>
      <c r="N32" s="764" t="str">
        <f>IF(NOT(M32=0),$D$9,0)</f>
        <v>0</v>
      </c>
      <c r="O32" s="735"/>
    </row>
    <row r="33" spans="1:18" customHeight="1" ht="13.5">
      <c r="A33" s="806" t="s">
        <v>592</v>
      </c>
      <c r="B33" s="807"/>
      <c r="C33" s="769"/>
      <c r="D33" s="808"/>
      <c r="E33" s="735"/>
      <c r="F33" s="735"/>
      <c r="G33" s="736"/>
      <c r="H33" s="745"/>
      <c r="I33" s="772" t="s">
        <v>468</v>
      </c>
      <c r="J33" s="798" t="str">
        <f>IF(NOT(Frames!L15="."),Frames!L13,IF(NOT(Frames!N15="."),Frames!N13,""))</f>
        <v>0</v>
      </c>
      <c r="K33" s="763" t="str">
        <f>IF(AND($G$20="L Frame",NOT(J33="")),"Frame L",IF(AND($G$20="Z Frame",NOT(J33=""),NOT(RIGHT(J33,4)="(SP)")),"Frame Z",IF(AND($G$20="Z Frame",NOT(J33=""),RIGHT(J33,4)="(SP)"),"Frame L","")))</f>
        <v>0</v>
      </c>
      <c r="L33" s="763" t="str">
        <f>IFERROR(IF($J$33="T",Frames!L16,IF($J$33="T(SP)",Frames!N16,0)),0)</f>
        <v>0</v>
      </c>
      <c r="M33" s="763" t="str">
        <f>IFERROR(IF($J$33="T",Frames!M16,IF($J$33="T(SP)",Frames!O16,0)),0)</f>
        <v>0</v>
      </c>
      <c r="N33" s="764" t="str">
        <f>IF(NOT(M33=0),$D$9,0)</f>
        <v>0</v>
      </c>
      <c r="O33" s="735"/>
    </row>
    <row r="34" spans="1:18">
      <c r="A34" s="749" t="s">
        <v>593</v>
      </c>
      <c r="B34" s="750"/>
      <c r="C34" s="750"/>
      <c r="D34" s="809" t="str">
        <f>ROUNDUP((M43*3+N43*3)*IF(G5="Dealer",1.1,1),0)</f>
        <v>0</v>
      </c>
      <c r="E34" s="745"/>
      <c r="F34" s="745"/>
      <c r="G34" s="747"/>
      <c r="H34" s="745"/>
      <c r="I34" s="772" t="s">
        <v>594</v>
      </c>
      <c r="J34" s="798" t="str">
        <f>IF(NOT(Frames!P15="."),Frames!P13,IF(NOT(Frames!R15="."),Frames!R13,""))</f>
        <v>0</v>
      </c>
      <c r="K34" s="763" t="str">
        <f>IF(AND($G$20="L Frame",NOT(J34="")),"Frame L",IF(AND($G$20="Z Frame",NOT(J34=""),NOT(RIGHT(J34,4)="(SP)")),"Frame Z",IF(AND($G$20="Z Frame",NOT(J34=""),RIGHT(J34,4)="(SP)"),"Frame L","")))</f>
        <v>0</v>
      </c>
      <c r="L34" s="763" t="str">
        <f>IFERROR(IF($J$34="B",Frames!P16,IF($J$34="B(SP)",Frames!R16,0)),0)</f>
        <v>0</v>
      </c>
      <c r="M34" s="763" t="str">
        <f>IFERROR(IF($J$34="B",Frames!Q16,IF($J$34="B(SP)",Frames!S16,0)),0)</f>
        <v>0</v>
      </c>
      <c r="N34" s="764" t="str">
        <f>IF(NOT(M34=0),$D$9,0)</f>
        <v>0</v>
      </c>
      <c r="O34" s="735"/>
    </row>
    <row r="35" spans="1:18">
      <c r="A35" s="759" t="s">
        <v>595</v>
      </c>
      <c r="B35" s="760"/>
      <c r="C35" s="760"/>
      <c r="D35" s="810"/>
      <c r="E35" s="745"/>
      <c r="F35" s="745"/>
      <c r="G35" s="747"/>
      <c r="H35" s="745"/>
      <c r="I35" s="744"/>
      <c r="J35" s="745"/>
      <c r="K35" s="745"/>
      <c r="L35" s="745"/>
      <c r="M35" s="745"/>
      <c r="N35" s="757"/>
      <c r="O35" s="735"/>
    </row>
    <row r="36" spans="1:18">
      <c r="A36" s="759" t="s">
        <v>596</v>
      </c>
      <c r="B36" s="760"/>
      <c r="C36" s="760"/>
      <c r="D36" s="810"/>
      <c r="E36" s="745"/>
      <c r="F36" s="745"/>
      <c r="G36" s="747"/>
      <c r="H36" s="745"/>
      <c r="I36" s="744"/>
      <c r="J36" s="745"/>
      <c r="K36" s="745"/>
      <c r="L36" s="802" t="s">
        <v>174</v>
      </c>
      <c r="M36" s="802" t="s">
        <v>175</v>
      </c>
      <c r="N36" s="803" t="s">
        <v>176</v>
      </c>
      <c r="O36" s="735"/>
    </row>
    <row r="37" spans="1:18">
      <c r="A37" s="759" t="s">
        <v>597</v>
      </c>
      <c r="B37" s="760"/>
      <c r="C37" s="760"/>
      <c r="D37" s="811" t="str">
        <f>ROUNDUP(SUM(N31:N32)*2+SUM(N33:N34)*2*IF(G5="Dealer",1.1,1),0)</f>
        <v>0</v>
      </c>
      <c r="E37" s="745"/>
      <c r="F37" s="745"/>
      <c r="G37" s="747"/>
      <c r="H37" s="745"/>
      <c r="I37" s="744"/>
      <c r="J37" s="745"/>
      <c r="K37" s="745"/>
      <c r="L37" s="812" t="str">
        <f>IFERROR(VLOOKUP(C20,Frames!V16:AJ26,10,FALSE),"")</f>
        <v>0</v>
      </c>
      <c r="M37" s="812" t="str">
        <f>IFERROR(VLOOKUP(C20,Frames!V16:AJ26,12,FALSE),"")</f>
        <v>0</v>
      </c>
      <c r="N37" s="813" t="str">
        <f>IFERROR(VLOOKUP(C20,Frames!V16:AJ26,14,FALSE),"")</f>
        <v>0</v>
      </c>
      <c r="O37" s="735"/>
      <c r="Q37" s="814"/>
      <c r="R37" s="814"/>
    </row>
    <row r="38" spans="1:18" customHeight="1" ht="13.5">
      <c r="A38" s="759" t="s">
        <v>598</v>
      </c>
      <c r="B38" s="760"/>
      <c r="C38" s="760"/>
      <c r="D38" s="810"/>
      <c r="E38" s="745"/>
      <c r="F38" s="745"/>
      <c r="G38" s="747"/>
      <c r="H38" s="745"/>
      <c r="I38" s="815" t="s">
        <v>599</v>
      </c>
      <c r="J38" s="780"/>
      <c r="K38" s="780"/>
      <c r="L38" s="816" t="str">
        <f>IFERROR(VLOOKUP(C20,Frames!V16:AJ26,11,FALSE),0)</f>
        <v>0</v>
      </c>
      <c r="M38" s="816" t="str">
        <f>IFERROR(VLOOKUP(C20,Frames!V16:AJ26,13,FALSE),0)</f>
        <v>0</v>
      </c>
      <c r="N38" s="817" t="str">
        <f>IFERROR(VLOOKUP(C20,Frames!V16:AJ26,15,FALSE),0)</f>
        <v>0</v>
      </c>
      <c r="O38" s="735"/>
    </row>
    <row r="39" spans="1:18">
      <c r="A39" s="759" t="s">
        <v>600</v>
      </c>
      <c r="B39" s="760"/>
      <c r="C39" s="760"/>
      <c r="D39" s="811" t="str">
        <f>F80*1</f>
        <v>0</v>
      </c>
      <c r="E39" s="745"/>
      <c r="F39" s="745"/>
      <c r="G39" s="747"/>
      <c r="H39" s="745"/>
      <c r="I39" s="735"/>
      <c r="J39" s="735"/>
      <c r="K39" s="735"/>
      <c r="L39" s="735"/>
      <c r="M39" s="735"/>
      <c r="N39" s="735"/>
      <c r="O39" s="735"/>
    </row>
    <row r="40" spans="1:18" customHeight="1" ht="13.5">
      <c r="A40" s="759" t="s">
        <v>601</v>
      </c>
      <c r="B40" s="760"/>
      <c r="C40" s="760"/>
      <c r="D40" s="810"/>
      <c r="E40" s="745"/>
      <c r="F40" s="745"/>
      <c r="G40" s="747"/>
      <c r="H40" s="745"/>
      <c r="I40" s="735"/>
      <c r="J40" s="735"/>
      <c r="K40" s="735"/>
      <c r="L40" s="735"/>
      <c r="M40" s="735"/>
      <c r="N40" s="735"/>
      <c r="O40" s="735"/>
    </row>
    <row r="41" spans="1:18" customHeight="1" ht="13.5">
      <c r="A41" s="759" t="s">
        <v>602</v>
      </c>
      <c r="B41" s="760"/>
      <c r="C41" s="760"/>
      <c r="D41" s="810"/>
      <c r="E41" s="745"/>
      <c r="F41" s="745"/>
      <c r="G41" s="747"/>
      <c r="H41" s="745"/>
      <c r="I41" s="738" t="s">
        <v>486</v>
      </c>
      <c r="J41" s="739"/>
      <c r="K41" s="739"/>
      <c r="L41" s="739"/>
      <c r="M41" s="739"/>
      <c r="N41" s="805"/>
      <c r="O41" s="735"/>
    </row>
    <row r="42" spans="1:18">
      <c r="A42" s="759" t="s">
        <v>603</v>
      </c>
      <c r="B42" s="760"/>
      <c r="C42" s="760"/>
      <c r="D42" s="811" t="str">
        <f>D37</f>
        <v>0</v>
      </c>
      <c r="E42" s="745"/>
      <c r="F42" s="745"/>
      <c r="G42" s="747"/>
      <c r="H42" s="745"/>
      <c r="I42" s="818"/>
      <c r="J42" s="769"/>
      <c r="K42" s="769"/>
      <c r="L42" s="769"/>
      <c r="M42" s="770" t="s">
        <v>467</v>
      </c>
      <c r="N42" s="819" t="s">
        <v>468</v>
      </c>
      <c r="O42" s="735"/>
    </row>
    <row r="43" spans="1:18" customHeight="1" ht="13.5">
      <c r="A43" s="779" t="s">
        <v>604</v>
      </c>
      <c r="B43" s="781"/>
      <c r="C43" s="781"/>
      <c r="D43" s="820"/>
      <c r="E43" s="745"/>
      <c r="F43" s="745"/>
      <c r="G43" s="747"/>
      <c r="H43" s="745"/>
      <c r="I43" s="759" t="s">
        <v>605</v>
      </c>
      <c r="J43" s="760"/>
      <c r="K43" s="760"/>
      <c r="L43" s="760"/>
      <c r="M43" s="775" t="str">
        <f>IF(C20="N/A",0,IF(OR(C20="Tier on Tier (L)",C20="Tier on Tier (R)"),4,IF(C20="Tier on Tier (LR)",8,(IF(G18&lt;=Hardware!C6,Hardware!D6,IF(G18&lt;=Hardware!C7,Hardware!D7,IF(G18&lt;=Hardware!C8,Hardware!D8,IF(G18&lt;=Hardware!C9,Hardware!D9,IF(G18&lt;=Hardware!C10,Hardware!D10,IF(G18&lt;=Hardware!C11,Hardware!D11,0))))))*C21*D9))))</f>
        <v>0</v>
      </c>
      <c r="N43" s="776" t="str">
        <f>IF(C20="N/A",0,IF(G18&lt;=Hardware!C6,Hardware!E6,IF(G18&lt;=Hardware!C7,Hardware!E7,IF(G18&lt;=Hardware!C8,Hardware!E8,IF(G18&lt;=Hardware!C9,Hardware!E9,IF(G18&lt;=Hardware!C10,Hardware!E10,IF(G18&lt;=Hardware!C11,Hardware!E11,0))))))*C21*D9)</f>
        <v>0</v>
      </c>
      <c r="O43" s="735"/>
    </row>
    <row r="44" spans="1:18">
      <c r="A44" s="758" t="s">
        <v>606</v>
      </c>
      <c r="B44" s="745"/>
      <c r="C44" s="745"/>
      <c r="D44" s="821" t="str">
        <f>N45</f>
        <v>0</v>
      </c>
      <c r="E44" s="745"/>
      <c r="F44" s="745"/>
      <c r="G44" s="747"/>
      <c r="H44" s="745"/>
      <c r="I44" s="758"/>
      <c r="J44" s="745"/>
      <c r="K44" s="745"/>
      <c r="L44" s="745"/>
      <c r="M44" s="802" t="s">
        <v>37</v>
      </c>
      <c r="N44" s="803" t="s">
        <v>8</v>
      </c>
      <c r="O44" s="735"/>
    </row>
    <row r="45" spans="1:18">
      <c r="A45" s="759" t="s">
        <v>607</v>
      </c>
      <c r="B45" s="760"/>
      <c r="C45" s="773"/>
      <c r="D45" s="811" t="str">
        <f>M43</f>
        <v>0</v>
      </c>
      <c r="E45" s="745"/>
      <c r="F45" s="745"/>
      <c r="G45" s="747"/>
      <c r="H45" s="745"/>
      <c r="I45" s="759" t="s">
        <v>491</v>
      </c>
      <c r="J45" s="760"/>
      <c r="K45" s="760"/>
      <c r="L45" s="760"/>
      <c r="M45" s="822"/>
      <c r="N45" s="823" t="str">
        <f>IFERROR(VLOOKUP(C20,Hardware!B28:D39,3,FALSE)*D9,0)</f>
        <v>0</v>
      </c>
      <c r="O45" s="735"/>
    </row>
    <row r="46" spans="1:18">
      <c r="A46" s="759" t="s">
        <v>608</v>
      </c>
      <c r="B46" s="760"/>
      <c r="C46" s="773"/>
      <c r="D46" s="811" t="str">
        <f>IFERROR(VLOOKUP('H - INPUT'!F30,Frames!C31:V54,20,FALSE)*N45,0)</f>
        <v>0</v>
      </c>
      <c r="E46" s="745"/>
      <c r="F46" s="745"/>
      <c r="G46" s="747"/>
      <c r="H46" s="745"/>
      <c r="I46" s="786" t="s">
        <v>609</v>
      </c>
      <c r="J46" s="787"/>
      <c r="K46" s="787"/>
      <c r="L46" s="763" t="s">
        <v>610</v>
      </c>
      <c r="M46" s="824" t="str">
        <f>ROUNDDOWN(G18-D28-(Hardware!G21/2),0)-3</f>
        <v>0</v>
      </c>
      <c r="N46" s="823" t="str">
        <f>N45</f>
        <v>0</v>
      </c>
      <c r="O46" s="735"/>
    </row>
    <row r="47" spans="1:18" customHeight="1" ht="13.5">
      <c r="A47" s="779" t="s">
        <v>611</v>
      </c>
      <c r="B47" s="781"/>
      <c r="C47" s="783"/>
      <c r="D47" s="825">
        <v>0</v>
      </c>
      <c r="E47" s="745"/>
      <c r="F47" s="745"/>
      <c r="G47" s="747"/>
      <c r="H47" s="745"/>
      <c r="I47" s="772" t="s">
        <v>609</v>
      </c>
      <c r="J47" s="763"/>
      <c r="K47" s="763"/>
      <c r="L47" s="763" t="s">
        <v>612</v>
      </c>
      <c r="M47" s="763" t="str">
        <f>ROUNDDOWN(D28-(Hardware!G21/2),0)-7</f>
        <v>0</v>
      </c>
      <c r="N47" s="764" t="str">
        <f>N45</f>
        <v>0</v>
      </c>
      <c r="O47" s="735"/>
    </row>
    <row r="48" spans="1:18" customHeight="1" ht="13.5">
      <c r="A48" s="758" t="s">
        <v>613</v>
      </c>
      <c r="B48" s="745"/>
      <c r="C48" s="745"/>
      <c r="D48" s="748"/>
      <c r="E48" s="745"/>
      <c r="F48" s="745"/>
      <c r="G48" s="747"/>
      <c r="H48" s="745"/>
      <c r="I48" s="744"/>
      <c r="J48" s="745"/>
      <c r="K48" s="745"/>
      <c r="L48" s="745"/>
      <c r="M48" s="802" t="s">
        <v>55</v>
      </c>
      <c r="N48" s="803" t="s">
        <v>8</v>
      </c>
      <c r="O48" s="735"/>
    </row>
    <row r="49" spans="1:18" customHeight="1" ht="13.5">
      <c r="A49" s="749" t="s">
        <v>502</v>
      </c>
      <c r="B49" s="750"/>
      <c r="C49" s="826"/>
      <c r="D49" s="827"/>
      <c r="E49" s="745"/>
      <c r="F49" s="745"/>
      <c r="G49" s="747"/>
      <c r="H49" s="745"/>
      <c r="I49" s="779" t="s">
        <v>27</v>
      </c>
      <c r="J49" s="781"/>
      <c r="K49" s="781"/>
      <c r="L49" s="783"/>
      <c r="M49" s="783" t="str">
        <f>IF(N49=0,0,IF('H - INPUT'!F47="no",0,IF('H - INPUT'!F47="Yes, brushed nickel","Nickel","White")))</f>
        <v>0</v>
      </c>
      <c r="N49" s="828" t="str">
        <f>IF('H - INPUT'!F47="No",0,N45)</f>
        <v>0</v>
      </c>
      <c r="O49" s="735"/>
    </row>
    <row r="50" spans="1:18" customHeight="1" ht="13.5">
      <c r="A50" s="759" t="s">
        <v>503</v>
      </c>
      <c r="B50" s="760"/>
      <c r="C50" s="773"/>
      <c r="D50" s="810"/>
      <c r="E50" s="745"/>
      <c r="F50" s="745"/>
      <c r="G50" s="747"/>
      <c r="H50" s="745"/>
      <c r="I50" s="735"/>
      <c r="J50" s="735"/>
      <c r="K50" s="735"/>
      <c r="L50" s="735"/>
      <c r="M50" s="735"/>
      <c r="N50" s="735"/>
      <c r="O50" s="735"/>
    </row>
    <row r="51" spans="1:18">
      <c r="A51" s="759" t="s">
        <v>504</v>
      </c>
      <c r="B51" s="760"/>
      <c r="C51" s="773"/>
      <c r="D51" s="810"/>
      <c r="E51" s="745"/>
      <c r="F51" s="745"/>
      <c r="G51" s="747"/>
      <c r="H51" s="745"/>
      <c r="I51" s="829" t="s">
        <v>23</v>
      </c>
      <c r="J51" s="830"/>
      <c r="K51" s="830"/>
      <c r="L51" s="830"/>
      <c r="M51" s="830"/>
      <c r="N51" s="831"/>
      <c r="O51" s="735"/>
    </row>
    <row r="52" spans="1:18">
      <c r="A52" s="759" t="s">
        <v>505</v>
      </c>
      <c r="B52" s="760"/>
      <c r="C52" s="773"/>
      <c r="D52" s="810"/>
      <c r="E52" s="745"/>
      <c r="F52" s="745"/>
      <c r="G52" s="747"/>
      <c r="H52" s="745"/>
      <c r="I52" s="1205" t="str">
        <f>IF('H - INPUT'!F52="","",'H - INPUT'!F52)</f>
        <v>0</v>
      </c>
      <c r="J52" s="1206"/>
      <c r="K52" s="1206"/>
      <c r="L52" s="1206"/>
      <c r="M52" s="1206"/>
      <c r="N52" s="1207"/>
      <c r="O52" s="735"/>
    </row>
    <row r="53" spans="1:18">
      <c r="A53" s="759" t="s">
        <v>498</v>
      </c>
      <c r="B53" s="760"/>
      <c r="C53" s="773"/>
      <c r="D53" s="810"/>
      <c r="E53" s="745"/>
      <c r="F53" s="745"/>
      <c r="G53" s="747"/>
      <c r="H53" s="745"/>
      <c r="I53" s="1205"/>
      <c r="J53" s="1206"/>
      <c r="K53" s="1206"/>
      <c r="L53" s="1206"/>
      <c r="M53" s="1206"/>
      <c r="N53" s="1207"/>
      <c r="O53" s="735"/>
    </row>
    <row r="54" spans="1:18">
      <c r="A54" s="753" t="s">
        <v>510</v>
      </c>
      <c r="B54" s="754"/>
      <c r="C54" s="832"/>
      <c r="D54" s="833"/>
      <c r="E54" s="745"/>
      <c r="F54" s="745"/>
      <c r="G54" s="747"/>
      <c r="H54" s="745"/>
      <c r="I54" s="1205"/>
      <c r="J54" s="1206"/>
      <c r="K54" s="1206"/>
      <c r="L54" s="1206"/>
      <c r="M54" s="1206"/>
      <c r="N54" s="1207"/>
      <c r="O54" s="735"/>
    </row>
    <row r="55" spans="1:18" customHeight="1" ht="13.5">
      <c r="A55" s="779" t="s">
        <v>614</v>
      </c>
      <c r="B55" s="781"/>
      <c r="C55" s="783"/>
      <c r="D55" s="820"/>
      <c r="E55" s="745"/>
      <c r="F55" s="745"/>
      <c r="G55" s="747"/>
      <c r="H55" s="745"/>
      <c r="I55" s="1208"/>
      <c r="J55" s="1209"/>
      <c r="K55" s="1209"/>
      <c r="L55" s="1209"/>
      <c r="M55" s="1209"/>
      <c r="N55" s="1210"/>
      <c r="O55" s="735"/>
    </row>
    <row r="56" spans="1:18" customHeight="1" ht="13.5">
      <c r="A56" s="745"/>
      <c r="B56" s="745"/>
      <c r="C56" s="745"/>
      <c r="D56" s="745"/>
      <c r="E56" s="745"/>
      <c r="F56" s="745"/>
      <c r="G56" s="747"/>
      <c r="H56" s="745"/>
      <c r="I56" s="735"/>
      <c r="J56" s="735"/>
      <c r="K56" s="735"/>
      <c r="L56" s="735"/>
      <c r="M56" s="735"/>
      <c r="N56" s="735"/>
      <c r="O56" s="735"/>
    </row>
    <row r="57" spans="1:18" customHeight="1" ht="13.5">
      <c r="A57" s="834" t="s">
        <v>615</v>
      </c>
      <c r="B57" s="835" t="s">
        <v>616</v>
      </c>
      <c r="C57" s="836" t="s">
        <v>549</v>
      </c>
      <c r="D57" s="836" t="s">
        <v>8</v>
      </c>
      <c r="E57" s="836" t="s">
        <v>617</v>
      </c>
      <c r="F57" s="836" t="s">
        <v>85</v>
      </c>
      <c r="G57" s="837" t="s">
        <v>37</v>
      </c>
      <c r="H57" s="745"/>
      <c r="I57" s="1196" t="s">
        <v>618</v>
      </c>
      <c r="J57" s="1197"/>
      <c r="K57" s="1198"/>
      <c r="L57" s="1211"/>
      <c r="M57" s="1212"/>
      <c r="N57" s="1213"/>
      <c r="O57" s="735"/>
    </row>
    <row r="58" spans="1:18">
      <c r="A58" s="838" t="s">
        <v>619</v>
      </c>
      <c r="B58" s="775"/>
      <c r="C58" s="839"/>
      <c r="D58" s="775"/>
      <c r="E58" s="775"/>
      <c r="F58" s="775"/>
      <c r="G58" s="776"/>
      <c r="H58" s="745"/>
      <c r="I58" s="1199"/>
      <c r="J58" s="1200"/>
      <c r="K58" s="1201"/>
      <c r="L58" s="1214"/>
      <c r="M58" s="1215"/>
      <c r="N58" s="1216"/>
      <c r="O58" s="735"/>
    </row>
    <row r="59" spans="1:18" customHeight="1" ht="13.5">
      <c r="A59" s="838" t="s">
        <v>619</v>
      </c>
      <c r="B59" s="775"/>
      <c r="C59" s="839"/>
      <c r="D59" s="775"/>
      <c r="E59" s="775"/>
      <c r="F59" s="775"/>
      <c r="G59" s="776"/>
      <c r="H59" s="745"/>
      <c r="I59" s="1202"/>
      <c r="J59" s="1203"/>
      <c r="K59" s="1204"/>
      <c r="L59" s="1217"/>
      <c r="M59" s="1218"/>
      <c r="N59" s="1219"/>
      <c r="O59" s="735"/>
    </row>
    <row r="60" spans="1:18" customHeight="1" ht="13.5">
      <c r="A60" s="840" t="s">
        <v>619</v>
      </c>
      <c r="B60" s="784"/>
      <c r="C60" s="841"/>
      <c r="D60" s="784"/>
      <c r="E60" s="784"/>
      <c r="F60" s="784"/>
      <c r="G60" s="801"/>
      <c r="H60" s="745"/>
      <c r="I60" s="735"/>
      <c r="J60" s="735"/>
      <c r="K60" s="735"/>
      <c r="L60" s="735"/>
      <c r="M60" s="735"/>
      <c r="N60" s="735"/>
      <c r="O60" s="735"/>
    </row>
    <row r="61" spans="1:18">
      <c r="A61" s="735"/>
      <c r="B61" s="735"/>
      <c r="C61" s="735"/>
      <c r="D61" s="735"/>
      <c r="E61" s="735"/>
      <c r="F61" s="735"/>
      <c r="G61" s="736"/>
      <c r="H61" s="745"/>
      <c r="I61" s="735"/>
      <c r="J61" s="735"/>
      <c r="K61" s="735"/>
      <c r="L61" s="735"/>
      <c r="M61" s="735"/>
      <c r="N61" s="735"/>
      <c r="O61" s="735"/>
    </row>
    <row r="62" spans="1:18">
      <c r="A62" s="842" t="s">
        <v>620</v>
      </c>
      <c r="H62" s="844"/>
    </row>
    <row r="63" spans="1:18">
      <c r="A63" s="845" t="s">
        <v>621</v>
      </c>
      <c r="B63" s="846"/>
      <c r="C63" s="846"/>
      <c r="D63" s="846"/>
      <c r="E63" s="847"/>
      <c r="F63" s="848" t="str">
        <f>SUM(N8)*4*2+SUM(N9+N16)*4*2+SUM(N10+N17)*2*2+SUM(N13)*4*2</f>
        <v>0</v>
      </c>
      <c r="H63" s="844"/>
    </row>
    <row r="64" spans="1:18">
      <c r="A64" s="845" t="s">
        <v>622</v>
      </c>
      <c r="B64" s="846"/>
      <c r="C64" s="846"/>
      <c r="D64" s="846"/>
      <c r="E64" s="847"/>
      <c r="F64" s="848" t="str">
        <f>$N$5*2</f>
        <v>0</v>
      </c>
      <c r="H64" s="843"/>
    </row>
    <row r="65" spans="1:18">
      <c r="A65" s="845" t="s">
        <v>623</v>
      </c>
      <c r="B65" s="846"/>
      <c r="C65" s="846"/>
      <c r="D65" s="846"/>
      <c r="E65" s="847"/>
      <c r="F65" s="848" t="str">
        <f>N45*2</f>
        <v>0</v>
      </c>
    </row>
    <row r="66" spans="1:18">
      <c r="A66" s="845" t="s">
        <v>516</v>
      </c>
      <c r="B66" s="846"/>
      <c r="C66" s="846"/>
      <c r="D66" s="846"/>
      <c r="E66" s="847"/>
      <c r="F66" s="848" t="str">
        <f>F69</f>
        <v>0</v>
      </c>
    </row>
    <row r="67" spans="1:18">
      <c r="A67" s="845" t="s">
        <v>497</v>
      </c>
      <c r="B67" s="846"/>
      <c r="C67" s="846"/>
      <c r="D67" s="846"/>
      <c r="E67" s="847"/>
      <c r="F67" s="848" t="str">
        <f>M43*4+N43*4+F80</f>
        <v>0</v>
      </c>
      <c r="I67" s="843"/>
      <c r="J67" s="843"/>
      <c r="K67" s="843"/>
      <c r="L67" s="843"/>
      <c r="M67" s="843"/>
      <c r="N67" s="843"/>
      <c r="O67" s="843"/>
    </row>
    <row r="68" spans="1:18">
      <c r="A68" s="849" t="s">
        <v>624</v>
      </c>
      <c r="B68" s="846"/>
      <c r="C68" s="846"/>
      <c r="D68" s="846"/>
      <c r="E68" s="847"/>
      <c r="F68" s="848" t="str">
        <f>N45*2</f>
        <v>0</v>
      </c>
    </row>
    <row r="69" spans="1:18">
      <c r="A69" s="845" t="s">
        <v>492</v>
      </c>
      <c r="B69" s="846"/>
      <c r="C69" s="846"/>
      <c r="D69" s="846"/>
      <c r="E69" s="847"/>
      <c r="F69" s="848" t="str">
        <f>IFERROR(VLOOKUP($C$20,Hardware!B28:M39,4,FALSE)*D9,0)</f>
        <v>0</v>
      </c>
    </row>
    <row r="70" spans="1:18">
      <c r="A70" s="845" t="s">
        <v>625</v>
      </c>
      <c r="B70" s="846"/>
      <c r="C70" s="846"/>
      <c r="D70" s="846"/>
      <c r="E70" s="847"/>
      <c r="F70" s="848" t="str">
        <f>$N$5*2</f>
        <v>0</v>
      </c>
    </row>
    <row r="71" spans="1:18">
      <c r="A71" s="845" t="s">
        <v>626</v>
      </c>
      <c r="B71" s="846"/>
      <c r="C71" s="846"/>
      <c r="D71" s="846"/>
      <c r="E71" s="847"/>
      <c r="F71" s="848" t="str">
        <f>$N$5*2</f>
        <v>0</v>
      </c>
    </row>
    <row r="72" spans="1:18">
      <c r="A72" s="845" t="s">
        <v>627</v>
      </c>
      <c r="B72" s="846"/>
      <c r="C72" s="846"/>
      <c r="D72" s="846"/>
      <c r="E72" s="847"/>
      <c r="F72" s="848" t="str">
        <f>$N$5*2</f>
        <v>0</v>
      </c>
    </row>
    <row r="73" spans="1:18">
      <c r="A73" s="845" t="s">
        <v>493</v>
      </c>
      <c r="B73" s="846"/>
      <c r="C73" s="846"/>
      <c r="D73" s="846"/>
      <c r="E73" s="847"/>
      <c r="F73" s="848" t="str">
        <f>IFERROR(VLOOKUP($C$20,Hardware!B28:M39,5,FALSE)*D9,0)</f>
        <v>0</v>
      </c>
    </row>
    <row r="74" spans="1:18">
      <c r="A74" s="845" t="s">
        <v>628</v>
      </c>
      <c r="B74" s="846"/>
      <c r="C74" s="846"/>
      <c r="D74" s="846"/>
      <c r="E74" s="847"/>
      <c r="F74" s="848" t="str">
        <f>N45*2</f>
        <v>0</v>
      </c>
    </row>
    <row r="75" spans="1:18">
      <c r="A75" s="845" t="s">
        <v>629</v>
      </c>
      <c r="B75" s="846"/>
      <c r="C75" s="846"/>
      <c r="D75" s="846"/>
      <c r="E75" s="847"/>
      <c r="F75" s="848" t="str">
        <f>(N24+N25)*4</f>
        <v>0</v>
      </c>
    </row>
    <row r="76" spans="1:18">
      <c r="A76" s="845" t="s">
        <v>630</v>
      </c>
      <c r="B76" s="846"/>
      <c r="C76" s="846"/>
      <c r="D76" s="846"/>
      <c r="E76" s="847"/>
      <c r="F76" s="848" t="str">
        <f>N45*2</f>
        <v>0</v>
      </c>
    </row>
    <row r="77" spans="1:18">
      <c r="A77" s="845" t="s">
        <v>631</v>
      </c>
      <c r="B77" s="846"/>
      <c r="C77" s="846"/>
      <c r="D77" s="846"/>
      <c r="E77" s="847"/>
      <c r="F77" s="848" t="str">
        <f>IF(D26="1 Side",N45,0)</f>
        <v>0</v>
      </c>
    </row>
    <row r="78" spans="1:18">
      <c r="A78" s="845" t="s">
        <v>632</v>
      </c>
      <c r="B78" s="846"/>
      <c r="C78" s="846"/>
      <c r="D78" s="846"/>
      <c r="E78" s="847"/>
      <c r="F78" s="848" t="str">
        <f>IF(D26="2 Sided",N45,0)</f>
        <v>0</v>
      </c>
    </row>
    <row r="79" spans="1:18">
      <c r="A79" s="845" t="s">
        <v>633</v>
      </c>
      <c r="B79" s="846"/>
      <c r="C79" s="846"/>
      <c r="D79" s="846"/>
      <c r="E79" s="847"/>
      <c r="F79" s="848" t="str">
        <f>F77+F78</f>
        <v>0</v>
      </c>
    </row>
    <row r="80" spans="1:18">
      <c r="A80" s="845" t="s">
        <v>634</v>
      </c>
      <c r="B80" s="846"/>
      <c r="C80" s="846"/>
      <c r="D80" s="846"/>
      <c r="E80" s="847"/>
      <c r="F80" s="848" t="str">
        <f>IFERROR(VLOOKUP('H - INPUT'!F30,Frames!C31:U54,19,FALSE)*D9,0)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7:K59"/>
    <mergeCell ref="I52:N55"/>
    <mergeCell ref="L57:N59"/>
  </mergeCells>
  <conditionalFormatting sqref="D13">
    <cfRule type="containsText" dxfId="16" priority="1" operator="containsText" text="Non-Standard">
      <formula>NOT(ISERROR(SEARCH("Non-Standard",D13)))</formula>
    </cfRule>
  </conditionalFormatting>
  <conditionalFormatting sqref="D12">
    <cfRule type="containsText" dxfId="17" priority="2" operator="containsText" text="External">
      <formula>NOT(ISERROR(SEARCH("External",D12)))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2755905511811024" right="0.3543307086614174" top="0.3543307086614174" bottom="0.3937007874015748" header="0.3149606299212598" footer="0.2362204724409449"/>
  <pageSetup paperSize="9" orientation="portrait" scale="92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" customWidth="true" style="296"/>
    <col min="2" max="2" width="14" customWidth="true" style="296"/>
    <col min="3" max="3" width="13.1640625" customWidth="true" style="296"/>
    <col min="4" max="4" width="8" customWidth="true" style="296"/>
    <col min="5" max="5" width="9.33203125" customWidth="true" style="296"/>
    <col min="6" max="6" width="9.5" customWidth="true" style="296"/>
    <col min="7" max="7" width="9.33203125" customWidth="true" style="301"/>
    <col min="8" max="8" width="2.6640625" customWidth="true" style="296"/>
    <col min="9" max="9" width="7.1640625" customWidth="true" style="296"/>
    <col min="10" max="10" width="7.6640625" customWidth="true" style="296"/>
    <col min="11" max="11" width="7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635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556</v>
      </c>
      <c r="B4" s="205"/>
      <c r="C4" s="205"/>
      <c r="D4" s="150"/>
      <c r="E4" s="150"/>
      <c r="F4" s="150"/>
      <c r="G4" s="151"/>
      <c r="H4" s="325"/>
      <c r="I4" s="149" t="s">
        <v>557</v>
      </c>
      <c r="J4" s="150"/>
      <c r="K4" s="150"/>
      <c r="L4" s="150"/>
      <c r="M4" s="110" t="s">
        <v>37</v>
      </c>
      <c r="N4" s="111" t="s">
        <v>8</v>
      </c>
      <c r="O4" s="325"/>
    </row>
    <row r="5" spans="1:16">
      <c r="A5" s="129"/>
      <c r="B5" s="130" t="s">
        <v>52</v>
      </c>
      <c r="C5" s="130"/>
      <c r="D5" s="143" t="str">
        <f>'BF - INPUT'!F17</f>
        <v>0</v>
      </c>
      <c r="E5" s="143"/>
      <c r="F5" s="143"/>
      <c r="G5" s="147" t="str">
        <f>'BF - INPUT'!F16</f>
        <v>0</v>
      </c>
      <c r="H5" s="325"/>
      <c r="I5" s="302" t="s">
        <v>340</v>
      </c>
      <c r="J5" s="303"/>
      <c r="K5" s="303"/>
      <c r="L5" s="303"/>
      <c r="M5" s="304" t="str">
        <f>IFERROR('Panel Details'!I12,0)</f>
        <v>0</v>
      </c>
      <c r="N5" s="305" t="str">
        <f>IFERROR(('Panel Details'!E16+'Panel Details'!G16)*D21*D9,0)</f>
        <v>0</v>
      </c>
      <c r="O5" s="325"/>
    </row>
    <row r="6" spans="1:16" customHeight="1" ht="15">
      <c r="A6" s="129"/>
      <c r="B6" s="130" t="s">
        <v>1</v>
      </c>
      <c r="C6" s="130"/>
      <c r="D6" s="206" t="str">
        <f>'BF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5</v>
      </c>
      <c r="C7" s="130"/>
      <c r="D7" s="206" t="str">
        <f>'BF - INPUT'!F19</f>
        <v>0</v>
      </c>
      <c r="E7" s="143"/>
      <c r="F7" s="143"/>
      <c r="G7" s="147"/>
      <c r="H7" s="325"/>
      <c r="I7" s="115" t="s">
        <v>558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53</v>
      </c>
      <c r="C8" s="107"/>
      <c r="D8" s="108" t="str">
        <f>'BF - INPUT'!F20</f>
        <v>0</v>
      </c>
      <c r="E8" s="108"/>
      <c r="F8" s="108"/>
      <c r="G8" s="119"/>
      <c r="H8" s="325"/>
      <c r="I8" s="112" t="s">
        <v>559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IF(NOT(M8=0),D21*D9,0)</f>
        <v>0</v>
      </c>
      <c r="O8" s="325"/>
    </row>
    <row r="9" spans="1:16">
      <c r="A9" s="112"/>
      <c r="B9" s="107" t="s">
        <v>560</v>
      </c>
      <c r="C9" s="107"/>
      <c r="D9" s="108" t="str">
        <f>'BF - INPUT'!F21</f>
        <v>0</v>
      </c>
      <c r="E9" s="108"/>
      <c r="F9" s="108"/>
      <c r="G9" s="119"/>
      <c r="H9" s="325"/>
      <c r="I9" s="112" t="s">
        <v>561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IF(NOT(M9=0),D21*D9,0)</f>
        <v>0</v>
      </c>
      <c r="O9" s="325"/>
    </row>
    <row r="10" spans="1:16">
      <c r="A10" s="112"/>
      <c r="B10" s="107" t="s">
        <v>9</v>
      </c>
      <c r="C10" s="107"/>
      <c r="D10" s="108" t="str">
        <f>'BF - INPUT'!F22</f>
        <v>0</v>
      </c>
      <c r="E10" s="108"/>
      <c r="F10" s="108"/>
      <c r="G10" s="119"/>
      <c r="H10" s="325"/>
      <c r="I10" s="112" t="s">
        <v>562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IF(NOT(M10=0),D21*D9,0)</f>
        <v>0</v>
      </c>
      <c r="O10" s="325"/>
    </row>
    <row r="11" spans="1:16">
      <c r="A11" s="112"/>
      <c r="B11" s="107" t="s">
        <v>12</v>
      </c>
      <c r="C11" s="107"/>
      <c r="D11" s="108" t="str">
        <f>'BF - INPUT'!F26</f>
        <v>0</v>
      </c>
      <c r="E11" s="108"/>
      <c r="F11" s="213" t="s">
        <v>7</v>
      </c>
      <c r="G11" s="119" t="str">
        <f>IF('BF - INPUT'!F27="","",'BF - INPUT'!F27)</f>
        <v>0</v>
      </c>
      <c r="H11" s="325"/>
      <c r="I11" s="112" t="s">
        <v>563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10</v>
      </c>
      <c r="C12" s="107"/>
      <c r="D12" s="108" t="str">
        <f>'BF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55</v>
      </c>
      <c r="C13" s="130"/>
      <c r="D13" s="143" t="str">
        <f>'BF - INPUT'!F24</f>
        <v>0</v>
      </c>
      <c r="E13" s="143"/>
      <c r="F13" s="143"/>
      <c r="G13" s="147"/>
      <c r="H13" s="325"/>
      <c r="I13" s="112" t="s">
        <v>564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IF(M13=0,0,D21*1*D9)</f>
        <v>0</v>
      </c>
      <c r="O13" s="325"/>
    </row>
    <row r="14" spans="1:16" customHeight="1" ht="13.5">
      <c r="A14" s="149" t="s">
        <v>565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207"/>
      <c r="B15" s="156"/>
      <c r="C15" s="156"/>
      <c r="D15" s="156"/>
      <c r="E15" s="156"/>
      <c r="F15" s="317" t="s">
        <v>85</v>
      </c>
      <c r="G15" s="318" t="s">
        <v>86</v>
      </c>
      <c r="H15" s="325"/>
      <c r="I15" s="115" t="s">
        <v>470</v>
      </c>
      <c r="J15" s="106"/>
      <c r="K15" s="106"/>
      <c r="L15" s="106"/>
      <c r="M15" s="106"/>
      <c r="N15" s="114"/>
      <c r="O15" s="325"/>
    </row>
    <row r="16" spans="1:16">
      <c r="A16" s="175" t="s">
        <v>15</v>
      </c>
      <c r="B16" s="213" t="str">
        <f>'BF - INPUT'!F35</f>
        <v>0</v>
      </c>
      <c r="C16" s="108"/>
      <c r="D16" s="229" t="s">
        <v>566</v>
      </c>
      <c r="E16" s="162"/>
      <c r="F16" s="306" t="str">
        <f>'BF - INPUT'!F36</f>
        <v>0</v>
      </c>
      <c r="G16" s="316" t="str">
        <f>'BF - INPUT'!F37</f>
        <v>0</v>
      </c>
      <c r="H16" s="325"/>
      <c r="I16" s="112" t="s">
        <v>561</v>
      </c>
      <c r="J16" s="107"/>
      <c r="K16" s="107"/>
      <c r="L16" s="107"/>
      <c r="M16" s="154" t="str">
        <f>IFERROR('Panel Details'!I11,0)</f>
        <v>0</v>
      </c>
      <c r="N16" s="174" t="str">
        <f>D21*D9</f>
        <v>0</v>
      </c>
      <c r="O16" s="325"/>
    </row>
    <row r="17" spans="1:16">
      <c r="A17" s="175" t="s">
        <v>567</v>
      </c>
      <c r="B17" s="314" t="str">
        <f>'BF - INPUT'!F33</f>
        <v>0</v>
      </c>
      <c r="C17" s="315"/>
      <c r="D17" s="229" t="s">
        <v>568</v>
      </c>
      <c r="E17" s="162"/>
      <c r="F17" s="306" t="str">
        <f>IFERROR('Opening BF'!B8,0)</f>
        <v>0</v>
      </c>
      <c r="G17" s="316" t="str">
        <f>IFERROR('Opening BF'!B9,0)</f>
        <v>0</v>
      </c>
      <c r="H17" s="325"/>
      <c r="I17" s="112" t="s">
        <v>562</v>
      </c>
      <c r="J17" s="107"/>
      <c r="K17" s="107"/>
      <c r="L17" s="107"/>
      <c r="M17" s="154" t="str">
        <f>IFERROR('Panel Details'!I11,0)</f>
        <v>0</v>
      </c>
      <c r="N17" s="174" t="str">
        <f>D21*D9</f>
        <v>0</v>
      </c>
      <c r="O17" s="325"/>
    </row>
    <row r="18" spans="1:16" customHeight="1" ht="13.5">
      <c r="A18" s="117"/>
      <c r="B18" s="204"/>
      <c r="C18" s="204"/>
      <c r="D18" s="230" t="s">
        <v>569</v>
      </c>
      <c r="E18" s="231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563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131</v>
      </c>
      <c r="B19" s="150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571</v>
      </c>
      <c r="B20" s="109"/>
      <c r="C20" s="109"/>
      <c r="D20" s="152" t="str">
        <f>'BF - INPUT'!F39</f>
        <v>0</v>
      </c>
      <c r="E20" s="152"/>
      <c r="F20" s="152"/>
      <c r="G20" s="145"/>
      <c r="H20" s="325"/>
      <c r="I20" s="112" t="s">
        <v>573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112</v>
      </c>
      <c r="B21" s="107"/>
      <c r="C21" s="107"/>
      <c r="D21" s="323" t="str">
        <f>'BF - INPUT'!F40</f>
        <v>0</v>
      </c>
      <c r="E21" s="405" t="s">
        <v>636</v>
      </c>
      <c r="F21" s="152"/>
      <c r="G21" s="406" t="str">
        <f>'BF - INPUT'!F41</f>
        <v>0</v>
      </c>
      <c r="H21" s="325"/>
      <c r="I21" s="112" t="s">
        <v>575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576</v>
      </c>
      <c r="B22" s="118"/>
      <c r="C22" s="118"/>
      <c r="D22" s="118" t="str">
        <f>TRIM(IFERROR(VLOOKUP('BF - INPUT'!J39&amp;'BF - INPUT'!K39,Stiles!I18:M63,IF('BF - INPUT'!F41="Standard",2,4),FALSE),"")&amp;" "&amp;IFERROR(VLOOKUP('BF - INPUT'!L39&amp;'BF - INPUT'!M39,Stiles!I18:M63,IF('BF - INPUT'!F41="Standard",3,5),FALSE),"")&amp;" "&amp;IFERROR(VLOOKUP('BF - INPUT'!N39&amp;'BF - INPUT'!O39,Stiles!I18:M63,IF('BF - INPUT'!F41="Standard",3,5),FALSE),"")&amp;" "&amp;IFERROR(VLOOKUP('BF - INPUT'!P39&amp;'BF - INPUT'!Q39,Stiles!I18:M63,IF('BF - INPUT'!F41="Standard",3,5),FALSE),"")&amp;" "&amp;IFERROR(VLOOKUP('BF - INPUT'!R39&amp;'BF - INPUT'!S39,Stiles!I18:M63,IF('BF - INPUT'!F41="Standard",3,5),FALSE),"")&amp;" "&amp;IFERROR(VLOOKUP('BF - INPUT'!T39&amp;'BF - INPUT'!U39,Stiles!I18:M63,IF('BF - INPUT'!F41="Standard",3,5),FALSE),""))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577</v>
      </c>
      <c r="B23" s="150"/>
      <c r="C23" s="150"/>
      <c r="D23" s="150"/>
      <c r="E23" s="150"/>
      <c r="F23" s="150"/>
      <c r="G23" s="151"/>
      <c r="H23" s="325"/>
      <c r="I23" s="112" t="s">
        <v>580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2*D21*D9</f>
        <v>0</v>
      </c>
      <c r="O23" s="325"/>
    </row>
    <row r="24" spans="1:16">
      <c r="A24" s="144" t="s">
        <v>637</v>
      </c>
      <c r="B24" s="109"/>
      <c r="C24" s="407"/>
      <c r="D24" s="393" t="str">
        <f>IFERROR('Panel Details'!H53,0)</f>
        <v>0</v>
      </c>
      <c r="E24" s="142" t="s">
        <v>579</v>
      </c>
      <c r="F24" s="142"/>
      <c r="G24" s="408" t="str">
        <f>IFERROR(ROUND((76.2*(D24-1))+103.2+M18+46-26.5,0),0)</f>
        <v>0</v>
      </c>
      <c r="H24" s="325"/>
      <c r="I24" s="112" t="s">
        <v>580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IF(M24&gt;0,2*D21*D9,0)</f>
        <v>0</v>
      </c>
      <c r="O24" s="325"/>
    </row>
    <row r="25" spans="1:16">
      <c r="A25" s="112" t="s">
        <v>581</v>
      </c>
      <c r="B25" s="107"/>
      <c r="C25" s="162"/>
      <c r="D25" s="306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582</v>
      </c>
      <c r="B26" s="107"/>
      <c r="C26" s="107"/>
      <c r="D26" s="108" t="str">
        <f>'BF - INPUT'!F46</f>
        <v>0</v>
      </c>
      <c r="E26" s="108"/>
      <c r="F26" s="108"/>
      <c r="G26" s="119"/>
      <c r="H26" s="325"/>
      <c r="I26" s="115" t="s">
        <v>638</v>
      </c>
      <c r="J26" s="106"/>
      <c r="K26" s="106"/>
      <c r="L26" s="290" t="s">
        <v>639</v>
      </c>
      <c r="M26" s="290" t="s">
        <v>589</v>
      </c>
      <c r="N26" s="291" t="s">
        <v>8</v>
      </c>
      <c r="O26" s="325"/>
    </row>
    <row r="27" spans="1:16">
      <c r="A27" s="112" t="s">
        <v>583</v>
      </c>
      <c r="B27" s="107"/>
      <c r="C27" s="107"/>
      <c r="D27" s="108" t="str">
        <f>'BF - INPUT'!F47</f>
        <v>0</v>
      </c>
      <c r="E27" s="108"/>
      <c r="F27" s="108"/>
      <c r="G27" s="119"/>
      <c r="H27" s="325"/>
      <c r="I27" s="112" t="str">
        <f>IFERROR(VLOOKUP('BF - INPUT'!F29&amp;'BF - INPUT'!F30,'Tracks&amp;Frames'!J10:N20,3,FALSE),0)</f>
        <v>0</v>
      </c>
      <c r="J27" s="107"/>
      <c r="K27" s="107"/>
      <c r="L27" s="306" t="str">
        <f>IF(NOT(I27=0),VLOOKUP('BF - INPUT'!F30,'Tracks&amp;Frames'!I10:M20,3,FALSE),0)</f>
        <v>0</v>
      </c>
      <c r="M27" s="154" t="str">
        <f>IF(NOT(I27=0),'BF - INPUT'!F37+IF(AND('BF - INPUT'!F35="Window Size",'BF - INPUT'!F33="Outside Reveal"),'Opening BF'!E14,0),0)</f>
        <v>0</v>
      </c>
      <c r="N27" s="174" t="str">
        <f>IF(I27=0,0,D9)</f>
        <v>0</v>
      </c>
      <c r="O27" s="325"/>
    </row>
    <row r="28" spans="1:16">
      <c r="A28" s="112" t="s">
        <v>585</v>
      </c>
      <c r="B28" s="107"/>
      <c r="C28" s="107"/>
      <c r="D28" s="108" t="str">
        <f>IFERROR(IF(D27="At Centre",G17/2,IF(D27="Custom",'BF - INPUT'!F48,VLOOKUP(D27,Hardware!B16:K17,10,FALSE))),0)</f>
        <v>0</v>
      </c>
      <c r="E28" s="108"/>
      <c r="F28" s="108"/>
      <c r="G28" s="119"/>
      <c r="H28" s="325"/>
      <c r="I28" s="112" t="str">
        <f>IFERROR(VLOOKUP('BF - INPUT'!F29&amp;'BF - INPUT'!F30,'Tracks&amp;Frames'!J10:N20,5,FALSE),0)</f>
        <v>0</v>
      </c>
      <c r="J28" s="107"/>
      <c r="K28" s="107"/>
      <c r="L28" s="306" t="str">
        <f>IF(NOT(I28=0),VLOOKUP('BF - INPUT'!F30,'Tracks&amp;Frames'!I10:M20,5,FALSE),0)</f>
        <v>0</v>
      </c>
      <c r="M28" s="154" t="str">
        <f>IF(NOT(I28=0),'BF - INPUT'!F37+IF(AND('BF - INPUT'!F35="Window Size",'BF - INPUT'!F33="Outside Reveal"),'Opening BF'!E14,0),0)</f>
        <v>0</v>
      </c>
      <c r="N28" s="174" t="str">
        <f>IF(I28=0,0,D9)</f>
        <v>0</v>
      </c>
      <c r="O28" s="325"/>
    </row>
    <row r="29" spans="1:16">
      <c r="A29" s="112" t="s">
        <v>586</v>
      </c>
      <c r="B29" s="107"/>
      <c r="C29" s="107"/>
      <c r="D29" s="108" t="str">
        <f>'BF - INPUT'!Y2</f>
        <v>0</v>
      </c>
      <c r="E29" s="108"/>
      <c r="F29" s="108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587</v>
      </c>
      <c r="B30" s="118"/>
      <c r="C30" s="118"/>
      <c r="D30" s="158" t="str">
        <f>IF('BF - INPUT'!F51="N/A","N/A",IF('BF - INPUT'!F51="Custom",'BF - INPUT'!F52,'BF - INPUT'!F51))</f>
        <v>0</v>
      </c>
      <c r="E30" s="158"/>
      <c r="F30" s="158"/>
      <c r="G30" s="400" t="str">
        <f>IFERROR(VLOOKUP('BF - INPUT'!F51,'Panel Details'!D71:I75,6),0)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523</v>
      </c>
      <c r="J31" s="308"/>
      <c r="K31" s="308"/>
      <c r="L31" s="290" t="s">
        <v>640</v>
      </c>
      <c r="M31" s="290" t="s">
        <v>589</v>
      </c>
      <c r="N31" s="291" t="s">
        <v>8</v>
      </c>
      <c r="O31" s="325"/>
    </row>
    <row r="32" spans="1:16" customHeight="1" ht="13.5">
      <c r="A32" s="149" t="s">
        <v>487</v>
      </c>
      <c r="B32" s="205"/>
      <c r="C32" s="205"/>
      <c r="D32" s="153"/>
      <c r="E32" s="106"/>
      <c r="F32" s="106"/>
      <c r="G32" s="106"/>
      <c r="H32" s="325"/>
      <c r="I32" s="129" t="str">
        <f>'BF - INPUT'!F56</f>
        <v>0</v>
      </c>
      <c r="J32" s="130"/>
      <c r="K32" s="292"/>
      <c r="L32" s="306" t="str">
        <f>IF(NOT(I27="N/A"),'BF - INPUT'!F30,"N/A")</f>
        <v>0</v>
      </c>
      <c r="M32" s="154" t="str">
        <f>'BF - INPUT'!F57</f>
        <v>0</v>
      </c>
      <c r="N32" s="174" t="str">
        <f>1*D9</f>
        <v>0</v>
      </c>
      <c r="O32" s="325"/>
    </row>
    <row r="33" spans="1:16" customHeight="1" ht="13.5">
      <c r="A33" s="172" t="s">
        <v>592</v>
      </c>
      <c r="B33" s="232"/>
      <c r="C33" s="232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593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IF('BF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595</v>
      </c>
      <c r="B35" s="107"/>
      <c r="C35" s="107"/>
      <c r="D35" s="165" t="str">
        <f>IFERROR(ROUNDUP(VLOOKUP(I32&amp;I34,'Tracks&amp;Frames'!C60:D67,2,FALSE)*IF(G5="Dealer",1.2,1),0),0)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596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28</v>
      </c>
      <c r="J36" s="308"/>
      <c r="K36" s="308"/>
      <c r="L36" s="290" t="s">
        <v>641</v>
      </c>
      <c r="M36" s="290"/>
      <c r="N36" s="291"/>
      <c r="O36" s="325"/>
    </row>
    <row r="37" spans="1:16" customHeight="1" ht="13.5">
      <c r="A37" s="112" t="s">
        <v>597</v>
      </c>
      <c r="B37" s="107"/>
      <c r="C37" s="107"/>
      <c r="D37" s="165" t="str">
        <f>IFERROR(ROUNDUP(IF(NOT('BF - INPUT'!F29="None"),G17/750*VLOOKUP('BF - INPUT'!F30,'Tracks&amp;Frames'!A21:B27,2,FALSE)*D9,0)*IF(G5="Dealer",1.2,1),0),0)</f>
        <v>0</v>
      </c>
      <c r="E37" s="325"/>
      <c r="F37" s="325"/>
      <c r="G37" s="326"/>
      <c r="H37" s="325"/>
      <c r="I37" s="117" t="str">
        <f>'BF - INPUT'!F54</f>
        <v>0</v>
      </c>
      <c r="J37" s="230"/>
      <c r="K37" s="231"/>
      <c r="L37" s="167" t="str">
        <f>IF('BF - INPUT'!F55="Natural Anodised","Nat.Ano",IF('BF - INPUT'!F55="Satin White","S.White",IF('BF - INPUT'!F55="Non-Standard","Custom",'BF - INPUT'!F55)))</f>
        <v>0</v>
      </c>
      <c r="M37" s="167" t="str">
        <f>'BF - INPUT'!F57</f>
        <v>0</v>
      </c>
      <c r="N37" s="176" t="str">
        <f>1*D9</f>
        <v>0</v>
      </c>
      <c r="O37" s="325"/>
    </row>
    <row r="38" spans="1:16" customHeight="1" ht="13.5">
      <c r="A38" s="112" t="s">
        <v>598</v>
      </c>
      <c r="B38" s="107"/>
      <c r="C38" s="107"/>
      <c r="D38" s="165" t="str">
        <f>IF(D58&gt;0,ROUNDUP(('BF - MO'!M32*'BF - MO'!N32)/500+3,0),0)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325"/>
    </row>
    <row r="39" spans="1:16" customHeight="1" ht="13.5">
      <c r="A39" s="112" t="s">
        <v>600</v>
      </c>
      <c r="B39" s="107"/>
      <c r="C39" s="107"/>
      <c r="D39" s="385"/>
      <c r="E39" s="325"/>
      <c r="F39" s="325"/>
      <c r="G39" s="326"/>
      <c r="H39" s="106"/>
      <c r="I39" s="149" t="s">
        <v>486</v>
      </c>
      <c r="J39" s="150"/>
      <c r="K39" s="150"/>
      <c r="L39" s="150"/>
      <c r="M39" s="150"/>
      <c r="N39" s="153"/>
      <c r="O39" s="325"/>
    </row>
    <row r="40" spans="1:16">
      <c r="A40" s="591" t="s">
        <v>601</v>
      </c>
      <c r="B40" s="592"/>
      <c r="C40" s="592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467</v>
      </c>
      <c r="N40" s="328" t="s">
        <v>468</v>
      </c>
      <c r="O40" s="325"/>
    </row>
    <row r="41" spans="1:16">
      <c r="A41" s="113" t="s">
        <v>602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605</v>
      </c>
      <c r="J41" s="107"/>
      <c r="K41" s="107"/>
      <c r="L41" s="107"/>
      <c r="M41" s="306" t="str">
        <f>IF(G18&lt;=Hardware!C6,Hardware!D6,IF(G18&lt;=Hardware!C7,Hardware!D7,IF(G18&lt;=Hardware!C8,Hardware!D8,IF(G18&lt;=Hardware!C9,Hardware!D9,IF(G18&lt;=Hardware!C10,Hardware!D10,IF(G18&lt;=Hardware!C11,Hardware!D11,0))))))*(D21-(8-COUNTBLANK('BF - INPUT'!J39:Q39))/2)*D9</f>
        <v>0</v>
      </c>
      <c r="N41" s="316" t="str">
        <f>IF(G18&lt;=Hardware!C6,Hardware!E6,IF(G18&lt;=Hardware!C7,Hardware!E7,IF(G18&lt;=Hardware!C8,Hardware!E8,IF(G18&lt;=Hardware!C9,Hardware!E9,IF(G18&lt;=Hardware!C10,Hardware!E10,IF(G18&lt;=Hardware!C11,Hardware!E11,0))))))*(D21-(8-COUNTBLANK('BF - INPUT'!J39:Q39))/2)*D9</f>
        <v>0</v>
      </c>
      <c r="O41" s="325"/>
    </row>
    <row r="42" spans="1:16">
      <c r="A42" s="112" t="s">
        <v>603</v>
      </c>
      <c r="B42" s="107"/>
      <c r="C42" s="107"/>
      <c r="D42" s="165" t="str">
        <f>D35+D37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37</v>
      </c>
      <c r="N42" s="291" t="s">
        <v>8</v>
      </c>
      <c r="O42" s="325"/>
    </row>
    <row r="43" spans="1:16" customHeight="1" ht="13.5">
      <c r="A43" s="117" t="s">
        <v>604</v>
      </c>
      <c r="B43" s="118"/>
      <c r="C43" s="118"/>
      <c r="D43" s="168" t="str">
        <f>ROUNDUP((IF(D58&gt;0,('BF - MO'!M32*'BF - MO'!N32)/500+1,0)+IFERROR(SEARCH("liner",'BF - INPUT'!F29),0)*D37)*IF(G5="Dealer",1.1,1),0)</f>
        <v>0</v>
      </c>
      <c r="E43" s="325"/>
      <c r="F43" s="325"/>
      <c r="G43" s="326"/>
      <c r="H43" s="106"/>
      <c r="I43" s="112" t="s">
        <v>491</v>
      </c>
      <c r="J43" s="107"/>
      <c r="K43" s="107"/>
      <c r="L43" s="107"/>
      <c r="M43" s="332"/>
      <c r="N43" s="116" t="str">
        <f>(IFERROR(VLOOKUP('BF - INPUT'!J39&amp;'BF - INPUT'!K39,Hardware!B45:D90,3,FALSE),0)+IFERROR(VLOOKUP('BF - INPUT'!L39&amp;'BF - INPUT'!M39,Hardware!B45:D90,3,FALSE),0)+IFERROR(VLOOKUP('BF - INPUT'!N39&amp;'BF - INPUT'!O39,Hardware!B45:D90,3,FALSE),0)+IFERROR(VLOOKUP('BF - INPUT'!P39&amp;'BF - INPUT'!Q39,Hardware!B45:D90,3,FALSE),0)+IFERROR(VLOOKUP('BF - INPUT'!R39&amp;'BF - INPUT'!S39,Hardware!B45:D90,3,FALSE),0)+IFERROR(VLOOKUP('BF - INPUT'!T39&amp;'BF - INPUT'!U39,Hardware!B45:D90,3,FALSE),0))*D9</f>
        <v>0</v>
      </c>
      <c r="O43" s="325"/>
    </row>
    <row r="44" spans="1:16">
      <c r="A44" s="115" t="s">
        <v>606</v>
      </c>
      <c r="B44" s="106"/>
      <c r="C44" s="106"/>
      <c r="D44" s="384"/>
      <c r="E44" s="106"/>
      <c r="F44" s="106"/>
      <c r="G44" s="142"/>
      <c r="H44" s="106"/>
      <c r="I44" s="144" t="s">
        <v>609</v>
      </c>
      <c r="J44" s="109"/>
      <c r="K44" s="109"/>
      <c r="L44" s="154" t="s">
        <v>610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607</v>
      </c>
      <c r="B45" s="107"/>
      <c r="C45" s="107"/>
      <c r="D45" s="385"/>
      <c r="E45" s="106"/>
      <c r="F45" s="106"/>
      <c r="G45" s="142"/>
      <c r="H45" s="106"/>
      <c r="I45" s="175" t="s">
        <v>609</v>
      </c>
      <c r="J45" s="154"/>
      <c r="K45" s="154"/>
      <c r="L45" s="154" t="s">
        <v>612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608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55</v>
      </c>
      <c r="N46" s="291" t="s">
        <v>8</v>
      </c>
      <c r="O46" s="325"/>
    </row>
    <row r="47" spans="1:16" customHeight="1" ht="13.5">
      <c r="A47" s="117" t="s">
        <v>611</v>
      </c>
      <c r="B47" s="118"/>
      <c r="C47" s="231"/>
      <c r="D47" s="578">
        <v>0</v>
      </c>
      <c r="E47" s="106"/>
      <c r="F47" s="106"/>
      <c r="G47" s="142"/>
      <c r="H47" s="106"/>
      <c r="I47" s="117" t="s">
        <v>27</v>
      </c>
      <c r="J47" s="118"/>
      <c r="K47" s="118"/>
      <c r="L47" s="231"/>
      <c r="M47" s="231" t="str">
        <f>IF(N47=0,0,IF('BF - INPUT'!F49="no",0,IF('BF - INPUT'!F49="Yes, brushed nickel","Nickel","White")))</f>
        <v>0</v>
      </c>
      <c r="N47" s="176" t="str">
        <f>IF('BF - INPUT'!F49="No",0,N43)</f>
        <v>0</v>
      </c>
      <c r="O47" s="325"/>
    </row>
    <row r="48" spans="1:16" customHeight="1" ht="13.5">
      <c r="A48" s="115" t="s">
        <v>613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tr">
        <f>IFERROR(VLOOKUP('BF - INPUT'!F56,'Tracks&amp;Frames'!A3:D6,4,FALSE),'Tracks&amp;Frames'!D3)</f>
        <v>0</v>
      </c>
      <c r="B49" s="303"/>
      <c r="C49" s="303"/>
      <c r="D49" s="576" t="str">
        <f>(IFERROR(VLOOKUP('BF - INPUT'!J39&amp;'BF - INPUT'!K39,Hardware!B45:K90,6,FALSE),0)+IFERROR(VLOOKUP('BF - INPUT'!L39&amp;'BF - INPUT'!M39,Hardware!B45:K90,6,FALSE),0)+IFERROR(VLOOKUP('BF - INPUT'!N39&amp;'BF - INPUT'!O39,Hardware!B45:K90,6,FALSE),0)+IFERROR(VLOOKUP('BF - INPUT'!P39&amp;'BF - INPUT'!Q39,Hardware!B45:K90,6,FALSE),0)+IFERROR(VLOOKUP('BF - INPUT'!R39&amp;'BF - INPUT'!S39,Hardware!B45:K90,6,FALSE),0)+IFERROR(VLOOKUP('BF - INPUT'!T39&amp;'BF - INPUT'!U39,Hardware!B45:K90,6,FALSE),0))*D9</f>
        <v>0</v>
      </c>
      <c r="E49" s="106"/>
      <c r="F49" s="106"/>
      <c r="G49" s="142"/>
      <c r="H49" s="106"/>
      <c r="I49" s="171" t="s">
        <v>23</v>
      </c>
      <c r="J49" s="169"/>
      <c r="K49" s="169"/>
      <c r="L49" s="169"/>
      <c r="M49" s="169"/>
      <c r="N49" s="170"/>
      <c r="O49" s="325"/>
    </row>
    <row r="50" spans="1:16">
      <c r="A50" s="112" t="str">
        <f>IFERROR(VLOOKUP('BF - INPUT'!F56,'Tracks&amp;Frames'!A3:C6,3,FALSE),'Tracks&amp;Frames'!C4)</f>
        <v>0</v>
      </c>
      <c r="B50" s="107"/>
      <c r="C50" s="107"/>
      <c r="D50" s="165" t="str">
        <f>(IFERROR(VLOOKUP('BF - INPUT'!J39&amp;'BF - INPUT'!K39,Hardware!B45:K90,7,FALSE),0)+IFERROR(VLOOKUP('BF - INPUT'!L39&amp;'BF - INPUT'!M39,Hardware!B45:K90,7,FALSE),0)+IFERROR(VLOOKUP('BF - INPUT'!N39&amp;'BF - INPUT'!O39,Hardware!B45:K90,7,FALSE),0)+IFERROR(VLOOKUP('BF - INPUT'!P39&amp;'BF - INPUT'!Q39,Hardware!B45:K90,7,FALSE),0)+IFERROR(VLOOKUP('BF - INPUT'!R39&amp;'BF - INPUT'!S39,Hardware!B45:K90,7,FALSE),0)+IFERROR(VLOOKUP('BF - INPUT'!T39&amp;'BF - INPUT'!U39,Hardware!B45:K90,7,FALSE),0))*D9</f>
        <v>0</v>
      </c>
      <c r="E50" s="106"/>
      <c r="F50" s="106"/>
      <c r="G50" s="142"/>
      <c r="H50" s="106"/>
      <c r="I50" s="1221" t="str">
        <f>IF('BF - INPUT'!F71="","",'BF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504</v>
      </c>
      <c r="B51" s="107"/>
      <c r="C51" s="107"/>
      <c r="D51" s="165" t="str">
        <f>(IFERROR(VLOOKUP('BF - INPUT'!J39&amp;'BF - INPUT'!K39,Hardware!B45:K90,8,FALSE),0)+IFERROR(VLOOKUP('BF - INPUT'!L39&amp;'BF - INPUT'!M39,Hardware!B45:K90,8,FALSE),0)+IFERROR(VLOOKUP('BF - INPUT'!N39&amp;'BF - INPUT'!O39,Hardware!B45:K90,8,FALSE),0)+IFERROR(VLOOKUP('BF - INPUT'!P39&amp;'BF - INPUT'!Q39,Hardware!B45:K90,8,FALSE),0)+IFERROR(VLOOKUP('BF - INPUT'!R39&amp;'BF - INPUT'!S39,Hardware!B45:K90,8,FALSE),0)+IFERROR(VLOOKUP('BF - INPUT'!T39&amp;'BF - INPUT'!U39,Hardware!B45:K90,8,FALSE),0))*D9</f>
        <v>0</v>
      </c>
      <c r="E51" s="106"/>
      <c r="F51" s="106"/>
      <c r="G51" s="142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505</v>
      </c>
      <c r="B52" s="107"/>
      <c r="C52" s="107"/>
      <c r="D52" s="165" t="str">
        <f>(IFERROR(VLOOKUP('BF - INPUT'!J39&amp;'BF - INPUT'!K39,Hardware!B45:K90,9,FALSE),0)+IFERROR(VLOOKUP('BF - INPUT'!L39&amp;'BF - INPUT'!M39,Hardware!B45:K90,9,FALSE),0)+IFERROR(VLOOKUP('BF - INPUT'!N39&amp;'BF - INPUT'!O39,Hardware!B45:K90,9,FALSE),0)+IFERROR(VLOOKUP('BF - INPUT'!P39&amp;'BF - INPUT'!Q39,Hardware!B45:K90,9,FALSE),0)+IFERROR(VLOOKUP('BF - INPUT'!R39&amp;'BF - INPUT'!S39,Hardware!B45:K90,9,FALSE),0)+IFERROR(VLOOKUP('BF - INPUT'!T39&amp;'BF - INPUT'!U39,Hardware!B45:K90,9,FALSE),0))*D9</f>
        <v>0</v>
      </c>
      <c r="E52" s="106"/>
      <c r="F52" s="106"/>
      <c r="G52" s="142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498</v>
      </c>
      <c r="B53" s="107"/>
      <c r="C53" s="107"/>
      <c r="D53" s="165" t="str">
        <f>(IFERROR(VLOOKUP('BF - INPUT'!J39&amp;'BF - INPUT'!K39,Hardware!B45:K90,10,FALSE),0)+IFERROR(VLOOKUP('BF - INPUT'!L39&amp;'BF - INPUT'!M39,Hardware!B45:K90,10,FALSE),0)+IFERROR(VLOOKUP('BF - INPUT'!N39&amp;'BF - INPUT'!O39,Hardware!B45:K90,10,FALSE),0)+IFERROR(VLOOKUP('BF - INPUT'!P39&amp;'BF - INPUT'!Q39,Hardware!B45:K90,10,FALSE),0)+IFERROR(VLOOKUP('BF - INPUT'!R39&amp;'BF - INPUT'!S39,Hardware!B45:K90,10,FALSE),0)+IFERROR(VLOOKUP('BF - INPUT'!T39&amp;'BF - INPUT'!U39,Hardware!B45:K90,10,FALSE),0))*D9</f>
        <v>0</v>
      </c>
      <c r="E53" s="106"/>
      <c r="F53" s="106"/>
      <c r="G53" s="142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510</v>
      </c>
      <c r="B54" s="130"/>
      <c r="C54" s="130"/>
      <c r="D54" s="587"/>
      <c r="E54" s="106"/>
      <c r="F54" s="106"/>
      <c r="G54" s="142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614</v>
      </c>
      <c r="B55" s="118"/>
      <c r="C55" s="118"/>
      <c r="D55" s="577"/>
      <c r="E55" s="106"/>
      <c r="F55" s="106"/>
      <c r="G55" s="142"/>
      <c r="H55" s="106"/>
      <c r="I55" s="1227" t="s">
        <v>618</v>
      </c>
      <c r="J55" s="1228"/>
      <c r="K55" s="1229"/>
      <c r="L55" s="211"/>
      <c r="M55" s="156"/>
      <c r="N55" s="157"/>
      <c r="O55" s="325"/>
    </row>
    <row r="56" spans="1:16" customHeight="1" ht="13.5">
      <c r="A56" s="106"/>
      <c r="B56" s="106"/>
      <c r="C56" s="106"/>
      <c r="D56" s="383"/>
      <c r="E56" s="106"/>
      <c r="F56" s="106"/>
      <c r="G56" s="142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615</v>
      </c>
      <c r="B57" s="403" t="s">
        <v>616</v>
      </c>
      <c r="C57" s="386" t="s">
        <v>549</v>
      </c>
      <c r="D57" s="386" t="s">
        <v>8</v>
      </c>
      <c r="E57" s="386" t="s">
        <v>617</v>
      </c>
      <c r="F57" s="386" t="s">
        <v>85</v>
      </c>
      <c r="G57" s="387" t="s">
        <v>37</v>
      </c>
      <c r="H57" s="106"/>
      <c r="I57" s="295"/>
      <c r="J57" s="295"/>
      <c r="K57" s="295"/>
      <c r="L57" s="106"/>
      <c r="M57" s="106"/>
      <c r="N57" s="106"/>
      <c r="O57" s="325"/>
    </row>
    <row r="58" spans="1:16">
      <c r="A58" s="163" t="s">
        <v>642</v>
      </c>
      <c r="B58" s="393" t="str">
        <f>$D$12</f>
        <v>0</v>
      </c>
      <c r="C58" s="401"/>
      <c r="D58" s="393" t="str">
        <f>IF('BF - INPUT'!F59="N/A",0,1*D9)</f>
        <v>0</v>
      </c>
      <c r="E58" s="393" t="str">
        <f>IF(D58&gt;0,19,0)</f>
        <v>0</v>
      </c>
      <c r="F58" s="393" t="str">
        <f>IF('BF - INPUT'!F59="Header - 19 x custom",'BF - INPUT'!F60,IF('BF - INPUT'!F59="N/A",0,LEFT(RIGHT('BF - INPUT'!F59,5),3)))</f>
        <v>0</v>
      </c>
      <c r="G58" s="402" t="str">
        <f>IF('BF - INPUT'!F59="N/A",0,'BF - INPUT'!F57)</f>
        <v>0</v>
      </c>
      <c r="H58" s="106"/>
      <c r="I58" s="325"/>
      <c r="J58" s="325"/>
      <c r="K58" s="325"/>
      <c r="L58" s="325"/>
      <c r="M58" s="325"/>
      <c r="N58" s="325"/>
      <c r="O58" s="325"/>
    </row>
    <row r="59" spans="1:16">
      <c r="A59" s="164" t="s">
        <v>643</v>
      </c>
      <c r="B59" s="306" t="str">
        <f>$D$12</f>
        <v>0</v>
      </c>
      <c r="C59" s="396"/>
      <c r="D59" s="306" t="str">
        <f>IF('BF - INPUT'!F64="N/A",0,'BF - INPUT'!F67)*D9</f>
        <v>0</v>
      </c>
      <c r="E59" s="306" t="str">
        <f>IF(D59&gt;0,12,0)</f>
        <v>0</v>
      </c>
      <c r="F59" s="306" t="str">
        <f>IFERROR(IF(VLOOKUP('BF - INPUT'!F64,'Tracks&amp;Frames'!A53:B56,2,FALSE)="Custom",'BF - INPUT'!F65,VLOOKUP('BF - INPUT'!F64,'Tracks&amp;Frames'!A53:B56,2,FALSE)),0)</f>
        <v>0</v>
      </c>
      <c r="G59" s="316" t="str">
        <f>IF(D59&gt;0,'BF - INPUT'!F66,0)</f>
        <v>0</v>
      </c>
      <c r="H59" s="325"/>
      <c r="I59" s="142"/>
      <c r="J59" s="142"/>
      <c r="K59" s="142"/>
      <c r="L59" s="142"/>
      <c r="M59" s="142"/>
      <c r="N59" s="142"/>
      <c r="O59" s="325"/>
    </row>
    <row r="60" spans="1:16">
      <c r="A60" s="164" t="s">
        <v>644</v>
      </c>
      <c r="B60" s="306" t="str">
        <f>$D$12</f>
        <v>0</v>
      </c>
      <c r="C60" s="306" t="str">
        <f>'BF - INPUT'!F68</f>
        <v>0</v>
      </c>
      <c r="D60" s="306" t="str">
        <f>IF('BF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IF(C60="N/A",0,'BF - INPUT'!F69)</f>
        <v>0</v>
      </c>
      <c r="H60" s="325"/>
      <c r="I60" s="325"/>
      <c r="J60" s="325"/>
      <c r="K60" s="325"/>
      <c r="L60" s="325"/>
      <c r="M60" s="325"/>
      <c r="N60" s="325"/>
      <c r="O60" s="325"/>
    </row>
    <row r="61" spans="1:16">
      <c r="A61" s="397" t="s">
        <v>645</v>
      </c>
      <c r="B61" s="394" t="str">
        <f>$D$12</f>
        <v>0</v>
      </c>
      <c r="C61" s="394" t="str">
        <f>IF(OR('BF - INPUT'!F29='Tracks&amp;Frames'!A10,'BF - INPUT'!F29='Tracks&amp;Frames'!A11),"",'BF - INPUT'!F30)</f>
        <v>0</v>
      </c>
      <c r="D61" s="394" t="str">
        <f>IF(C61="N/A",0,LEN(C61)*D9)</f>
        <v>0</v>
      </c>
      <c r="E61" s="394" t="str">
        <f>IFERROR(VLOOKUP('BF - INPUT'!F29,'Tracks&amp;Frames'!A9:E17,4,FALSE),0)</f>
        <v>0</v>
      </c>
      <c r="F61" s="394" t="str">
        <f>IFERROR(IF('BF - INPUT'!F31&gt;0,'BF - INPUT'!F31,VLOOKUP('BF - INPUT'!F29,'Tracks&amp;Frames'!A9:E17,5,FALSE)),0)</f>
        <v>0</v>
      </c>
      <c r="G61" s="398" t="str">
        <f>IF(AND(I27=0,NOT('BF - INPUT'!F29="none")),'BF - INPUT'!F37+IF(AND('BF - INPUT'!F35="Window Size",'BF - INPUT'!F33="Outside Reveal"),'Opening BF'!E14,0),0)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 customHeight="1" ht="12.75">
      <c r="A62" s="164" t="s">
        <v>619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619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619</v>
      </c>
      <c r="B64" s="186"/>
      <c r="C64" s="399"/>
      <c r="D64" s="186"/>
      <c r="E64" s="186"/>
      <c r="F64" s="186"/>
      <c r="G64" s="400"/>
      <c r="H64" s="142"/>
      <c r="I64" s="325"/>
      <c r="J64" s="325"/>
      <c r="K64" s="325"/>
      <c r="L64" s="325"/>
      <c r="M64" s="325"/>
      <c r="N64" s="325"/>
      <c r="O64" s="325"/>
    </row>
    <row r="65" spans="1:16">
      <c r="A65" s="325"/>
      <c r="B65" s="325"/>
      <c r="C65" s="325"/>
      <c r="D65" s="325"/>
      <c r="E65" s="325"/>
      <c r="F65" s="325"/>
      <c r="G65" s="142"/>
      <c r="H65" s="142"/>
      <c r="I65" s="325"/>
      <c r="J65" s="325"/>
      <c r="K65" s="325"/>
      <c r="L65" s="325"/>
      <c r="M65" s="325"/>
      <c r="N65" s="325"/>
      <c r="O65" s="325"/>
    </row>
    <row r="66" spans="1:16">
      <c r="G66" s="297"/>
      <c r="H66" s="297"/>
    </row>
    <row r="67" spans="1:16">
      <c r="A67" s="298" t="s">
        <v>620</v>
      </c>
      <c r="G67" s="297"/>
      <c r="H67" s="297"/>
    </row>
    <row r="68" spans="1:16">
      <c r="A68" s="299" t="s">
        <v>621</v>
      </c>
      <c r="B68" s="300"/>
      <c r="C68" s="300"/>
      <c r="D68" s="300"/>
      <c r="E68" s="300"/>
      <c r="F68" s="331" t="str">
        <f>SUM(N8)*4*2+SUM(N9+N16)*4*2+SUM(N10+N17)*2*2+SUM(N13)*4*2</f>
        <v>0</v>
      </c>
      <c r="G68" s="297"/>
      <c r="H68" s="297"/>
    </row>
    <row r="69" spans="1:16">
      <c r="A69" s="299" t="s">
        <v>622</v>
      </c>
      <c r="B69" s="300"/>
      <c r="C69" s="300"/>
      <c r="D69" s="300"/>
      <c r="E69" s="300"/>
      <c r="F69" s="331" t="str">
        <f>$N$5*2</f>
        <v>0</v>
      </c>
      <c r="G69" s="297"/>
    </row>
    <row r="70" spans="1:16">
      <c r="A70" s="299" t="s">
        <v>623</v>
      </c>
      <c r="B70" s="300"/>
      <c r="C70" s="300"/>
      <c r="D70" s="300"/>
      <c r="E70" s="300"/>
      <c r="F70" s="331" t="str">
        <f>N43*2</f>
        <v>0</v>
      </c>
      <c r="G70" s="297"/>
    </row>
    <row r="71" spans="1:16">
      <c r="A71" s="299" t="s">
        <v>516</v>
      </c>
      <c r="B71" s="300"/>
      <c r="C71" s="300"/>
      <c r="D71" s="300"/>
      <c r="E71" s="300"/>
      <c r="F71" s="331" t="str">
        <f>F74</f>
        <v>0</v>
      </c>
      <c r="G71" s="297"/>
    </row>
    <row r="72" spans="1:16">
      <c r="A72" s="299" t="s">
        <v>497</v>
      </c>
      <c r="B72" s="300"/>
      <c r="C72" s="300"/>
      <c r="D72" s="300"/>
      <c r="E72" s="300"/>
      <c r="F72" s="331" t="str">
        <f>M41*4+N41*4+F85</f>
        <v>0</v>
      </c>
      <c r="G72" s="297"/>
    </row>
    <row r="73" spans="1:16">
      <c r="A73" s="299" t="s">
        <v>624</v>
      </c>
      <c r="B73" s="300"/>
      <c r="C73" s="300"/>
      <c r="D73" s="300"/>
      <c r="E73" s="300"/>
      <c r="F73" s="331" t="str">
        <f>N43*2</f>
        <v>0</v>
      </c>
      <c r="G73" s="297"/>
    </row>
    <row r="74" spans="1:16">
      <c r="A74" s="299" t="s">
        <v>492</v>
      </c>
      <c r="B74" s="300"/>
      <c r="C74" s="300"/>
      <c r="D74" s="300"/>
      <c r="E74" s="300"/>
      <c r="F74" s="331" t="str">
        <f>(IFERROR(VLOOKUP('BF - INPUT'!J39&amp;'BF - INPUT'!K39,Hardware!B45:S90,4,FALSE),0)+IFERROR(VLOOKUP('BF - INPUT'!L39&amp;'BF - INPUT'!M39,Hardware!B45:S90,4,FALSE),0)+IFERROR(VLOOKUP('BF - INPUT'!N39&amp;'BF - INPUT'!O39,Hardware!B45:S90,4,FALSE),0)+IFERROR(VLOOKUP('BF - INPUT'!P39&amp;'BF - INPUT'!Q39,Hardware!B45:S90,4,FALSE),0)+IFERROR(VLOOKUP('BF - INPUT'!R39&amp;'BF - INPUT'!S39,Hardware!B45:S90,4,FALSE),0)+IFERROR(VLOOKUP('BF - INPUT'!T39&amp;'BF - INPUT'!U39,Hardware!B45:S90,4,FALSE),0))*D9</f>
        <v>0</v>
      </c>
      <c r="G74" s="297"/>
    </row>
    <row r="75" spans="1:16">
      <c r="A75" s="299" t="s">
        <v>625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626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627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646</v>
      </c>
      <c r="B78" s="300"/>
      <c r="C78" s="300"/>
      <c r="D78" s="300"/>
      <c r="E78" s="300"/>
      <c r="F78" s="331" t="str">
        <f>(IFERROR(VLOOKUP('BF - INPUT'!J39&amp;'BF - INPUT'!K39,Hardware!B45:S90,5,FALSE),0)+IFERROR(VLOOKUP('BF - INPUT'!L39&amp;'BF - INPUT'!M39,Hardware!B45:S90,5,FALSE),0)+IFERROR(VLOOKUP('BF - INPUT'!N39&amp;'BF - INPUT'!O39,Hardware!B45:S90,5,FALSE),0)+IFERROR(VLOOKUP('BF - INPUT'!P39&amp;'BF - INPUT'!Q39,Hardware!B45:S90,5,FALSE),0)+IFERROR(VLOOKUP('BF - INPUT'!R39&amp;'BF - INPUT'!S39,Hardware!B45:S90,5,FALSE),0)+IFERROR(VLOOKUP('BF - INPUT'!T39&amp;'BF - INPUT'!U39,Hardware!B45:S90,5,FALSE),0))*D9+N43*1</f>
        <v>0</v>
      </c>
    </row>
    <row r="79" spans="1:16">
      <c r="A79" s="330" t="s">
        <v>628</v>
      </c>
      <c r="B79" s="300"/>
      <c r="C79" s="300"/>
      <c r="D79" s="300"/>
      <c r="E79" s="300"/>
      <c r="F79" s="331" t="str">
        <f>N43*1</f>
        <v>0</v>
      </c>
      <c r="G79" s="297"/>
    </row>
    <row r="80" spans="1:16">
      <c r="A80" s="299" t="s">
        <v>629</v>
      </c>
      <c r="B80" s="300"/>
      <c r="C80" s="300"/>
      <c r="D80" s="300"/>
      <c r="E80" s="300"/>
      <c r="F80" s="331" t="str">
        <f>(N23+N24)*2</f>
        <v>0</v>
      </c>
    </row>
    <row r="81" spans="1:16">
      <c r="A81" s="299" t="s">
        <v>630</v>
      </c>
      <c r="B81" s="300"/>
      <c r="C81" s="300"/>
      <c r="D81" s="300"/>
      <c r="E81" s="300"/>
      <c r="F81" s="590"/>
    </row>
    <row r="82" spans="1:16">
      <c r="A82" s="299" t="s">
        <v>631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632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633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634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647</v>
      </c>
    </row>
    <row r="88" spans="1:16">
      <c r="A88" s="330" t="s">
        <v>511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50,Hardware!M44:W44,0))*D50+INDEX(Components,MATCH(A88,Hardware!M44:M57,0),MATCH(A51,Hardware!M44:W44,0))*D51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496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50,Hardware!M44:W44,0))*D50+INDEX(Components,MATCH(A89,Hardware!M44:M57,0),MATCH(A51,Hardware!M44:W44,0))*D51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512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50,Hardware!M44:W44,0))*D50+INDEX(Components,MATCH(A90,Hardware!M44:M57,0),MATCH(A51,Hardware!M44:W44,0))*D51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492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50,Hardware!M44:W44,0))*D50+INDEX(Components,MATCH(A91,Hardware!M44:M57,0),MATCH(A51,Hardware!M44:W44,0))*D51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493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50,Hardware!M44:W44,0))*D50+INDEX(Components,MATCH(A92,Hardware!M44:M57,0),MATCH(A51,Hardware!M44:W44,0))*D51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498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50,Hardware!M44:W44,0))*D50+INDEX(Components,MATCH(A93,Hardware!M44:M57,0),MATCH(A51,Hardware!M44:W44,0))*D51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513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50,Hardware!M44:W44,0))*D50+INDEX(Components,MATCH(A94,Hardware!M44:M57,0),MATCH(A51,Hardware!M44:W44,0))*D51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514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50,Hardware!M44:W44,0))*D50+INDEX(Components,MATCH(A95,Hardware!M44:M57,0),MATCH(A51,Hardware!M44:W44,0))*D51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515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50,Hardware!M44:W44,0))*D50+INDEX(Components,MATCH(A96,Hardware!M44:M57,0),MATCH(A51,Hardware!M44:W44,0))*D51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516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50,Hardware!M44:W44,0))*D50+INDEX(Components,MATCH(A97,Hardware!M44:M57,0),MATCH(A51,Hardware!M44:W44,0))*D51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517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50,Hardware!M44:W44,0))*D50+INDEX(Components,MATCH(A98,Hardware!M44:M57,0),MATCH(A51,Hardware!M44:W44,0))*D51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518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50,Hardware!M44:W44,0))*D50+INDEX(Components,MATCH(A99,Hardware!M44:M57,0),MATCH(A51,Hardware!M44:W44,0))*D51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519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50,Hardware!M44:W44,0))*D50+INDEX(Components,MATCH(A100,Hardware!M44:M57,0),MATCH(A51,Hardware!M44:W44,0))*D51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0:N53"/>
    <mergeCell ref="I55:K56"/>
  </mergeCells>
  <conditionalFormatting sqref="G21">
    <cfRule type="containsText" dxfId="18" priority="1" operator="containsText" text="Reverse">
      <formula>NOT(ISERROR(SEARCH("Reverse",G21)))</formula>
    </cfRule>
  </conditionalFormatting>
  <conditionalFormatting sqref="G21">
    <cfRule type="containsText" dxfId="19" priority="2" operator="containsText" text="Reverse">
      <formula>NOT(ISERROR(SEARCH("Reverse",G21)))</formula>
    </cfRule>
  </conditionalFormatting>
  <conditionalFormatting sqref="D12">
    <cfRule type="containsText" dxfId="17" priority="3" operator="containsText" text="External">
      <formula>NOT(ISERROR(SEARCH("External",D12)))</formula>
    </cfRule>
  </conditionalFormatting>
  <conditionalFormatting sqref="D13">
    <cfRule type="containsText" dxfId="20" priority="4" operator="containsText" text="Non-Standard">
      <formula>NOT(ISERROR(SEARCH("Non-Standard",D13)))</formula>
    </cfRule>
  </conditionalFormatting>
  <conditionalFormatting sqref="D9">
    <cfRule type="cellIs" dxfId="13" priority="5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3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.6640625" customWidth="true" style="296"/>
    <col min="2" max="2" width="17.1640625" customWidth="true" style="296"/>
    <col min="3" max="3" width="8.83203125" customWidth="true" style="296"/>
    <col min="4" max="4" width="7.6640625" customWidth="true" style="296"/>
    <col min="5" max="5" width="10.6640625" customWidth="true" style="296"/>
    <col min="6" max="6" width="10.6640625" customWidth="true" style="296"/>
    <col min="7" max="7" width="10.6640625" customWidth="true" style="301"/>
    <col min="8" max="8" width="2.6640625" customWidth="true" style="296"/>
    <col min="9" max="9" width="7.1640625" customWidth="true" style="296"/>
    <col min="10" max="10" width="5.5" customWidth="true" style="296"/>
    <col min="11" max="11" width="9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648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556</v>
      </c>
      <c r="B4" s="205"/>
      <c r="C4" s="150"/>
      <c r="D4" s="150"/>
      <c r="E4" s="150"/>
      <c r="F4" s="150"/>
      <c r="G4" s="151"/>
      <c r="H4" s="96"/>
      <c r="I4" s="149" t="s">
        <v>557</v>
      </c>
      <c r="J4" s="150"/>
      <c r="K4" s="150"/>
      <c r="L4" s="150"/>
      <c r="M4" s="110" t="s">
        <v>37</v>
      </c>
      <c r="N4" s="111" t="s">
        <v>8</v>
      </c>
      <c r="O4" s="96"/>
    </row>
    <row r="5" spans="1:16">
      <c r="A5" s="129"/>
      <c r="B5" s="130" t="s">
        <v>52</v>
      </c>
      <c r="C5" s="130"/>
      <c r="D5" s="143" t="str">
        <f>'BP - INPUT'!F17</f>
        <v>0</v>
      </c>
      <c r="E5" s="143"/>
      <c r="F5" s="143"/>
      <c r="G5" s="147" t="str">
        <f>'BP - INPUT'!F16</f>
        <v>0</v>
      </c>
      <c r="H5" s="325"/>
      <c r="I5" s="144" t="s">
        <v>340</v>
      </c>
      <c r="J5" s="109"/>
      <c r="K5" s="109"/>
      <c r="L5" s="109"/>
      <c r="M5" s="177" t="str">
        <f>IFERROR('Panel Details'!I12,0)</f>
        <v>0</v>
      </c>
      <c r="N5" s="178" t="str">
        <f>IFERROR(('Panel Details'!E16+'Panel Details'!G16)*C21*D9,0)</f>
        <v>0</v>
      </c>
      <c r="O5" s="325"/>
    </row>
    <row r="6" spans="1:16" customHeight="1" ht="15">
      <c r="A6" s="129"/>
      <c r="B6" s="130" t="s">
        <v>1</v>
      </c>
      <c r="C6" s="130"/>
      <c r="D6" s="206" t="str">
        <f>'BP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5</v>
      </c>
      <c r="C7" s="130"/>
      <c r="D7" s="206" t="str">
        <f>'BP - INPUT'!F19</f>
        <v>0</v>
      </c>
      <c r="E7" s="143"/>
      <c r="F7" s="143"/>
      <c r="G7" s="147"/>
      <c r="H7" s="325"/>
      <c r="I7" s="115" t="s">
        <v>558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53</v>
      </c>
      <c r="C8" s="107"/>
      <c r="D8" s="108" t="str">
        <f>'BP - INPUT'!F20</f>
        <v>0</v>
      </c>
      <c r="E8" s="108"/>
      <c r="F8" s="108"/>
      <c r="G8" s="119"/>
      <c r="H8" s="325"/>
      <c r="I8" s="112" t="s">
        <v>559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IF(NOT(M8=0),C21*D9,0)</f>
        <v>0</v>
      </c>
      <c r="O8" s="325"/>
    </row>
    <row r="9" spans="1:16">
      <c r="A9" s="112"/>
      <c r="B9" s="107" t="s">
        <v>560</v>
      </c>
      <c r="C9" s="107"/>
      <c r="D9" s="108" t="str">
        <f>'BP - INPUT'!F21</f>
        <v>0</v>
      </c>
      <c r="E9" s="108"/>
      <c r="F9" s="108"/>
      <c r="G9" s="119"/>
      <c r="H9" s="325"/>
      <c r="I9" s="112" t="s">
        <v>561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IF(NOT(M9=0),C21*D9,0)</f>
        <v>0</v>
      </c>
      <c r="O9" s="325"/>
    </row>
    <row r="10" spans="1:16">
      <c r="A10" s="112"/>
      <c r="B10" s="107" t="s">
        <v>9</v>
      </c>
      <c r="C10" s="107"/>
      <c r="D10" s="108" t="str">
        <f>'BP - INPUT'!F22</f>
        <v>0</v>
      </c>
      <c r="E10" s="108"/>
      <c r="F10" s="108"/>
      <c r="G10" s="119"/>
      <c r="H10" s="325"/>
      <c r="I10" s="112" t="s">
        <v>562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IF(NOT(M10=0),C21*D9,0)</f>
        <v>0</v>
      </c>
      <c r="O10" s="325"/>
    </row>
    <row r="11" spans="1:16">
      <c r="A11" s="112"/>
      <c r="B11" s="107" t="s">
        <v>12</v>
      </c>
      <c r="C11" s="107"/>
      <c r="D11" s="108" t="str">
        <f>'BP - INPUT'!F26</f>
        <v>0</v>
      </c>
      <c r="E11" s="108"/>
      <c r="F11" s="213" t="s">
        <v>7</v>
      </c>
      <c r="G11" s="119" t="str">
        <f>IF('BP - INPUT'!F27="","",'BP - INPUT'!F27)</f>
        <v>0</v>
      </c>
      <c r="H11" s="325"/>
      <c r="I11" s="112" t="s">
        <v>563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10</v>
      </c>
      <c r="C12" s="107"/>
      <c r="D12" s="108" t="str">
        <f>'BP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55</v>
      </c>
      <c r="C13" s="130"/>
      <c r="D13" s="143" t="str">
        <f>'BP - INPUT'!F24</f>
        <v>0</v>
      </c>
      <c r="E13" s="143"/>
      <c r="F13" s="143"/>
      <c r="G13" s="147"/>
      <c r="H13" s="325"/>
      <c r="I13" s="112" t="s">
        <v>564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IF(M13=0,0,C21*1*D9)</f>
        <v>0</v>
      </c>
      <c r="O13" s="325"/>
    </row>
    <row r="14" spans="1:16" customHeight="1" ht="13.5">
      <c r="A14" s="149" t="s">
        <v>565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302"/>
      <c r="B15" s="303"/>
      <c r="C15" s="303"/>
      <c r="D15" s="322"/>
      <c r="E15" s="322"/>
      <c r="F15" s="317" t="s">
        <v>85</v>
      </c>
      <c r="G15" s="318" t="s">
        <v>86</v>
      </c>
      <c r="H15" s="325"/>
      <c r="I15" s="115" t="s">
        <v>470</v>
      </c>
      <c r="J15" s="106"/>
      <c r="K15" s="106"/>
      <c r="L15" s="106"/>
      <c r="M15" s="106"/>
      <c r="N15" s="114"/>
      <c r="O15" s="325"/>
    </row>
    <row r="16" spans="1:16">
      <c r="A16" s="175" t="s">
        <v>15</v>
      </c>
      <c r="B16" s="152" t="str">
        <f>'BP - INPUT'!F35</f>
        <v>0</v>
      </c>
      <c r="C16" s="109"/>
      <c r="D16" s="229" t="s">
        <v>649</v>
      </c>
      <c r="E16" s="323"/>
      <c r="F16" s="306" t="str">
        <f>'BP - INPUT'!F36</f>
        <v>0</v>
      </c>
      <c r="G16" s="316" t="str">
        <f>'BP - INPUT'!F37</f>
        <v>0</v>
      </c>
      <c r="H16" s="325"/>
      <c r="I16" s="112" t="s">
        <v>561</v>
      </c>
      <c r="J16" s="107"/>
      <c r="K16" s="107"/>
      <c r="L16" s="107"/>
      <c r="M16" s="154" t="str">
        <f>IFERROR('Panel Details'!I11,0)</f>
        <v>0</v>
      </c>
      <c r="N16" s="174" t="str">
        <f>C21*D9</f>
        <v>0</v>
      </c>
      <c r="O16" s="325"/>
    </row>
    <row r="17" spans="1:16">
      <c r="A17" s="175" t="s">
        <v>567</v>
      </c>
      <c r="B17" s="108" t="str">
        <f>'BP - INPUT'!F33</f>
        <v>0</v>
      </c>
      <c r="C17" s="107"/>
      <c r="D17" s="229" t="s">
        <v>568</v>
      </c>
      <c r="E17" s="323"/>
      <c r="F17" s="306" t="str">
        <f>IFERROR('Opening BP'!B8,0)</f>
        <v>0</v>
      </c>
      <c r="G17" s="316" t="str">
        <f>IFERROR('Opening BP'!B9,0)</f>
        <v>0</v>
      </c>
      <c r="H17" s="325"/>
      <c r="I17" s="112" t="s">
        <v>562</v>
      </c>
      <c r="J17" s="107"/>
      <c r="K17" s="107"/>
      <c r="L17" s="107"/>
      <c r="M17" s="154" t="str">
        <f>IFERROR('Panel Details'!I11,0)</f>
        <v>0</v>
      </c>
      <c r="N17" s="174" t="str">
        <f>C21*D9</f>
        <v>0</v>
      </c>
      <c r="O17" s="325"/>
    </row>
    <row r="18" spans="1:16" customHeight="1" ht="13.5">
      <c r="A18" s="117"/>
      <c r="B18" s="118"/>
      <c r="C18" s="118"/>
      <c r="D18" s="230" t="s">
        <v>569</v>
      </c>
      <c r="E18" s="324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563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131</v>
      </c>
      <c r="B19" s="205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571</v>
      </c>
      <c r="B20" s="109"/>
      <c r="C20" s="407"/>
      <c r="D20" s="1233" t="str">
        <f>'BP - INPUT'!F39</f>
        <v>0</v>
      </c>
      <c r="E20" s="1222"/>
      <c r="F20" s="1222"/>
      <c r="G20" s="1223"/>
      <c r="H20" s="325"/>
      <c r="I20" s="112" t="s">
        <v>573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112</v>
      </c>
      <c r="B21" s="107"/>
      <c r="C21" s="323" t="str">
        <f>'BP - INPUT'!F40</f>
        <v>0</v>
      </c>
      <c r="D21" s="1234"/>
      <c r="E21" s="1235"/>
      <c r="F21" s="1235"/>
      <c r="G21" s="1236"/>
      <c r="H21" s="325"/>
      <c r="I21" s="112" t="s">
        <v>575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576</v>
      </c>
      <c r="B22" s="118"/>
      <c r="C22" s="118"/>
      <c r="D22" s="118" t="str">
        <f>IFERROR(VLOOKUP(D20,Stiles!O18:P34,2,FALSE),0)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577</v>
      </c>
      <c r="B23" s="205"/>
      <c r="C23" s="150"/>
      <c r="D23" s="150"/>
      <c r="E23" s="150"/>
      <c r="F23" s="150"/>
      <c r="G23" s="151"/>
      <c r="H23" s="325"/>
      <c r="I23" s="112" t="s">
        <v>580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2*C21*D9</f>
        <v>0</v>
      </c>
      <c r="O23" s="325"/>
    </row>
    <row r="24" spans="1:16">
      <c r="A24" s="144" t="s">
        <v>637</v>
      </c>
      <c r="B24" s="109"/>
      <c r="C24" s="407"/>
      <c r="D24" s="409" t="str">
        <f>IFERROR('Panel Details'!H53,0)</f>
        <v>0</v>
      </c>
      <c r="E24" s="142" t="s">
        <v>579</v>
      </c>
      <c r="F24" s="142"/>
      <c r="G24" s="408" t="str">
        <f>IFERROR(ROUND((76.2*(D24-1))+103.2+M18+46-26.5,0),0)</f>
        <v>0</v>
      </c>
      <c r="H24" s="325"/>
      <c r="I24" s="112" t="s">
        <v>580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IF(M24&gt;0,2*C21*D9,0)</f>
        <v>0</v>
      </c>
      <c r="O24" s="325"/>
    </row>
    <row r="25" spans="1:16">
      <c r="A25" s="112" t="s">
        <v>581</v>
      </c>
      <c r="B25" s="107"/>
      <c r="C25" s="162"/>
      <c r="D25" s="173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582</v>
      </c>
      <c r="B26" s="107"/>
      <c r="C26" s="108"/>
      <c r="D26" s="108" t="str">
        <f>'BP - INPUT'!F45</f>
        <v>0</v>
      </c>
      <c r="E26" s="108"/>
      <c r="F26" s="108"/>
      <c r="G26" s="119"/>
      <c r="H26" s="325"/>
      <c r="I26" s="115" t="s">
        <v>638</v>
      </c>
      <c r="J26" s="106"/>
      <c r="K26" s="106"/>
      <c r="L26" s="290" t="s">
        <v>639</v>
      </c>
      <c r="M26" s="290" t="s">
        <v>589</v>
      </c>
      <c r="N26" s="291" t="s">
        <v>8</v>
      </c>
      <c r="O26" s="325"/>
    </row>
    <row r="27" spans="1:16">
      <c r="A27" s="112" t="s">
        <v>583</v>
      </c>
      <c r="B27" s="107"/>
      <c r="C27" s="108"/>
      <c r="D27" s="108" t="str">
        <f>'BP - INPUT'!F46</f>
        <v>0</v>
      </c>
      <c r="E27" s="108"/>
      <c r="F27" s="108"/>
      <c r="G27" s="119"/>
      <c r="H27" s="325"/>
      <c r="I27" s="112" t="str">
        <f>IFERROR(VLOOKUP('BP - INPUT'!F29&amp;'BP - INPUT'!F30,'Tracks&amp;Frames'!J10:N20,3,FALSE),0)</f>
        <v>0</v>
      </c>
      <c r="J27" s="107"/>
      <c r="K27" s="107"/>
      <c r="L27" s="306" t="str">
        <f>IF(NOT(I27=0),VLOOKUP('BP - INPUT'!F30,'Tracks&amp;Frames'!I10:M20,3,FALSE),0)</f>
        <v>0</v>
      </c>
      <c r="M27" s="154" t="str">
        <f>IF(NOT(I27=0),'BP - INPUT'!F37+IF(AND('BP - INPUT'!F35="Window Size",'BP - INPUT'!F33="Outside Reveal"),'Opening BF'!E15,0),0)</f>
        <v>0</v>
      </c>
      <c r="N27" s="174" t="str">
        <f>IF(I27=0,0,D9)</f>
        <v>0</v>
      </c>
      <c r="O27" s="325"/>
    </row>
    <row r="28" spans="1:16">
      <c r="A28" s="112" t="s">
        <v>585</v>
      </c>
      <c r="B28" s="107"/>
      <c r="C28" s="146"/>
      <c r="D28" s="146" t="str">
        <f>IFERROR(IF(D27="At Centre",G17/2,IF(D27="Custom",'BP - INPUT'!F47,VLOOKUP(D27,Hardware!B16:K17,10,FALSE))),0)</f>
        <v>0</v>
      </c>
      <c r="E28" s="146"/>
      <c r="F28" s="146"/>
      <c r="G28" s="119"/>
      <c r="H28" s="325"/>
      <c r="I28" s="112" t="str">
        <f>IFERROR(VLOOKUP('BP - INPUT'!F29&amp;'BP - INPUT'!F30,'Tracks&amp;Frames'!J10:N20,5,FALSE),0)</f>
        <v>0</v>
      </c>
      <c r="J28" s="107"/>
      <c r="K28" s="107"/>
      <c r="L28" s="306" t="str">
        <f>IF(NOT(I28=0),VLOOKUP('BP - INPUT'!F30,'Tracks&amp;Frames'!I10:M20,5,FALSE),0)</f>
        <v>0</v>
      </c>
      <c r="M28" s="154" t="str">
        <f>IF(NOT(I28=0),'BP - INPUT'!F37+IF(AND('BP - INPUT'!F35="Window Size",'BP - INPUT'!F33="Outside Reveal"),'Opening BF'!E15,0),0)</f>
        <v>0</v>
      </c>
      <c r="N28" s="174" t="str">
        <f>IF(I28=0,0,D9)</f>
        <v>0</v>
      </c>
      <c r="O28" s="325"/>
    </row>
    <row r="29" spans="1:16">
      <c r="A29" s="112" t="s">
        <v>586</v>
      </c>
      <c r="B29" s="107"/>
      <c r="C29" s="146"/>
      <c r="D29" s="146" t="str">
        <f>'BP - INPUT'!Y2</f>
        <v>0</v>
      </c>
      <c r="E29" s="146"/>
      <c r="F29" s="146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587</v>
      </c>
      <c r="B30" s="118"/>
      <c r="C30" s="158"/>
      <c r="D30" s="158" t="str">
        <f>IF('BP - INPUT'!F50="N/A","N/A",IF('BP - INPUT'!F50="Custom",'BP - INPUT'!F51,'BP - INPUT'!F50))</f>
        <v>0</v>
      </c>
      <c r="E30" s="158"/>
      <c r="F30" s="158"/>
      <c r="G30" s="400" t="str">
        <f>IFERROR(VLOOKUP('BP - INPUT'!F50,'Panel Details'!D71:J75,7,FALSE),0)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523</v>
      </c>
      <c r="J31" s="308"/>
      <c r="K31" s="308"/>
      <c r="L31" s="290" t="s">
        <v>640</v>
      </c>
      <c r="M31" s="290" t="s">
        <v>589</v>
      </c>
      <c r="N31" s="291" t="s">
        <v>8</v>
      </c>
      <c r="O31" s="325"/>
    </row>
    <row r="32" spans="1:16" customHeight="1" ht="13.5">
      <c r="A32" s="149" t="s">
        <v>487</v>
      </c>
      <c r="B32" s="205"/>
      <c r="C32" s="150"/>
      <c r="D32" s="153"/>
      <c r="E32" s="106"/>
      <c r="F32" s="106"/>
      <c r="G32" s="106"/>
      <c r="H32" s="325"/>
      <c r="I32" s="129" t="str">
        <f>'BP - INPUT'!F55</f>
        <v>0</v>
      </c>
      <c r="J32" s="130"/>
      <c r="K32" s="292"/>
      <c r="L32" s="306" t="str">
        <f>IF(NOT(I27="N/A"),'BP - INPUT'!F30,"N/A")</f>
        <v>0</v>
      </c>
      <c r="M32" s="154" t="str">
        <f>'BP - INPUT'!F56</f>
        <v>0</v>
      </c>
      <c r="N32" s="174" t="str">
        <f>'BP - INPUT'!F57*D9</f>
        <v>0</v>
      </c>
      <c r="O32" s="325"/>
    </row>
    <row r="33" spans="1:16" customHeight="1" ht="13.5">
      <c r="A33" s="172" t="s">
        <v>650</v>
      </c>
      <c r="B33" s="232"/>
      <c r="C33" s="156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593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IF('BP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595</v>
      </c>
      <c r="B35" s="107"/>
      <c r="C35" s="107"/>
      <c r="D35" s="165" t="str">
        <f>IFERROR(ROUNDUP(VLOOKUP(I32&amp;I34,'Tracks&amp;Frames'!C69:D76,2,FALSE)*N32*IF(G5="Dealer",1.2,1),0),0)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596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28</v>
      </c>
      <c r="J36" s="308"/>
      <c r="K36" s="308"/>
      <c r="L36" s="290" t="s">
        <v>641</v>
      </c>
      <c r="M36" s="290"/>
      <c r="N36" s="291"/>
      <c r="O36" s="325"/>
    </row>
    <row r="37" spans="1:16" customHeight="1" ht="13.5">
      <c r="A37" s="112" t="s">
        <v>597</v>
      </c>
      <c r="B37" s="107"/>
      <c r="C37" s="107"/>
      <c r="D37" s="165" t="str">
        <f>IFERROR(ROUNDUP(IF(NOT('BP - INPUT'!F29="None"),G17/750*VLOOKUP('BP - INPUT'!F30,'Tracks&amp;Frames'!A21:B23,2,FALSE)*D9,0)*IF(G5="Dealer",1.2,1),0),0)</f>
        <v>0</v>
      </c>
      <c r="E37" s="325"/>
      <c r="F37" s="325"/>
      <c r="G37" s="326"/>
      <c r="H37" s="325"/>
      <c r="I37" s="117" t="str">
        <f>'BP - INPUT'!F53</f>
        <v>0</v>
      </c>
      <c r="J37" s="230"/>
      <c r="K37" s="231"/>
      <c r="L37" s="167" t="str">
        <f>IF('BP - INPUT'!F54="Natural Anodised","Nat.Ano",IF('BP - INPUT'!F54="Satin White","S.White",IF('BP - INPUT'!F54="Non-Standard","Custom",'BP - INPUT'!F54)))</f>
        <v>0</v>
      </c>
      <c r="M37" s="167" t="str">
        <f>'BP - INPUT'!F56</f>
        <v>0</v>
      </c>
      <c r="N37" s="176" t="str">
        <f>'BP - INPUT'!F57*D9</f>
        <v>0</v>
      </c>
      <c r="O37" s="325"/>
    </row>
    <row r="38" spans="1:16" customHeight="1" ht="13.5">
      <c r="A38" s="112" t="s">
        <v>598</v>
      </c>
      <c r="B38" s="107"/>
      <c r="C38" s="107"/>
      <c r="D38" s="165" t="str">
        <f>IF(D58&gt;0,ROUNDUP((M32*N32)/500+3,0),0)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96"/>
    </row>
    <row r="39" spans="1:16" customHeight="1" ht="13.5">
      <c r="A39" s="112" t="s">
        <v>600</v>
      </c>
      <c r="B39" s="107"/>
      <c r="C39" s="107"/>
      <c r="D39" s="385"/>
      <c r="E39" s="325"/>
      <c r="F39" s="325"/>
      <c r="G39" s="326"/>
      <c r="H39" s="106"/>
      <c r="I39" s="149" t="s">
        <v>486</v>
      </c>
      <c r="J39" s="150"/>
      <c r="K39" s="150"/>
      <c r="L39" s="150"/>
      <c r="M39" s="150"/>
      <c r="N39" s="153"/>
      <c r="O39" s="325"/>
    </row>
    <row r="40" spans="1:16">
      <c r="A40" s="112" t="s">
        <v>601</v>
      </c>
      <c r="B40" s="107"/>
      <c r="C40" s="107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467</v>
      </c>
      <c r="N40" s="328" t="s">
        <v>468</v>
      </c>
      <c r="O40" s="325"/>
    </row>
    <row r="41" spans="1:16">
      <c r="A41" s="113" t="s">
        <v>602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605</v>
      </c>
      <c r="J41" s="107"/>
      <c r="K41" s="107"/>
      <c r="L41" s="107"/>
      <c r="M41" s="306" t="str">
        <f>IFERROR(VLOOKUP(D20,Hardware!B96:N112,13,FALSE)*D9*2,0)</f>
        <v>0</v>
      </c>
      <c r="N41" s="316">
        <v>0</v>
      </c>
      <c r="O41" s="325"/>
    </row>
    <row r="42" spans="1:16">
      <c r="A42" s="112" t="s">
        <v>603</v>
      </c>
      <c r="B42" s="107"/>
      <c r="C42" s="107"/>
      <c r="D42" s="165" t="str">
        <f>D37+D35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37</v>
      </c>
      <c r="N42" s="291" t="s">
        <v>8</v>
      </c>
      <c r="O42" s="325"/>
    </row>
    <row r="43" spans="1:16" customHeight="1" ht="13.5">
      <c r="A43" s="117" t="s">
        <v>604</v>
      </c>
      <c r="B43" s="118"/>
      <c r="C43" s="118"/>
      <c r="D43" s="168" t="str">
        <f>ROUNDUP((IF(D58&gt;0,('BP - MO'!M32*'BP - MO'!N32)/500+1,0)+IFERROR(SEARCH("liner",'BP - INPUT'!F29),0)*D37)*IF(G5="Dealer",1.1,1),0)</f>
        <v>0</v>
      </c>
      <c r="E43" s="325"/>
      <c r="F43" s="325"/>
      <c r="G43" s="326"/>
      <c r="H43" s="106"/>
      <c r="I43" s="112" t="s">
        <v>491</v>
      </c>
      <c r="J43" s="107"/>
      <c r="K43" s="107"/>
      <c r="L43" s="107"/>
      <c r="M43" s="332"/>
      <c r="N43" s="116" t="str">
        <f>IFERROR(VLOOKUP(D20,Hardware!B96:F112,5,FALSE)*D9,0)</f>
        <v>0</v>
      </c>
      <c r="O43" s="325"/>
    </row>
    <row r="44" spans="1:16">
      <c r="A44" s="115" t="s">
        <v>606</v>
      </c>
      <c r="B44" s="106"/>
      <c r="C44" s="106"/>
      <c r="D44" s="384"/>
      <c r="E44" s="106"/>
      <c r="F44" s="106"/>
      <c r="G44" s="142"/>
      <c r="H44" s="106"/>
      <c r="I44" s="144" t="s">
        <v>609</v>
      </c>
      <c r="J44" s="109"/>
      <c r="K44" s="109"/>
      <c r="L44" s="154" t="s">
        <v>610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607</v>
      </c>
      <c r="B45" s="107"/>
      <c r="C45" s="162"/>
      <c r="D45" s="385"/>
      <c r="E45" s="106"/>
      <c r="F45" s="106"/>
      <c r="G45" s="142"/>
      <c r="H45" s="106"/>
      <c r="I45" s="175" t="s">
        <v>609</v>
      </c>
      <c r="J45" s="154"/>
      <c r="K45" s="154"/>
      <c r="L45" s="154" t="s">
        <v>612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608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55</v>
      </c>
      <c r="N46" s="291" t="s">
        <v>8</v>
      </c>
      <c r="O46" s="325"/>
    </row>
    <row r="47" spans="1:16" customHeight="1" ht="13.5">
      <c r="A47" s="117" t="s">
        <v>611</v>
      </c>
      <c r="B47" s="118"/>
      <c r="C47" s="231"/>
      <c r="D47" s="578">
        <v>0</v>
      </c>
      <c r="E47" s="106"/>
      <c r="F47" s="106"/>
      <c r="G47" s="142"/>
      <c r="H47" s="106"/>
      <c r="I47" s="117" t="s">
        <v>27</v>
      </c>
      <c r="J47" s="118"/>
      <c r="K47" s="118"/>
      <c r="L47" s="231"/>
      <c r="M47" s="231" t="str">
        <f>IF(N47=0,0,IF('BP - INPUT'!F48="no",0,IF('BP - INPUT'!F48="Yes, brushed nickel","Nickel","White")))</f>
        <v>0</v>
      </c>
      <c r="N47" s="176" t="str">
        <f>IF('BP - INPUT'!F48="No",0,N43)</f>
        <v>0</v>
      </c>
      <c r="O47" s="325"/>
    </row>
    <row r="48" spans="1:16" customHeight="1" ht="13.5">
      <c r="A48" s="115" t="s">
        <v>613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">
        <v>502</v>
      </c>
      <c r="B49" s="303"/>
      <c r="C49" s="579"/>
      <c r="D49" s="576" t="str">
        <f>IFERROR(VLOOKUP(D20,Hardware!B96:Q112,8,FALSE)*D9,0)</f>
        <v>0</v>
      </c>
      <c r="E49" s="325"/>
      <c r="F49" s="325"/>
      <c r="G49" s="326"/>
      <c r="H49" s="106"/>
      <c r="I49" s="171" t="s">
        <v>651</v>
      </c>
      <c r="J49" s="169"/>
      <c r="K49" s="169"/>
      <c r="L49" s="169"/>
      <c r="M49" s="169"/>
      <c r="N49" s="170"/>
      <c r="O49" s="325"/>
    </row>
    <row r="50" spans="1:16">
      <c r="A50" s="112" t="s">
        <v>503</v>
      </c>
      <c r="B50" s="107"/>
      <c r="C50" s="162"/>
      <c r="D50" s="385"/>
      <c r="E50" s="325"/>
      <c r="F50" s="325"/>
      <c r="G50" s="326"/>
      <c r="H50" s="106"/>
      <c r="I50" s="1221" t="str">
        <f>IF('BP - INPUT'!F71="","",'BP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504</v>
      </c>
      <c r="B51" s="107"/>
      <c r="C51" s="162"/>
      <c r="D51" s="385"/>
      <c r="E51" s="325"/>
      <c r="F51" s="325"/>
      <c r="G51" s="326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505</v>
      </c>
      <c r="B52" s="107"/>
      <c r="C52" s="162"/>
      <c r="D52" s="165" t="str">
        <f>IFERROR(VLOOKUP(D20,Hardware!B96:Q112,9,FALSE)*D9,0)</f>
        <v>0</v>
      </c>
      <c r="E52" s="325"/>
      <c r="F52" s="325"/>
      <c r="G52" s="326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498</v>
      </c>
      <c r="B53" s="107"/>
      <c r="C53" s="162"/>
      <c r="D53" s="165" t="str">
        <f>IFERROR(VLOOKUP(D20,Hardware!B96:Q112,10,FALSE)*D9,0)</f>
        <v>0</v>
      </c>
      <c r="E53" s="325"/>
      <c r="F53" s="325"/>
      <c r="G53" s="326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510</v>
      </c>
      <c r="B54" s="130"/>
      <c r="C54" s="292"/>
      <c r="D54" s="588" t="str">
        <f>IFERROR(VLOOKUP(D20,Hardware!B96:Q112,11,FALSE)*D9,0)</f>
        <v>0</v>
      </c>
      <c r="E54" s="325"/>
      <c r="F54" s="325"/>
      <c r="G54" s="326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614</v>
      </c>
      <c r="B55" s="118"/>
      <c r="C55" s="231"/>
      <c r="D55" s="168" t="str">
        <f>IFERROR(VLOOKUP(D20,Hardware!B96:Q112,12,FALSE)*D9,0)</f>
        <v>0</v>
      </c>
      <c r="E55" s="325"/>
      <c r="F55" s="325"/>
      <c r="G55" s="326"/>
      <c r="H55" s="106"/>
      <c r="I55" s="1227" t="s">
        <v>618</v>
      </c>
      <c r="J55" s="1228"/>
      <c r="K55" s="1229"/>
      <c r="L55" s="211"/>
      <c r="M55" s="156"/>
      <c r="N55" s="157"/>
      <c r="O55" s="325"/>
    </row>
    <row r="56" spans="1:16" customHeight="1" ht="13.5">
      <c r="A56" s="325"/>
      <c r="B56" s="325"/>
      <c r="C56" s="325"/>
      <c r="D56" s="325"/>
      <c r="E56" s="325"/>
      <c r="F56" s="325"/>
      <c r="G56" s="326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615</v>
      </c>
      <c r="B57" s="403" t="s">
        <v>616</v>
      </c>
      <c r="C57" s="386" t="s">
        <v>549</v>
      </c>
      <c r="D57" s="386" t="s">
        <v>8</v>
      </c>
      <c r="E57" s="386" t="s">
        <v>617</v>
      </c>
      <c r="F57" s="386" t="s">
        <v>85</v>
      </c>
      <c r="G57" s="387" t="s">
        <v>37</v>
      </c>
      <c r="H57" s="106"/>
      <c r="I57" s="325"/>
      <c r="J57" s="325"/>
      <c r="K57" s="325"/>
      <c r="L57" s="325"/>
      <c r="M57" s="325"/>
      <c r="N57" s="325"/>
      <c r="O57" s="325"/>
    </row>
    <row r="58" spans="1:16">
      <c r="A58" s="410" t="s">
        <v>642</v>
      </c>
      <c r="B58" s="313" t="str">
        <f>$D$12</f>
        <v>0</v>
      </c>
      <c r="C58" s="411"/>
      <c r="D58" s="313" t="str">
        <f>IF('BP - INPUT'!F59="N/A",0,1*D9)</f>
        <v>0</v>
      </c>
      <c r="E58" s="313" t="str">
        <f>IF(D58&gt;0,19,0)</f>
        <v>0</v>
      </c>
      <c r="F58" s="313" t="str">
        <f>IF('BP - INPUT'!F59="Header - 19 x custom",'BP - INPUT'!F60,IF('BP - INPUT'!F59="N/A",0,LEFT(RIGHT('BP - INPUT'!F59,5),3)))</f>
        <v>0</v>
      </c>
      <c r="G58" s="412" t="str">
        <f>IF('BP - INPUT'!F59="N/A",0,'BP - INPUT'!F56)</f>
        <v>0</v>
      </c>
      <c r="H58" s="325"/>
      <c r="I58" s="325"/>
      <c r="J58" s="325"/>
      <c r="K58" s="325"/>
      <c r="L58" s="325"/>
      <c r="M58" s="325"/>
      <c r="N58" s="325"/>
      <c r="O58" s="325"/>
    </row>
    <row r="59" spans="1:16">
      <c r="A59" s="164" t="s">
        <v>643</v>
      </c>
      <c r="B59" s="306" t="str">
        <f>$D$12</f>
        <v>0</v>
      </c>
      <c r="C59" s="395"/>
      <c r="D59" s="306" t="str">
        <f>IF('BP - INPUT'!F64="N/A",0,'BP - INPUT'!F67)*D9</f>
        <v>0</v>
      </c>
      <c r="E59" s="306" t="str">
        <f>IF(D59&gt;0,12,0)</f>
        <v>0</v>
      </c>
      <c r="F59" s="306" t="str">
        <f>IFERROR(IF(VLOOKUP('BP - INPUT'!F64,'Tracks&amp;Frames'!A53:B56,2,FALSE)="Custom",'BP - INPUT'!F65,VLOOKUP('BP - INPUT'!F64,'Tracks&amp;Frames'!A53:B56,2,FALSE)),0)</f>
        <v>0</v>
      </c>
      <c r="G59" s="316" t="str">
        <f>IF(D59&gt;0,'BP - INPUT'!F66,0)</f>
        <v>0</v>
      </c>
      <c r="H59" s="325"/>
      <c r="I59" s="326"/>
      <c r="J59" s="326"/>
      <c r="K59" s="326"/>
      <c r="L59" s="326"/>
      <c r="M59" s="326"/>
      <c r="N59" s="326"/>
      <c r="O59" s="325"/>
    </row>
    <row r="60" spans="1:16">
      <c r="A60" s="164" t="s">
        <v>644</v>
      </c>
      <c r="B60" s="306" t="str">
        <f>$D$12</f>
        <v>0</v>
      </c>
      <c r="C60" s="306" t="str">
        <f>'BP - INPUT'!F68</f>
        <v>0</v>
      </c>
      <c r="D60" s="306" t="str">
        <f>IF('BP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IF(C60="N/A",0,'BP - INPUT'!F69)</f>
        <v>0</v>
      </c>
      <c r="H60" s="325"/>
      <c r="I60" s="326"/>
      <c r="J60" s="326"/>
      <c r="K60" s="326"/>
      <c r="L60" s="326"/>
      <c r="M60" s="326"/>
      <c r="N60" s="326"/>
      <c r="O60" s="325"/>
    </row>
    <row r="61" spans="1:16">
      <c r="A61" s="164" t="s">
        <v>645</v>
      </c>
      <c r="B61" s="306" t="str">
        <f>$D$12</f>
        <v>0</v>
      </c>
      <c r="C61" s="306" t="str">
        <f>IF(OR('BP - INPUT'!F29='Tracks&amp;Frames'!A10,'BP - INPUT'!F29='Tracks&amp;Frames'!A11),"",'BP - INPUT'!F30)</f>
        <v>0</v>
      </c>
      <c r="D61" s="306" t="str">
        <f>IF(C61="N/A",0,LEN(C61)*D9)</f>
        <v>0</v>
      </c>
      <c r="E61" s="306" t="str">
        <f>IFERROR(VLOOKUP('BP - INPUT'!F29,'Tracks&amp;Frames'!A9:E17,4,FALSE),0)</f>
        <v>0</v>
      </c>
      <c r="F61" s="306" t="str">
        <f>IFERROR(IF('BP - INPUT'!F31&gt;0,'BP - INPUT'!F31,VLOOKUP('BP - INPUT'!F29,'Tracks&amp;Frames'!A9:E17,5,FALSE)),0)</f>
        <v>0</v>
      </c>
      <c r="G61" s="316" t="str">
        <f>IF(AND(I27=0,NOT('BP - INPUT'!F29="none")),'BP - INPUT'!F37+IF(AND('BP - INPUT'!F35="Window Size",'BP - INPUT'!F33="Outside Reveal"),'Opening BP'!E14,0),0)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>
      <c r="A62" s="164" t="s">
        <v>619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619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619</v>
      </c>
      <c r="B64" s="186"/>
      <c r="C64" s="399"/>
      <c r="D64" s="186"/>
      <c r="E64" s="186"/>
      <c r="F64" s="186"/>
      <c r="G64" s="400"/>
      <c r="H64" s="325"/>
      <c r="I64" s="325"/>
      <c r="J64" s="325"/>
      <c r="K64" s="325"/>
      <c r="L64" s="325"/>
      <c r="M64" s="325"/>
      <c r="N64" s="325"/>
      <c r="O64" s="325"/>
    </row>
    <row r="65" spans="1:16" customHeight="1" ht="12.75">
      <c r="A65" s="325"/>
      <c r="B65" s="325"/>
      <c r="C65" s="325"/>
      <c r="D65" s="325"/>
      <c r="E65" s="325"/>
      <c r="F65" s="325"/>
      <c r="G65" s="326"/>
      <c r="H65" s="325"/>
      <c r="I65" s="325"/>
      <c r="J65" s="325"/>
      <c r="K65" s="325"/>
      <c r="L65" s="325"/>
      <c r="M65" s="325"/>
      <c r="N65" s="325"/>
      <c r="O65" s="325"/>
    </row>
    <row r="67" spans="1:16">
      <c r="A67" s="298" t="s">
        <v>620</v>
      </c>
    </row>
    <row r="68" spans="1:16">
      <c r="A68" s="299" t="s">
        <v>621</v>
      </c>
      <c r="B68" s="300"/>
      <c r="C68" s="300"/>
      <c r="D68" s="300"/>
      <c r="E68" s="300"/>
      <c r="F68" s="331" t="str">
        <f>SUM(N8)*4*2+SUM(N9+N16)*4*2+SUM(N10+N17)*2*2+SUM(N13)*4*2</f>
        <v>0</v>
      </c>
    </row>
    <row r="69" spans="1:16">
      <c r="A69" s="299" t="s">
        <v>622</v>
      </c>
      <c r="B69" s="300"/>
      <c r="C69" s="300"/>
      <c r="D69" s="300"/>
      <c r="E69" s="300"/>
      <c r="F69" s="331" t="str">
        <f>$N$5*2</f>
        <v>0</v>
      </c>
    </row>
    <row r="70" spans="1:16">
      <c r="A70" s="299" t="s">
        <v>623</v>
      </c>
      <c r="B70" s="300"/>
      <c r="C70" s="300"/>
      <c r="D70" s="300"/>
      <c r="E70" s="300"/>
      <c r="F70" s="331" t="str">
        <f>N43*2</f>
        <v>0</v>
      </c>
    </row>
    <row r="71" spans="1:16">
      <c r="A71" s="299" t="s">
        <v>516</v>
      </c>
      <c r="B71" s="300"/>
      <c r="C71" s="300"/>
      <c r="D71" s="300"/>
      <c r="E71" s="300"/>
      <c r="F71" s="331" t="str">
        <f>F74</f>
        <v>0</v>
      </c>
    </row>
    <row r="72" spans="1:16">
      <c r="A72" s="299" t="s">
        <v>497</v>
      </c>
      <c r="B72" s="300"/>
      <c r="C72" s="300"/>
      <c r="D72" s="300"/>
      <c r="E72" s="300"/>
      <c r="F72" s="331" t="str">
        <f>M41*4+N41*4+F85</f>
        <v>0</v>
      </c>
    </row>
    <row r="73" spans="1:16">
      <c r="A73" s="299" t="s">
        <v>624</v>
      </c>
      <c r="B73" s="300"/>
      <c r="C73" s="300"/>
      <c r="D73" s="300"/>
      <c r="E73" s="300"/>
      <c r="F73" s="331" t="str">
        <f>N43*2</f>
        <v>0</v>
      </c>
    </row>
    <row r="74" spans="1:16">
      <c r="A74" s="299" t="s">
        <v>492</v>
      </c>
      <c r="B74" s="300"/>
      <c r="C74" s="300"/>
      <c r="D74" s="300"/>
      <c r="E74" s="300"/>
      <c r="F74" s="331" t="str">
        <f>IFERROR(VLOOKUP(D20,Hardware!B96:H112,6,FALSE),0)</f>
        <v>0</v>
      </c>
    </row>
    <row r="75" spans="1:16">
      <c r="A75" s="299" t="s">
        <v>625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626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627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493</v>
      </c>
      <c r="B78" s="300"/>
      <c r="C78" s="300"/>
      <c r="D78" s="300"/>
      <c r="E78" s="300"/>
      <c r="F78" s="331" t="str">
        <f>IFERROR(VLOOKUP(D20,Hardware!B96:H112,7,FALSE),0)</f>
        <v>0</v>
      </c>
    </row>
    <row r="79" spans="1:16">
      <c r="A79" s="299" t="s">
        <v>628</v>
      </c>
      <c r="B79" s="300"/>
      <c r="C79" s="300"/>
      <c r="D79" s="300"/>
      <c r="E79" s="329"/>
      <c r="F79" s="331" t="str">
        <f>N43*2</f>
        <v>0</v>
      </c>
    </row>
    <row r="80" spans="1:16">
      <c r="A80" s="299" t="s">
        <v>629</v>
      </c>
      <c r="B80" s="300"/>
      <c r="C80" s="300"/>
      <c r="D80" s="300"/>
      <c r="E80" s="329"/>
      <c r="F80" s="331" t="str">
        <f>(N23+N24)*2</f>
        <v>0</v>
      </c>
    </row>
    <row r="81" spans="1:16">
      <c r="A81" s="299" t="s">
        <v>630</v>
      </c>
      <c r="B81" s="300"/>
      <c r="C81" s="300"/>
      <c r="D81" s="300"/>
      <c r="E81" s="329"/>
      <c r="F81" s="331"/>
    </row>
    <row r="82" spans="1:16">
      <c r="A82" s="299" t="s">
        <v>631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632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633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634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647</v>
      </c>
    </row>
    <row r="88" spans="1:16">
      <c r="A88" s="330" t="s">
        <v>511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496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512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492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493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498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513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514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515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516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517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518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519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20:G21"/>
    <mergeCell ref="D1:F2"/>
    <mergeCell ref="I50:N53"/>
    <mergeCell ref="I55:K56"/>
  </mergeCells>
  <conditionalFormatting sqref="D12">
    <cfRule type="containsText" dxfId="17" priority="1" operator="containsText" text="External">
      <formula>NOT(ISERROR(SEARCH("External",D12)))</formula>
    </cfRule>
  </conditionalFormatting>
  <conditionalFormatting sqref="D13">
    <cfRule type="containsText" dxfId="20" priority="2" operator="containsText" text="Non-Standard">
      <formula>NOT(ISERROR(SEARCH("Non-Standard",D13)))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1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109"/>
  <sheetViews>
    <sheetView tabSelected="0" workbookViewId="0" showGridLines="true" showRowColHeaders="1">
      <pane ySplit="22" topLeftCell="A23" activePane="bottomLeft" state="frozen"/>
      <selection pane="bottomLeft" activeCell="A23" sqref="A23"/>
    </sheetView>
  </sheetViews>
  <sheetFormatPr defaultRowHeight="14.4" outlineLevelRow="0" outlineLevelCol="0"/>
  <cols>
    <col min="1" max="1" width="25.33203125" customWidth="true" style="0"/>
    <col min="2" max="2" width="25.33203125" customWidth="true" style="0"/>
    <col min="3" max="3" width="22" customWidth="true" style="0"/>
    <col min="4" max="4" width="36" customWidth="true" style="0"/>
    <col min="5" max="5" width="11" customWidth="true" style="9"/>
    <col min="6" max="6" width="12.33203125" hidden="true" customWidth="true" style="0"/>
    <col min="7" max="7" width="13.6640625" hidden="true" customWidth="true" style="0"/>
    <col min="8" max="8" width="12" hidden="true" customWidth="true" style="0"/>
    <col min="9" max="9" width="11.33203125" hidden="true" customWidth="true" style="0"/>
    <col min="10" max="10" width="8.1640625" hidden="true" customWidth="true" style="0"/>
    <col min="11" max="11" width="15.6640625" customWidth="true" style="0"/>
  </cols>
  <sheetData>
    <row r="1" spans="1:13" hidden="true">
      <c r="F1" s="239" t="s">
        <v>652</v>
      </c>
      <c r="G1" s="21"/>
      <c r="H1" s="21"/>
      <c r="I1" s="240">
        <v>13.75</v>
      </c>
      <c r="J1" s="594">
        <v>43011</v>
      </c>
    </row>
    <row r="2" spans="1:13" hidden="true">
      <c r="F2" s="239" t="s">
        <v>653</v>
      </c>
      <c r="G2" s="21"/>
      <c r="H2" s="21"/>
      <c r="I2" s="240">
        <v>16.5</v>
      </c>
      <c r="J2" s="594">
        <v>43011</v>
      </c>
    </row>
    <row r="3" spans="1:13" hidden="true">
      <c r="F3" s="239" t="s">
        <v>654</v>
      </c>
      <c r="G3" s="21"/>
      <c r="H3" s="21"/>
      <c r="I3" s="241">
        <v>3096</v>
      </c>
      <c r="J3" s="594">
        <v>43011</v>
      </c>
    </row>
    <row r="4" spans="1:13" hidden="true">
      <c r="F4" s="239" t="s">
        <v>654</v>
      </c>
      <c r="G4" s="21"/>
      <c r="H4" s="21"/>
      <c r="I4" s="241">
        <v>6497</v>
      </c>
      <c r="J4" s="594">
        <v>43011</v>
      </c>
    </row>
    <row r="5" spans="1:13" hidden="true">
      <c r="F5" s="239" t="s">
        <v>655</v>
      </c>
      <c r="G5" s="243" t="s">
        <v>656</v>
      </c>
      <c r="H5" s="21"/>
      <c r="I5" s="242">
        <v>0.2</v>
      </c>
      <c r="K5" s="1"/>
    </row>
    <row r="6" spans="1:13" hidden="true">
      <c r="F6" s="239" t="s">
        <v>655</v>
      </c>
      <c r="G6" s="243" t="s">
        <v>657</v>
      </c>
      <c r="H6" s="21"/>
      <c r="I6" s="242">
        <v>0.05</v>
      </c>
      <c r="K6" s="1"/>
    </row>
    <row r="7" spans="1:13" hidden="true">
      <c r="K7" s="1"/>
    </row>
    <row r="8" spans="1:13" customHeight="1" ht="12.75" hidden="true">
      <c r="K8" s="1"/>
    </row>
    <row r="9" spans="1:13">
      <c r="A9" s="198" t="s">
        <v>658</v>
      </c>
      <c r="B9" s="233" t="str">
        <f>IF('H - INPUT'!F21&gt;0,'H - INPUT'!E11,IF('BF - INPUT'!F21&gt;0,'BF - INPUT'!E11,IF('BP - INPUT'!F21&gt;0,'BP - INPUT'!E11,0)))</f>
        <v>0</v>
      </c>
      <c r="F9" s="21" t="s">
        <v>557</v>
      </c>
      <c r="G9" s="21"/>
      <c r="H9" s="21"/>
      <c r="I9" s="244" t="str">
        <f>SUMIF($B$23:$I$108,F9,$I$23:$I$108)</f>
        <v>0</v>
      </c>
      <c r="K9" s="9"/>
    </row>
    <row r="10" spans="1:13">
      <c r="A10" s="196" t="s">
        <v>1</v>
      </c>
      <c r="B10" s="234" t="str">
        <f>IF($B$9="Hinged",'H - INPUT'!F18,IF($B$9="Bi-Fold",'BF - INPUT'!F18,IF($B$9="By-Pass",'BP - INPUT'!F18,0)))</f>
        <v>0</v>
      </c>
      <c r="F10" s="21" t="s">
        <v>659</v>
      </c>
      <c r="G10" s="21"/>
      <c r="H10" s="21"/>
      <c r="I10" s="244" t="str">
        <f>SUMIF($B$23:$I$108,F10,$I$23:$I$108)</f>
        <v>0</v>
      </c>
      <c r="K10" s="9"/>
    </row>
    <row r="11" spans="1:13">
      <c r="A11" s="196" t="s">
        <v>5</v>
      </c>
      <c r="B11" s="234" t="str">
        <f>IF($B$9="Hinged",'H - INPUT'!F19,IF($B$9="Bi-Fold",'BF - INPUT'!F19,IF($B$9="By-Pass",'BP - INPUT'!F19,0)))</f>
        <v>0</v>
      </c>
      <c r="F11" s="21" t="s">
        <v>660</v>
      </c>
      <c r="G11" s="21"/>
      <c r="H11" s="21"/>
      <c r="I11" s="244" t="str">
        <f>SUMIF($B$23:$I$108,F11,$I$23:$I$108)</f>
        <v>0</v>
      </c>
      <c r="K11" s="9"/>
    </row>
    <row r="12" spans="1:13">
      <c r="A12" s="196" t="s">
        <v>53</v>
      </c>
      <c r="B12" s="234" t="str">
        <f>IF($B$9="Hinged",'H - INPUT'!F20,IF($B$9="Bi-Fold",'BF - INPUT'!F20,IF($B$9="By-Pass",'BP - INPUT'!F20,0)))</f>
        <v>0</v>
      </c>
      <c r="F12" s="21" t="s">
        <v>661</v>
      </c>
      <c r="G12" s="21"/>
      <c r="H12" s="21"/>
      <c r="I12" s="244" t="str">
        <f>SUMIF($B$23:$I$108,F12,$I$23:$I$108)</f>
        <v>0</v>
      </c>
      <c r="K12" s="9"/>
    </row>
    <row r="13" spans="1:13">
      <c r="A13" s="196" t="s">
        <v>74</v>
      </c>
      <c r="B13" s="234" t="str">
        <f>IF($B$9="Hinged",'H - MO'!F16,IF($B$9="Bi-Fold",'BF - MO'!F16,IF($B$9="By-Pass",'BP - MO'!F16,0)))</f>
        <v>0</v>
      </c>
      <c r="F13" s="21" t="s">
        <v>615</v>
      </c>
      <c r="G13" s="21"/>
      <c r="H13" s="21"/>
      <c r="I13" s="244" t="str">
        <f>SUMIF($B$23:$I$108,F13,$I$23:$I$108)</f>
        <v>0</v>
      </c>
      <c r="K13" s="1"/>
    </row>
    <row r="14" spans="1:13">
      <c r="A14" s="196" t="s">
        <v>75</v>
      </c>
      <c r="B14" s="234" t="str">
        <f>IF($B$9="Hinged",'H - MO'!G16,IF($B$9="Bi-Fold",'BF - MO'!G16,IF($B$9="By-Pass",'BP - MO'!G16,0)))</f>
        <v>0</v>
      </c>
      <c r="F14" s="21"/>
      <c r="G14" s="21"/>
      <c r="H14" s="21"/>
      <c r="I14" s="245"/>
      <c r="K14" s="1"/>
    </row>
    <row r="15" spans="1:13">
      <c r="A15" s="196" t="s">
        <v>571</v>
      </c>
      <c r="B15" s="234" t="str">
        <f>IF($B$9="Hinged",'H - MO'!C20,IF($B$9="Bi-Fold",'BF - MO'!D20,IF($B$9="By-Pass",'BP - MO'!D20,0)))</f>
        <v>0</v>
      </c>
      <c r="F15" s="246" t="s">
        <v>662</v>
      </c>
      <c r="G15" s="21"/>
      <c r="H15" s="21"/>
      <c r="I15" s="247" t="str">
        <f>SUM(I9:I14)</f>
        <v>0</v>
      </c>
      <c r="K15" s="1"/>
    </row>
    <row r="16" spans="1:13" customHeight="1" ht="12.75">
      <c r="A16" s="197" t="s">
        <v>112</v>
      </c>
      <c r="B16" s="235" t="str">
        <f>IF($B$9="Hinged",'H - MO'!C21,IF($B$9="Bi-Fold",'BF - MO'!D21,IF($B$9="By-Pass",'BP - MO'!C21,0)))</f>
        <v>0</v>
      </c>
      <c r="F16" s="21" t="s">
        <v>663</v>
      </c>
      <c r="G16" s="21"/>
      <c r="H16" s="21"/>
      <c r="I16" s="244" t="str">
        <f>(25*70*8/40)*B16</f>
        <v>0</v>
      </c>
      <c r="K16" s="1"/>
    </row>
    <row r="17" spans="1:13">
      <c r="A17" s="9"/>
      <c r="B17" s="195"/>
      <c r="C17" s="195"/>
      <c r="F17" s="21" t="s">
        <v>664</v>
      </c>
      <c r="G17" s="21"/>
      <c r="H17" s="21"/>
      <c r="I17" s="244" t="str">
        <f>B13*B14/1000000*50</f>
        <v>0</v>
      </c>
      <c r="K17" s="1"/>
    </row>
    <row r="18" spans="1:13">
      <c r="A18" s="9"/>
      <c r="B18" s="195"/>
      <c r="C18" s="195"/>
      <c r="F18" s="21" t="s">
        <v>665</v>
      </c>
      <c r="G18" s="21"/>
      <c r="H18" s="440">
        <v>0.1</v>
      </c>
      <c r="I18" s="245" t="str">
        <f>I15*0.1</f>
        <v>0</v>
      </c>
      <c r="K18" s="1"/>
    </row>
    <row r="19" spans="1:13" customHeight="1" ht="12.75">
      <c r="B19" s="22"/>
      <c r="C19" s="22"/>
      <c r="F19" s="246" t="s">
        <v>666</v>
      </c>
      <c r="G19" s="21"/>
      <c r="H19" s="21"/>
      <c r="I19" s="248" t="str">
        <f>SUM(I15:I18)</f>
        <v>0</v>
      </c>
      <c r="J19" s="443" t="str">
        <f>I19/B16</f>
        <v>0</v>
      </c>
    </row>
    <row r="20" spans="1:13">
      <c r="B20" s="22"/>
      <c r="C20" s="22"/>
    </row>
    <row r="21" spans="1:13">
      <c r="E21" s="9"/>
      <c r="F21" s="237"/>
      <c r="G21" s="442"/>
      <c r="H21" s="1237" t="s">
        <v>667</v>
      </c>
      <c r="I21" s="1237"/>
    </row>
    <row r="22" spans="1:13">
      <c r="A22" s="437" t="s">
        <v>668</v>
      </c>
      <c r="B22" s="437" t="s">
        <v>669</v>
      </c>
      <c r="C22" s="437" t="s">
        <v>670</v>
      </c>
      <c r="D22" s="63" t="s">
        <v>671</v>
      </c>
      <c r="E22" s="437" t="s">
        <v>672</v>
      </c>
      <c r="F22" s="63" t="s">
        <v>673</v>
      </c>
      <c r="G22" s="441" t="s">
        <v>674</v>
      </c>
      <c r="H22" s="441" t="s">
        <v>675</v>
      </c>
      <c r="I22" s="441" t="s">
        <v>676</v>
      </c>
    </row>
    <row r="23" spans="1:13">
      <c r="A23" t="s">
        <v>557</v>
      </c>
      <c r="B23" t="s">
        <v>557</v>
      </c>
      <c r="C23" t="s">
        <v>677</v>
      </c>
      <c r="D23" t="s">
        <v>340</v>
      </c>
      <c r="E23" s="192" t="str">
        <f>IFERROR('H - MO'!N5*'H - MO'!M5+'BF - MO'!M5*'BF - MO'!N5+'BP - MO'!M5*'BP - MO'!N5,0)</f>
        <v>0</v>
      </c>
      <c r="F23" s="236"/>
      <c r="G23">
        <v>0.673</v>
      </c>
      <c r="H23" s="187" t="str">
        <f>$I$3/1000*$I$1*(1+$I$6)*G23</f>
        <v>0</v>
      </c>
      <c r="I23" s="193" t="str">
        <f>IFERROR(E23/1000*H23,0)</f>
        <v>0</v>
      </c>
    </row>
    <row r="24" spans="1:13">
      <c r="A24" t="s">
        <v>557</v>
      </c>
      <c r="B24" t="s">
        <v>557</v>
      </c>
      <c r="C24" t="s">
        <v>677</v>
      </c>
      <c r="D24" t="s">
        <v>559</v>
      </c>
      <c r="E24" s="192" t="str">
        <f>IFERROR('H - MO'!N8*'H - MO'!M8+'BF - MO'!N8*'BF - MO'!M8+'BP - MO'!N8*'BP - MO'!M8,0)</f>
        <v>0</v>
      </c>
      <c r="F24" s="236"/>
      <c r="G24">
        <v>1.105</v>
      </c>
      <c r="H24" s="187" t="str">
        <f>$I$3/1000*$I$1*(1+$I$6)*G24</f>
        <v>0</v>
      </c>
      <c r="I24" s="193" t="str">
        <f>IFERROR(E24/1000*H24,0)</f>
        <v>0</v>
      </c>
    </row>
    <row r="25" spans="1:13">
      <c r="A25" t="s">
        <v>557</v>
      </c>
      <c r="B25" t="s">
        <v>557</v>
      </c>
      <c r="C25" t="s">
        <v>677</v>
      </c>
      <c r="D25" t="s">
        <v>561</v>
      </c>
      <c r="E25" s="192" t="str">
        <f>IFERROR('H - MO'!N9*'H - MO'!M9+'H - MO'!N16*'H - MO'!M16+'BF - MO'!N9*'BF - MO'!M9+'BF - MO'!N16*'BF - MO'!M16+'BP - MO'!N9*'BP - MO'!M9+'BP - MO'!N16*'BP - MO'!M16,0)</f>
        <v>0</v>
      </c>
      <c r="F25" s="236"/>
      <c r="G25">
        <v>1.098</v>
      </c>
      <c r="H25" s="187" t="str">
        <f>$I$3/1000*$I$1*(1+$I$6)*G25</f>
        <v>0</v>
      </c>
      <c r="I25" s="193" t="str">
        <f>IFERROR(E25/1000*H25,0)</f>
        <v>0</v>
      </c>
    </row>
    <row r="26" spans="1:13">
      <c r="A26" t="s">
        <v>557</v>
      </c>
      <c r="B26" t="s">
        <v>557</v>
      </c>
      <c r="C26" t="s">
        <v>677</v>
      </c>
      <c r="D26" t="s">
        <v>562</v>
      </c>
      <c r="E26" s="192" t="str">
        <f>IFERROR('H - MO'!N10*'H - MO'!M10+'H - MO'!N17*'H - MO'!M17+'BF - MO'!N10*'BF - MO'!M10+'BF - MO'!N17*'BF - MO'!M17+'BP - MO'!N10*'BP - MO'!M10+'BP - MO'!N17*'BP - MO'!M17,0)</f>
        <v>0</v>
      </c>
      <c r="F26" s="236"/>
      <c r="G26">
        <v>0.8080000000000001</v>
      </c>
      <c r="H26" s="187" t="str">
        <f>$I$3/1000*$I$1*(1+$I$6)*G26</f>
        <v>0</v>
      </c>
      <c r="I26" s="193" t="str">
        <f>IFERROR(E26/1000*H26,0)</f>
        <v>0</v>
      </c>
    </row>
    <row r="27" spans="1:13">
      <c r="A27" t="s">
        <v>557</v>
      </c>
      <c r="B27" t="s">
        <v>557</v>
      </c>
      <c r="C27" t="s">
        <v>677</v>
      </c>
      <c r="D27" t="s">
        <v>564</v>
      </c>
      <c r="E27" s="192" t="str">
        <f>IFERROR('H - MO'!N13*'H - MO'!M13+'BF - MO'!N13*'BF - MO'!M13+'BP - MO'!N13*'BP - MO'!M13,0)</f>
        <v>0</v>
      </c>
      <c r="F27" s="236"/>
      <c r="G27">
        <v>0.877</v>
      </c>
      <c r="H27" s="187" t="str">
        <f>$I$3/1000*$I$1*(1+$I$6)*G27</f>
        <v>0</v>
      </c>
      <c r="I27" s="193" t="str">
        <f>IFERROR(E27/1000*H27,0)</f>
        <v>0</v>
      </c>
    </row>
    <row r="28" spans="1:13">
      <c r="A28" t="s">
        <v>557</v>
      </c>
      <c r="B28" t="s">
        <v>557</v>
      </c>
      <c r="C28" t="s">
        <v>677</v>
      </c>
      <c r="D28" t="s">
        <v>573</v>
      </c>
      <c r="E28" s="192" t="str">
        <f>IFERROR('H - MO'!N20*'H - MO'!M20+'BF - MO'!N20*'BF - MO'!M20+'BP - MO'!N20*'BP - MO'!M20,0)</f>
        <v>0</v>
      </c>
      <c r="F28" s="236"/>
      <c r="G28">
        <v>0.702</v>
      </c>
      <c r="H28" s="187" t="str">
        <f>$I$3/1000*$I$1*(1+$I$6)*G28</f>
        <v>0</v>
      </c>
      <c r="I28" s="193" t="str">
        <f>IFERROR(E28/1000*H28,0)</f>
        <v>0</v>
      </c>
    </row>
    <row r="29" spans="1:13">
      <c r="A29" t="s">
        <v>557</v>
      </c>
      <c r="B29" t="s">
        <v>557</v>
      </c>
      <c r="C29" t="s">
        <v>677</v>
      </c>
      <c r="D29" t="s">
        <v>575</v>
      </c>
      <c r="E29" s="192" t="str">
        <f>IFERROR('H - MO'!N21*'H - MO'!M21+'BF - MO'!N21*'BF - MO'!M21+'BP - MO'!N21*'BP - MO'!M21,0)</f>
        <v>0</v>
      </c>
      <c r="F29" s="236"/>
      <c r="G29">
        <v>0.747</v>
      </c>
      <c r="H29" s="187" t="str">
        <f>$I$3/1000*$I$1*(1+$I$6)*G29</f>
        <v>0</v>
      </c>
      <c r="I29" s="193" t="str">
        <f>IFERROR(E29/1000*H29,0)</f>
        <v>0</v>
      </c>
    </row>
    <row r="30" spans="1:13">
      <c r="A30" t="s">
        <v>557</v>
      </c>
      <c r="B30" t="s">
        <v>557</v>
      </c>
      <c r="C30" t="s">
        <v>677</v>
      </c>
      <c r="D30" t="s">
        <v>678</v>
      </c>
      <c r="E30" s="194" t="str">
        <f>IFERROR('H - MO'!M22*'H - MO'!N22,0)</f>
        <v>0</v>
      </c>
      <c r="F30" s="236"/>
      <c r="G30">
        <v>0.764</v>
      </c>
      <c r="H30" s="187" t="str">
        <f>$I$3/1000*$I$1*(1+$I$6)*G30</f>
        <v>0</v>
      </c>
      <c r="I30" s="193" t="str">
        <f>IFERROR(E30/1000*H30,0)</f>
        <v>0</v>
      </c>
    </row>
    <row r="31" spans="1:13">
      <c r="A31" t="s">
        <v>557</v>
      </c>
      <c r="B31" t="s">
        <v>557</v>
      </c>
      <c r="C31" t="s">
        <v>677</v>
      </c>
      <c r="D31" t="s">
        <v>580</v>
      </c>
      <c r="E31" s="192" t="str">
        <f>IFERROR('H - MO'!N24*'H - MO'!M24+'H - MO'!N25*'H - MO'!M25+'BF - MO'!N23*'BF - MO'!M23+'BF - MO'!N24*'BF - MO'!M24+'BP - MO'!N23*'BP - MO'!M23+'BP - MO'!N24*'BP - MO'!M24,0)</f>
        <v>0</v>
      </c>
      <c r="F31" s="236"/>
      <c r="G31">
        <v>0.241</v>
      </c>
      <c r="H31" s="187" t="str">
        <f>$I$4/1000*$I$1*(1+$I$6)*G31</f>
        <v>0</v>
      </c>
      <c r="I31" s="193" t="str">
        <f>IFERROR(E31/1000*H31,0)</f>
        <v>0</v>
      </c>
    </row>
    <row r="32" spans="1:13">
      <c r="A32" t="s">
        <v>557</v>
      </c>
      <c r="B32" t="s">
        <v>557</v>
      </c>
      <c r="C32" t="s">
        <v>677</v>
      </c>
      <c r="D32" t="s">
        <v>584</v>
      </c>
      <c r="E32" s="192" t="str">
        <f>IFERROR('H - MO'!N27*'H - MO'!M27+'H - MO'!N28*'H - MO'!M28,0)</f>
        <v>0</v>
      </c>
      <c r="F32" s="236"/>
      <c r="G32">
        <v>0.176</v>
      </c>
      <c r="H32" s="187" t="str">
        <f>$I$3/1000*$I$1*(1+$I$6)*G32</f>
        <v>0</v>
      </c>
      <c r="I32" s="193" t="str">
        <f>IFERROR(E32/1000*H32,0)</f>
        <v>0</v>
      </c>
    </row>
    <row r="33" spans="1:13">
      <c r="A33" t="s">
        <v>557</v>
      </c>
      <c r="B33" t="s">
        <v>557</v>
      </c>
      <c r="C33" t="s">
        <v>677</v>
      </c>
      <c r="D33" t="s">
        <v>679</v>
      </c>
      <c r="E33" s="192" t="str">
        <f>IFERROR(IF('H - MO'!K31="Frame Z",'H - MO'!N31*'H - MO'!M31,0)+IF('H - MO'!K32="Frame Z",'H - MO'!N32*'H - MO'!M32,0)+IF('H - MO'!K33="Frame Z",'H - MO'!N33*'H - MO'!M33,0)+IF('H - MO'!K34="Frame Z",'H - MO'!N34*'H - MO'!M34,0),0)</f>
        <v>0</v>
      </c>
      <c r="F33" s="9"/>
      <c r="G33">
        <v>0.786</v>
      </c>
      <c r="H33" s="187" t="str">
        <f>$I$3/1000*$I$1*(1+$I$6)*G33</f>
        <v>0</v>
      </c>
      <c r="I33" s="193" t="str">
        <f>IFERROR(E33/1000*H33,0)</f>
        <v>0</v>
      </c>
    </row>
    <row r="34" spans="1:13">
      <c r="A34" t="s">
        <v>557</v>
      </c>
      <c r="B34" t="s">
        <v>557</v>
      </c>
      <c r="C34" t="s">
        <v>677</v>
      </c>
      <c r="D34" t="s">
        <v>680</v>
      </c>
      <c r="E34" s="192" t="str">
        <f>IFERROR(IF('H - MO'!K31="Frame L",'H - MO'!N31*'H - MO'!M31,0)+IF('H - MO'!K32="Frame L",'H - MO'!N32*'H - MO'!M32,0)+IF('H - MO'!K33="Frame L",'H - MO'!N33*'H - MO'!M33,0)+IF('H - MO'!K34="Frame L",'H - MO'!N34*'H - MO'!M34,0),0)</f>
        <v>0</v>
      </c>
      <c r="F34" s="236"/>
      <c r="G34">
        <v>0.737</v>
      </c>
      <c r="H34" s="187" t="str">
        <f>$I$3/1000*$I$1*(1+$I$6)*G34</f>
        <v>0</v>
      </c>
      <c r="I34" s="193" t="str">
        <f>IFERROR(E34/1000*H34,0)</f>
        <v>0</v>
      </c>
    </row>
    <row r="35" spans="1:13">
      <c r="A35" t="s">
        <v>557</v>
      </c>
      <c r="B35" t="s">
        <v>557</v>
      </c>
      <c r="C35" t="s">
        <v>677</v>
      </c>
      <c r="D35" t="s">
        <v>200</v>
      </c>
      <c r="E35" s="192" t="str">
        <f>IFERROR(IF('BF - MO'!I37=D35,'BF - MO'!M37*'BF - MO'!N37,0)+IF('BP - MO'!I37=D35,'BP - MO'!M37*'BP - MO'!N37,0),0)</f>
        <v>0</v>
      </c>
      <c r="F35" s="236"/>
      <c r="G35" s="1">
        <v>0.422</v>
      </c>
      <c r="H35" s="189" t="str">
        <f>$I$3/1000*$I$1*(1+$I$6)*G35</f>
        <v>0</v>
      </c>
      <c r="I35" s="193" t="str">
        <f>IFERROR(E35/1000*H35,0)</f>
        <v>0</v>
      </c>
    </row>
    <row r="36" spans="1:13">
      <c r="A36" t="s">
        <v>557</v>
      </c>
      <c r="B36" t="s">
        <v>557</v>
      </c>
      <c r="C36" t="s">
        <v>677</v>
      </c>
      <c r="D36" t="s">
        <v>681</v>
      </c>
      <c r="E36" s="194" t="str">
        <f>IFERROR(IF('BF - MO'!I37=D36,'BF - MO'!M37*'BF - MO'!N37,0)+IF('BP - MO'!I37=D36,'BP - MO'!M37*'BP - MO'!N37,0),0)</f>
        <v>0</v>
      </c>
      <c r="F36" s="236"/>
      <c r="G36" s="1">
        <v>0.633</v>
      </c>
      <c r="H36" s="189" t="str">
        <f>$I$3/1000*$I$1*(1+$I$6)*G36</f>
        <v>0</v>
      </c>
      <c r="I36" s="193" t="str">
        <f>IFERROR(E36/1000*H36,0)</f>
        <v>0</v>
      </c>
    </row>
    <row r="37" spans="1:13">
      <c r="A37" t="s">
        <v>557</v>
      </c>
      <c r="B37" t="s">
        <v>557</v>
      </c>
      <c r="C37" t="s">
        <v>677</v>
      </c>
      <c r="D37" t="s">
        <v>682</v>
      </c>
      <c r="E37" s="194" t="str">
        <f>IFERROR(IF('BF - MO'!I37=D37,'BF - MO'!M37*'BF - MO'!N37,0)+IF('BP - MO'!I37=D37,'BP - MO'!M37*'BP - MO'!N37,0),0)</f>
        <v>0</v>
      </c>
      <c r="F37" s="236"/>
      <c r="G37" s="1">
        <v>0.517</v>
      </c>
      <c r="H37" s="189" t="str">
        <f>$I$3/1000*$I$1*(1+$I$6)*G37</f>
        <v>0</v>
      </c>
      <c r="I37" s="193" t="str">
        <f>IFERROR(E37/1000*H37,0)</f>
        <v>0</v>
      </c>
    </row>
    <row r="38" spans="1:13">
      <c r="A38" t="s">
        <v>557</v>
      </c>
      <c r="B38" t="s">
        <v>557</v>
      </c>
      <c r="C38" t="s">
        <v>677</v>
      </c>
      <c r="D38" t="s">
        <v>526</v>
      </c>
      <c r="E38" s="194" t="str">
        <f>IFERROR(IF('BF - MO'!I32=D38,'BF - MO'!M32*'BF - MO'!N32,0),0)+IFERROR(IF('BF - MO'!I27=D38,'BF - MO'!N27*'BF - MO'!M27,0),0)+IFERROR(IF('BF - MO'!I28=D38,'BF - MO'!N28*'BF - MO'!M28,0),0)+IFERROR(IF('BP - MO'!I32=D38,'BP - MO'!N32*'BP - MO'!M32,0),0)+IFERROR(IF('BP - MO'!I27=D38,'BP - MO'!N27*'BP - MO'!M27,0),0)+IFERROR(IF('BP - MO'!I28=D38,'BP - MO'!N28*'BP - MO'!M28,0),0)</f>
        <v>0</v>
      </c>
      <c r="F38" s="236"/>
      <c r="G38" s="438">
        <v>1.46</v>
      </c>
      <c r="H38" s="189" t="str">
        <f>$I$3/1000*$I$1*(1+$I$6)*G38</f>
        <v>0</v>
      </c>
      <c r="I38" s="193" t="str">
        <f>IFERROR(E38/1000*H38,0)</f>
        <v>0</v>
      </c>
    </row>
    <row r="39" spans="1:13">
      <c r="A39" t="s">
        <v>557</v>
      </c>
      <c r="B39" t="s">
        <v>557</v>
      </c>
      <c r="C39" t="s">
        <v>677</v>
      </c>
      <c r="D39" t="s">
        <v>527</v>
      </c>
      <c r="E39" s="194" t="str">
        <f>IFERROR(IF('BF - MO'!I32=D39,'BF - MO'!M32*'BF - MO'!N32,0),0)+IFERROR(IF('BF - MO'!I27=D39,'BF - MO'!N27*'BF - MO'!M27,0),0)+IFERROR(IF('BF - MO'!I28=D39,'BF - MO'!N28*'BF - MO'!M28,0),0)+IFERROR(IF('BP - MO'!I32=D39,'BP - MO'!N32*'BP - MO'!M32,0),0)+IFERROR(IF('BP - MO'!I27=D39,'BP - MO'!N27*'BP - MO'!M27,0),0)+IFERROR(IF('BP - MO'!I28=D39,'BP - MO'!N28*'BP - MO'!M28,0),0)</f>
        <v>0</v>
      </c>
      <c r="F39" s="236"/>
      <c r="G39" s="438">
        <v>1.51</v>
      </c>
      <c r="H39" s="189" t="str">
        <f>$I$3/1000*$I$1*(1+$I$6)*G39</f>
        <v>0</v>
      </c>
      <c r="I39" s="193" t="str">
        <f>IFERROR(E39/1000*H39,0)</f>
        <v>0</v>
      </c>
    </row>
    <row r="40" spans="1:13">
      <c r="A40" t="s">
        <v>557</v>
      </c>
      <c r="B40" t="s">
        <v>557</v>
      </c>
      <c r="C40" t="s">
        <v>677</v>
      </c>
      <c r="D40" t="s">
        <v>683</v>
      </c>
      <c r="E40" s="194" t="str">
        <f>'BF - MO'!I33*'BF - MO'!N32+'BP - MO'!I33*'BP - MO'!N32</f>
        <v>0</v>
      </c>
      <c r="F40" s="236"/>
      <c r="G40" s="1">
        <v>0.113</v>
      </c>
      <c r="H40" s="189" t="str">
        <f>$I$3/1000*$I$1*(1+$I$6)*G40</f>
        <v>0</v>
      </c>
      <c r="I40" s="193" t="str">
        <f>IFERROR(E40/1000*H40,0)</f>
        <v>0</v>
      </c>
    </row>
    <row r="41" spans="1:13">
      <c r="A41" t="s">
        <v>557</v>
      </c>
      <c r="B41" t="s">
        <v>557</v>
      </c>
      <c r="C41" t="s">
        <v>677</v>
      </c>
      <c r="D41" t="s">
        <v>684</v>
      </c>
      <c r="E41" s="194" t="str">
        <f>IFERROR(IF('BF - MO'!L29=D41,'BF - MO'!N27*'BF - MO'!M27,0),0)+IFERROR(IF('BP - MO'!L29=D41,'BP - MO'!N27*'BP - MO'!M27,0),0)</f>
        <v>0</v>
      </c>
      <c r="F41" s="236"/>
      <c r="G41" s="1">
        <v>0.073</v>
      </c>
      <c r="H41" s="189" t="str">
        <f>$I$3/1000*$I$1*(1+$I$6)*G41</f>
        <v>0</v>
      </c>
      <c r="I41" s="193" t="str">
        <f>IFERROR(E41/1000*H41,0)</f>
        <v>0</v>
      </c>
    </row>
    <row r="42" spans="1:13">
      <c r="A42" t="s">
        <v>557</v>
      </c>
      <c r="B42" t="s">
        <v>557</v>
      </c>
      <c r="C42" t="s">
        <v>685</v>
      </c>
      <c r="D42" s="1" t="s">
        <v>203</v>
      </c>
      <c r="E42" s="194" t="str">
        <f>IFERROR(IF('BF - MO'!I32=D42,'BF - MO'!N32*'BF - MO'!M32,0),0)+IFERROR(IF('BP - MO'!I32=D42,'BP - MO'!M32*'BP - MO'!N32,0),0)</f>
        <v>0</v>
      </c>
      <c r="F42" s="236"/>
      <c r="G42" s="1"/>
      <c r="H42" s="250" t="str">
        <f>16524/40/6</f>
        <v>0</v>
      </c>
      <c r="I42" s="251" t="str">
        <f>IFERROR(E42/1000*H42,0)</f>
        <v>0</v>
      </c>
    </row>
    <row r="43" spans="1:13">
      <c r="A43" t="s">
        <v>557</v>
      </c>
      <c r="B43" t="s">
        <v>557</v>
      </c>
      <c r="C43" t="s">
        <v>677</v>
      </c>
      <c r="D43" t="s">
        <v>550</v>
      </c>
      <c r="E43" s="194" t="str">
        <f>IFERROR(IF('BF - MO'!I34=D43,'BF - MO'!N32*'BF - MO'!M32,0),0)+IFERROR(IF('BP - MO'!I34=D43,'BP - MO'!M32*'BP - MO'!N32,0),0)</f>
        <v>0</v>
      </c>
      <c r="F43" s="236"/>
      <c r="G43" s="1">
        <v>1.528</v>
      </c>
      <c r="H43" s="189" t="str">
        <f>$I$3/1000*$I$1*(1+$I$6)*G43</f>
        <v>0</v>
      </c>
      <c r="I43" s="251" t="str">
        <f>IFERROR(E43/1000*H43,0)</f>
        <v>0</v>
      </c>
    </row>
    <row r="44" spans="1:13">
      <c r="A44" t="s">
        <v>557</v>
      </c>
      <c r="B44" t="s">
        <v>557</v>
      </c>
      <c r="C44" t="s">
        <v>677</v>
      </c>
      <c r="D44" t="s">
        <v>686</v>
      </c>
      <c r="E44" s="194" t="str">
        <f>'BF - MO'!I29*('BF - MO'!N27+'BF - MO'!N28)+'BP - MO'!I29*('BP - MO'!N27+'BP - MO'!N28)</f>
        <v>0</v>
      </c>
      <c r="F44" s="236"/>
      <c r="G44" s="1">
        <v>0.316</v>
      </c>
      <c r="H44" s="189" t="str">
        <f>$I$3/1000*$I$1*(1+$I$6)*G44</f>
        <v>0</v>
      </c>
      <c r="I44" s="251" t="str">
        <f>IFERROR(E44/1000*H44,0)</f>
        <v>0</v>
      </c>
    </row>
    <row r="45" spans="1:13">
      <c r="E45" s="9"/>
      <c r="F45" s="9"/>
      <c r="H45" s="187"/>
      <c r="I45" s="238"/>
    </row>
    <row r="46" spans="1:13">
      <c r="A46" t="s">
        <v>659</v>
      </c>
      <c r="B46" t="s">
        <v>659</v>
      </c>
      <c r="C46" t="s">
        <v>687</v>
      </c>
      <c r="D46" t="s">
        <v>688</v>
      </c>
      <c r="E46" s="192" t="str">
        <f>'H - MO'!M43+'H - MO'!N43+'BF - MO'!M41+'BF - MO'!N41+'BP - MO'!M41+'BP - MO'!N41</f>
        <v>0</v>
      </c>
      <c r="H46" s="189">
        <v>11</v>
      </c>
      <c r="I46" s="193" t="str">
        <f>E46*H46</f>
        <v>0</v>
      </c>
    </row>
    <row r="47" spans="1:13">
      <c r="A47" t="s">
        <v>659</v>
      </c>
      <c r="B47" t="s">
        <v>659</v>
      </c>
      <c r="C47" t="s">
        <v>689</v>
      </c>
      <c r="D47" t="s">
        <v>690</v>
      </c>
      <c r="E47" s="192" t="str">
        <f>IFERROR(IF('H - MO'!D26="1 side",'H - MO'!N45,0)+IF('BF - MO'!D26="1 side",'BF - MO'!N43,0)+IF('BP - MO'!D26="1 side",'BP - MO'!N43,0),0)</f>
        <v>0</v>
      </c>
      <c r="F47" t="str">
        <f>7.77+2.8</f>
        <v>0</v>
      </c>
      <c r="H47" s="189" t="str">
        <f>F47*I2</f>
        <v>0</v>
      </c>
      <c r="I47" s="193" t="str">
        <f>E47*H47</f>
        <v>0</v>
      </c>
    </row>
    <row r="48" spans="1:13">
      <c r="A48" t="s">
        <v>659</v>
      </c>
      <c r="B48" t="s">
        <v>659</v>
      </c>
      <c r="C48" t="s">
        <v>689</v>
      </c>
      <c r="D48" t="s">
        <v>691</v>
      </c>
      <c r="E48" s="192" t="str">
        <f>IFERROR(IF('H - MO'!D26="2 sided",'H - MO'!N45,0)+IF('BF - MO'!D26="2 sided",'BF - MO'!N43,0)+IF('BP - MO'!D26="2 sided",'BP - MO'!N43,0),0)</f>
        <v>0</v>
      </c>
      <c r="F48" t="str">
        <f>7.77+4.24</f>
        <v>0</v>
      </c>
      <c r="H48" s="189" t="str">
        <f>F48*I2</f>
        <v>0</v>
      </c>
      <c r="I48" s="193" t="str">
        <f>E48*H48</f>
        <v>0</v>
      </c>
    </row>
    <row r="49" spans="1:13">
      <c r="A49" t="s">
        <v>659</v>
      </c>
      <c r="B49" t="s">
        <v>659</v>
      </c>
      <c r="C49" s="1" t="s">
        <v>692</v>
      </c>
      <c r="D49" t="s">
        <v>693</v>
      </c>
      <c r="E49" s="192" t="str">
        <f>IFERROR('H - MO'!N46*'H - MO'!M46+'H - MO'!N47*'H - MO'!M47+'BF - MO'!N44*'BF - MO'!M44+'BF - MO'!N45*'BF - MO'!M45+'BP - MO'!N44*'BP - MO'!M44+'BP - MO'!N45*'BP - MO'!M45,0)</f>
        <v>0</v>
      </c>
      <c r="H49" s="189" t="str">
        <f>13.67/3</f>
        <v>0</v>
      </c>
      <c r="I49" s="193" t="str">
        <f>E49/1000*H49</f>
        <v>0</v>
      </c>
    </row>
    <row r="50" spans="1:13">
      <c r="A50" t="s">
        <v>659</v>
      </c>
      <c r="B50" t="s">
        <v>659</v>
      </c>
      <c r="C50" s="1" t="s">
        <v>694</v>
      </c>
      <c r="D50" t="s">
        <v>695</v>
      </c>
      <c r="E50" s="194">
        <v>1</v>
      </c>
      <c r="H50" s="189">
        <v>8.49</v>
      </c>
      <c r="I50" s="193" t="str">
        <f>E50*H50</f>
        <v>0</v>
      </c>
    </row>
    <row r="51" spans="1:13">
      <c r="A51" t="s">
        <v>659</v>
      </c>
      <c r="B51" t="s">
        <v>659</v>
      </c>
      <c r="C51" s="1" t="s">
        <v>694</v>
      </c>
      <c r="D51" t="s">
        <v>27</v>
      </c>
      <c r="E51" s="192" t="str">
        <f>E47+E48</f>
        <v>0</v>
      </c>
      <c r="H51" s="189">
        <v>10.5</v>
      </c>
      <c r="I51" s="193" t="str">
        <f>E51*H51</f>
        <v>0</v>
      </c>
      <c r="L51" s="1"/>
      <c r="M51" s="1"/>
    </row>
    <row r="52" spans="1:13">
      <c r="A52" t="s">
        <v>659</v>
      </c>
      <c r="B52" t="s">
        <v>659</v>
      </c>
      <c r="C52" s="1" t="s">
        <v>696</v>
      </c>
      <c r="D52" t="s">
        <v>697</v>
      </c>
      <c r="E52" s="194" t="str">
        <f>'H - MO'!D45+'BF - MO'!D45+'BP - MO'!D45</f>
        <v>0</v>
      </c>
      <c r="H52" s="189">
        <v>0.24</v>
      </c>
      <c r="I52" s="193" t="str">
        <f>E52*H52</f>
        <v>0</v>
      </c>
      <c r="L52" s="1"/>
      <c r="M52" s="1"/>
    </row>
    <row r="53" spans="1:13">
      <c r="A53" t="s">
        <v>659</v>
      </c>
      <c r="B53" t="s">
        <v>659</v>
      </c>
      <c r="C53" t="s">
        <v>685</v>
      </c>
      <c r="D53" t="s">
        <v>614</v>
      </c>
      <c r="E53" s="192" t="str">
        <f>'BP - MO'!D55+'BF - MO'!D55</f>
        <v>0</v>
      </c>
      <c r="H53" s="189">
        <v>18.67</v>
      </c>
      <c r="I53" s="193" t="str">
        <f>E53*H53</f>
        <v>0</v>
      </c>
      <c r="L53" s="1"/>
      <c r="M53" s="1"/>
    </row>
    <row r="54" spans="1:13">
      <c r="E54" s="9"/>
      <c r="I54" s="193"/>
    </row>
    <row r="55" spans="1:13">
      <c r="A55" t="s">
        <v>698</v>
      </c>
      <c r="B55" t="s">
        <v>660</v>
      </c>
      <c r="C55" t="s">
        <v>699</v>
      </c>
      <c r="D55" t="s">
        <v>621</v>
      </c>
      <c r="E55" s="192" t="str">
        <f>'H - MO'!F63+'BF - MO'!F68+'BP - MO'!F68</f>
        <v>0</v>
      </c>
      <c r="F55" s="190" t="str">
        <f>0.027</f>
        <v>0</v>
      </c>
      <c r="H55" s="187" t="str">
        <f>F55*(1+$I$6)*$I$1</f>
        <v>0</v>
      </c>
      <c r="I55" s="193" t="str">
        <f>E55*H55</f>
        <v>0</v>
      </c>
    </row>
    <row r="56" spans="1:13">
      <c r="A56" t="s">
        <v>698</v>
      </c>
      <c r="B56" t="s">
        <v>660</v>
      </c>
      <c r="C56" t="s">
        <v>699</v>
      </c>
      <c r="D56" t="s">
        <v>622</v>
      </c>
      <c r="E56" s="192" t="str">
        <f>'H - MO'!F64+'BF - MO'!F69+'BP - MO'!F69</f>
        <v>0</v>
      </c>
      <c r="F56" s="190" t="str">
        <f>0.025</f>
        <v>0</v>
      </c>
      <c r="H56" s="187" t="str">
        <f>F56*(1+$I$6)*$I$1</f>
        <v>0</v>
      </c>
      <c r="I56" s="193" t="str">
        <f>E56*H56</f>
        <v>0</v>
      </c>
    </row>
    <row r="57" spans="1:13">
      <c r="A57" t="s">
        <v>698</v>
      </c>
      <c r="B57" t="s">
        <v>660</v>
      </c>
      <c r="C57" t="s">
        <v>699</v>
      </c>
      <c r="D57" t="s">
        <v>623</v>
      </c>
      <c r="E57" s="192" t="str">
        <f>'H - MO'!F65+'BF - MO'!F70+'BP - MO'!F70</f>
        <v>0</v>
      </c>
      <c r="F57" s="190" t="str">
        <f>0.027</f>
        <v>0</v>
      </c>
      <c r="H57" s="187" t="str">
        <f>F57*(1+$I$6)*$I$1</f>
        <v>0</v>
      </c>
      <c r="I57" s="193" t="str">
        <f>E57*H57</f>
        <v>0</v>
      </c>
    </row>
    <row r="58" spans="1:13">
      <c r="A58" t="s">
        <v>698</v>
      </c>
      <c r="B58" t="s">
        <v>660</v>
      </c>
      <c r="C58" s="439" t="s">
        <v>692</v>
      </c>
      <c r="D58" t="s">
        <v>516</v>
      </c>
      <c r="E58" s="192" t="str">
        <f>'H - MO'!F66+'BF - MO'!F71+'BP - MO'!F71</f>
        <v>0</v>
      </c>
      <c r="H58" s="187">
        <v>0.2</v>
      </c>
      <c r="I58" s="193" t="str">
        <f>E58*H58</f>
        <v>0</v>
      </c>
    </row>
    <row r="59" spans="1:13">
      <c r="A59" t="s">
        <v>698</v>
      </c>
      <c r="B59" t="s">
        <v>660</v>
      </c>
      <c r="C59" t="s">
        <v>700</v>
      </c>
      <c r="D59" t="s">
        <v>497</v>
      </c>
      <c r="E59" s="192" t="str">
        <f>'H - MO'!F67+'BF - MO'!F72+'BP - MO'!F72+'H - MO'!D39+'BF - MO'!D39+'BP - MO'!D39</f>
        <v>0</v>
      </c>
      <c r="H59" s="187" t="str">
        <f>330/1000</f>
        <v>0</v>
      </c>
      <c r="I59" s="193" t="str">
        <f>E59*H59</f>
        <v>0</v>
      </c>
    </row>
    <row r="60" spans="1:13">
      <c r="A60" t="s">
        <v>698</v>
      </c>
      <c r="B60" t="s">
        <v>660</v>
      </c>
      <c r="C60" t="s">
        <v>700</v>
      </c>
      <c r="D60" t="s">
        <v>624</v>
      </c>
      <c r="E60" s="192" t="str">
        <f>'H - MO'!F68+'BF - MO'!F73+'BP - MO'!F73</f>
        <v>0</v>
      </c>
      <c r="H60" s="187">
        <v>0.2</v>
      </c>
      <c r="I60" s="193" t="str">
        <f>E60*H60</f>
        <v>0</v>
      </c>
    </row>
    <row r="61" spans="1:13">
      <c r="A61" t="s">
        <v>698</v>
      </c>
      <c r="B61" t="s">
        <v>661</v>
      </c>
      <c r="C61" t="s">
        <v>701</v>
      </c>
      <c r="D61" t="s">
        <v>492</v>
      </c>
      <c r="E61" s="192" t="str">
        <f>'H - MO'!F69+'BF - MO'!F74+'BP - MO'!F74</f>
        <v>0</v>
      </c>
      <c r="H61" s="189">
        <v>1.7</v>
      </c>
      <c r="I61" s="193" t="str">
        <f>E61*H61</f>
        <v>0</v>
      </c>
    </row>
    <row r="62" spans="1:13">
      <c r="A62" t="s">
        <v>698</v>
      </c>
      <c r="B62" t="s">
        <v>661</v>
      </c>
      <c r="C62" t="s">
        <v>701</v>
      </c>
      <c r="D62" t="s">
        <v>625</v>
      </c>
      <c r="E62" s="192" t="str">
        <f>'H - MO'!F70+'BF - MO'!F75+'BP - MO'!F75</f>
        <v>0</v>
      </c>
      <c r="H62" s="189">
        <v>1.15</v>
      </c>
      <c r="I62" s="193" t="str">
        <f>E62*H62</f>
        <v>0</v>
      </c>
    </row>
    <row r="63" spans="1:13">
      <c r="A63" t="s">
        <v>698</v>
      </c>
      <c r="B63" t="s">
        <v>661</v>
      </c>
      <c r="C63" t="s">
        <v>701</v>
      </c>
      <c r="D63" t="s">
        <v>626</v>
      </c>
      <c r="E63" s="192" t="str">
        <f>'H - MO'!F71+'BF - MO'!F76+'BP - MO'!F76</f>
        <v>0</v>
      </c>
      <c r="H63" s="189">
        <v>1.3</v>
      </c>
      <c r="I63" s="193" t="str">
        <f>E63*H63</f>
        <v>0</v>
      </c>
    </row>
    <row r="64" spans="1:13">
      <c r="A64" t="s">
        <v>698</v>
      </c>
      <c r="B64" t="s">
        <v>661</v>
      </c>
      <c r="C64" t="s">
        <v>701</v>
      </c>
      <c r="D64" t="s">
        <v>627</v>
      </c>
      <c r="E64" s="192" t="str">
        <f>'H - MO'!F72+'BF - MO'!F77+'BP - MO'!F77</f>
        <v>0</v>
      </c>
      <c r="H64" s="189">
        <v>0.05</v>
      </c>
      <c r="I64" s="193" t="str">
        <f>E64*H64</f>
        <v>0</v>
      </c>
    </row>
    <row r="65" spans="1:13">
      <c r="A65" t="s">
        <v>698</v>
      </c>
      <c r="B65" t="s">
        <v>661</v>
      </c>
      <c r="C65" t="s">
        <v>701</v>
      </c>
      <c r="D65" t="s">
        <v>493</v>
      </c>
      <c r="E65" s="192" t="str">
        <f>'H - MO'!F73+'BF - MO'!F78+'BP - MO'!F78</f>
        <v>0</v>
      </c>
      <c r="H65" s="189">
        <v>0.53</v>
      </c>
      <c r="I65" s="193" t="str">
        <f>E65*H65</f>
        <v>0</v>
      </c>
    </row>
    <row r="66" spans="1:13">
      <c r="A66" t="s">
        <v>698</v>
      </c>
      <c r="B66" t="s">
        <v>661</v>
      </c>
      <c r="C66" t="s">
        <v>701</v>
      </c>
      <c r="D66" t="s">
        <v>628</v>
      </c>
      <c r="E66" s="192" t="str">
        <f>'H - MO'!F74+'BF - MO'!F79+'BP - MO'!F79</f>
        <v>0</v>
      </c>
      <c r="H66" s="189">
        <v>0.53</v>
      </c>
      <c r="I66" s="193" t="str">
        <f>E66*H66</f>
        <v>0</v>
      </c>
    </row>
    <row r="67" spans="1:13">
      <c r="A67" t="s">
        <v>698</v>
      </c>
      <c r="B67" t="s">
        <v>660</v>
      </c>
      <c r="C67" s="1" t="s">
        <v>696</v>
      </c>
      <c r="D67" t="s">
        <v>629</v>
      </c>
      <c r="E67" s="192" t="str">
        <f>'H - MO'!F75+'BF - MO'!F80+'BP - MO'!F80</f>
        <v>0</v>
      </c>
      <c r="H67" s="189">
        <v>0.37</v>
      </c>
      <c r="I67" s="193" t="str">
        <f>E67*H67</f>
        <v>0</v>
      </c>
    </row>
    <row r="68" spans="1:13">
      <c r="A68" t="s">
        <v>698</v>
      </c>
      <c r="B68" t="s">
        <v>661</v>
      </c>
      <c r="C68" t="s">
        <v>702</v>
      </c>
      <c r="D68" t="s">
        <v>630</v>
      </c>
      <c r="E68" s="192" t="str">
        <f>'H - MO'!F76+'BF - MO'!F81+'BP - MO'!F81</f>
        <v>0</v>
      </c>
      <c r="F68">
        <v>0.0385</v>
      </c>
      <c r="H68" s="187" t="str">
        <f>F68*(1+$I$6)*$I$1</f>
        <v>0</v>
      </c>
      <c r="I68" s="193" t="str">
        <f>E68*H68</f>
        <v>0</v>
      </c>
    </row>
    <row r="69" spans="1:13">
      <c r="A69" t="s">
        <v>698</v>
      </c>
      <c r="B69" t="s">
        <v>661</v>
      </c>
      <c r="C69" t="s">
        <v>701</v>
      </c>
      <c r="D69" t="s">
        <v>634</v>
      </c>
      <c r="E69" s="194" t="str">
        <f>'H - MO'!F80+'BF - MO'!F85+'BP - MO'!F85</f>
        <v>0</v>
      </c>
      <c r="H69" s="189">
        <v>2.01</v>
      </c>
      <c r="I69" s="193" t="str">
        <f>E69*H69</f>
        <v>0</v>
      </c>
    </row>
    <row r="70" spans="1:13">
      <c r="E70" s="9"/>
      <c r="I70" s="193"/>
    </row>
    <row r="71" spans="1:13">
      <c r="A71" t="s">
        <v>487</v>
      </c>
      <c r="B71" t="s">
        <v>660</v>
      </c>
      <c r="C71" t="s">
        <v>699</v>
      </c>
      <c r="D71" t="s">
        <v>593</v>
      </c>
      <c r="E71" s="192" t="str">
        <f>'H - MO'!D34+'BF - MO'!D34+'BP - MO'!D34</f>
        <v>0</v>
      </c>
      <c r="F71" s="1">
        <v>0.024</v>
      </c>
      <c r="H71" s="187" t="str">
        <f>F71*(1+$I$6)*$I$1</f>
        <v>0</v>
      </c>
      <c r="I71" s="193" t="str">
        <f>E71*H71</f>
        <v>0</v>
      </c>
    </row>
    <row r="72" spans="1:13">
      <c r="A72" t="s">
        <v>487</v>
      </c>
      <c r="B72" t="s">
        <v>660</v>
      </c>
      <c r="C72" t="s">
        <v>699</v>
      </c>
      <c r="D72" t="s">
        <v>595</v>
      </c>
      <c r="E72" s="192" t="str">
        <f>'H - MO'!D35+'BF - MO'!D35+'BP - MO'!D35</f>
        <v>0</v>
      </c>
      <c r="F72" s="1">
        <v>0.061</v>
      </c>
      <c r="H72" s="187" t="str">
        <f>F72*(1+$I$6)*$I$1</f>
        <v>0</v>
      </c>
      <c r="I72" s="193" t="str">
        <f>E72*H72</f>
        <v>0</v>
      </c>
    </row>
    <row r="73" spans="1:13">
      <c r="A73" t="s">
        <v>487</v>
      </c>
      <c r="B73" t="s">
        <v>660</v>
      </c>
      <c r="C73" t="s">
        <v>699</v>
      </c>
      <c r="D73" t="s">
        <v>596</v>
      </c>
      <c r="E73" s="192" t="str">
        <f>'H - MO'!D36+'BF - MO'!D36+'BP - MO'!D36</f>
        <v>0</v>
      </c>
      <c r="F73" s="1">
        <v>0.037</v>
      </c>
      <c r="H73" s="187" t="str">
        <f>F73*(1+$I$6)*$I$1</f>
        <v>0</v>
      </c>
      <c r="I73" s="193" t="str">
        <f>E73*H73</f>
        <v>0</v>
      </c>
    </row>
    <row r="74" spans="1:13">
      <c r="A74" t="s">
        <v>487</v>
      </c>
      <c r="B74" t="s">
        <v>660</v>
      </c>
      <c r="C74" t="s">
        <v>699</v>
      </c>
      <c r="D74" t="s">
        <v>597</v>
      </c>
      <c r="E74" s="192" t="str">
        <f>'H - MO'!D37+'BF - MO'!D37+'BP - MO'!D37</f>
        <v>0</v>
      </c>
      <c r="F74" s="1">
        <v>0.048</v>
      </c>
      <c r="H74" s="187" t="str">
        <f>F74*(1+$I$6)*$I$1</f>
        <v>0</v>
      </c>
      <c r="I74" s="193" t="str">
        <f>E74*H74</f>
        <v>0</v>
      </c>
    </row>
    <row r="75" spans="1:13">
      <c r="A75" t="s">
        <v>487</v>
      </c>
      <c r="B75" t="s">
        <v>660</v>
      </c>
      <c r="C75" s="1" t="s">
        <v>692</v>
      </c>
      <c r="D75" t="s">
        <v>598</v>
      </c>
      <c r="E75" s="192" t="str">
        <f>'H - MO'!D38+'BF - MO'!D38+'BP - MO'!D38</f>
        <v>0</v>
      </c>
      <c r="H75" s="187">
        <v>0.79</v>
      </c>
      <c r="I75" s="193" t="str">
        <f>E75*H75</f>
        <v>0</v>
      </c>
    </row>
    <row r="76" spans="1:13">
      <c r="A76" t="s">
        <v>487</v>
      </c>
      <c r="B76" t="s">
        <v>660</v>
      </c>
      <c r="C76" s="1" t="s">
        <v>703</v>
      </c>
      <c r="D76" t="s">
        <v>602</v>
      </c>
      <c r="E76" s="192" t="str">
        <f>'H - MO'!D41+'BF - MO'!D41+'BP - MO'!D41</f>
        <v>0</v>
      </c>
      <c r="H76" s="187">
        <v>0.86</v>
      </c>
      <c r="I76" s="193" t="str">
        <f>E76*H76</f>
        <v>0</v>
      </c>
    </row>
    <row r="77" spans="1:13">
      <c r="A77" t="s">
        <v>487</v>
      </c>
      <c r="B77" t="s">
        <v>660</v>
      </c>
      <c r="C77" s="1" t="s">
        <v>703</v>
      </c>
      <c r="D77" t="s">
        <v>603</v>
      </c>
      <c r="E77" s="192" t="str">
        <f>'H - MO'!D42+'BF - MO'!D42+'BP - MO'!D42</f>
        <v>0</v>
      </c>
      <c r="H77" s="189">
        <v>1.07</v>
      </c>
      <c r="I77" s="193" t="str">
        <f>E77*H77</f>
        <v>0</v>
      </c>
    </row>
    <row r="78" spans="1:13">
      <c r="A78" t="s">
        <v>487</v>
      </c>
      <c r="B78" t="s">
        <v>660</v>
      </c>
      <c r="C78" s="1" t="s">
        <v>704</v>
      </c>
      <c r="D78" t="s">
        <v>604</v>
      </c>
      <c r="E78" s="192" t="str">
        <f>'H - MO'!D43+'BF - MO'!D43+'BP - MO'!D43</f>
        <v>0</v>
      </c>
      <c r="H78" s="189">
        <v>0.25</v>
      </c>
      <c r="I78" s="193" t="str">
        <f>E78*H78</f>
        <v>0</v>
      </c>
    </row>
    <row r="79" spans="1:13">
      <c r="A79" t="s">
        <v>487</v>
      </c>
      <c r="B79" t="s">
        <v>661</v>
      </c>
      <c r="C79" s="1" t="s">
        <v>696</v>
      </c>
      <c r="D79" t="s">
        <v>607</v>
      </c>
      <c r="E79" s="192" t="str">
        <f>'H - MO'!D45+'BF - MO'!D45+'BP - MO'!D45</f>
        <v>0</v>
      </c>
      <c r="H79" s="189">
        <v>1.14</v>
      </c>
      <c r="I79" s="193" t="str">
        <f>E79*H79</f>
        <v>0</v>
      </c>
    </row>
    <row r="80" spans="1:13">
      <c r="A80" t="s">
        <v>487</v>
      </c>
      <c r="B80" t="s">
        <v>659</v>
      </c>
      <c r="C80" s="249"/>
      <c r="D80" t="s">
        <v>608</v>
      </c>
      <c r="E80" s="192" t="str">
        <f>'H - MO'!D46+'BF - MO'!D46+'BP - MO'!D46</f>
        <v>0</v>
      </c>
      <c r="H80" s="188">
        <v>30</v>
      </c>
      <c r="I80" s="193" t="str">
        <f>E80*H80</f>
        <v>0</v>
      </c>
    </row>
    <row r="81" spans="1:13">
      <c r="A81" t="s">
        <v>487</v>
      </c>
      <c r="B81" t="s">
        <v>659</v>
      </c>
      <c r="C81" s="249"/>
      <c r="D81" t="s">
        <v>611</v>
      </c>
      <c r="E81" s="192" t="str">
        <f>'H - MO'!D47+'BF - MO'!D47+'BP - MO'!D47</f>
        <v>0</v>
      </c>
      <c r="H81" s="188">
        <v>110</v>
      </c>
      <c r="I81" s="193" t="str">
        <f>E81*H81</f>
        <v>0</v>
      </c>
    </row>
    <row r="82" spans="1:13">
      <c r="E82" s="192"/>
      <c r="I82" s="193"/>
    </row>
    <row r="83" spans="1:13">
      <c r="A83" t="s">
        <v>487</v>
      </c>
      <c r="B83" t="s">
        <v>660</v>
      </c>
      <c r="C83" t="s">
        <v>699</v>
      </c>
      <c r="D83" t="s">
        <v>633</v>
      </c>
      <c r="E83" s="192" t="str">
        <f>'H - MO'!F79+'BF - MO'!F84+'BP - MO'!F84</f>
        <v>0</v>
      </c>
      <c r="F83" s="1" t="str">
        <f>0.036</f>
        <v>0</v>
      </c>
      <c r="H83" s="187" t="str">
        <f>F83*(1+$I$6)*$I$1</f>
        <v>0</v>
      </c>
      <c r="I83" s="193" t="str">
        <f>E83*H83</f>
        <v>0</v>
      </c>
    </row>
    <row r="84" spans="1:13">
      <c r="A84" t="s">
        <v>487</v>
      </c>
      <c r="B84" t="s">
        <v>660</v>
      </c>
      <c r="C84" t="s">
        <v>699</v>
      </c>
      <c r="D84" t="s">
        <v>511</v>
      </c>
      <c r="E84" s="192" t="str">
        <f>'BF - MO'!F88+'BP - MO'!F88</f>
        <v>0</v>
      </c>
      <c r="F84" s="1">
        <v>0.058</v>
      </c>
      <c r="H84" s="187" t="str">
        <f>F84*(1+$I$6)*$I$1</f>
        <v>0</v>
      </c>
      <c r="I84" s="193" t="str">
        <f>E84*H84</f>
        <v>0</v>
      </c>
    </row>
    <row r="85" spans="1:13">
      <c r="A85" t="s">
        <v>487</v>
      </c>
      <c r="B85" t="s">
        <v>660</v>
      </c>
      <c r="C85" t="s">
        <v>699</v>
      </c>
      <c r="D85" t="s">
        <v>496</v>
      </c>
      <c r="E85" s="192" t="str">
        <f>'BF - MO'!F89+'BP - MO'!F89</f>
        <v>0</v>
      </c>
      <c r="F85" s="1">
        <v>0.1</v>
      </c>
      <c r="H85" s="187" t="str">
        <f>F85*(1+$I$6)*$I$1</f>
        <v>0</v>
      </c>
      <c r="I85" s="193" t="str">
        <f>E85*H85</f>
        <v>0</v>
      </c>
    </row>
    <row r="86" spans="1:13">
      <c r="A86" t="s">
        <v>487</v>
      </c>
      <c r="B86" t="s">
        <v>659</v>
      </c>
      <c r="C86" t="s">
        <v>685</v>
      </c>
      <c r="D86" t="s">
        <v>512</v>
      </c>
      <c r="E86" s="192" t="str">
        <f>'BF - MO'!F90+'BP - MO'!F90</f>
        <v>0</v>
      </c>
      <c r="H86" s="189">
        <v>39.67</v>
      </c>
      <c r="I86" s="193" t="str">
        <f>E86*H86</f>
        <v>0</v>
      </c>
    </row>
    <row r="87" spans="1:13">
      <c r="A87" t="s">
        <v>487</v>
      </c>
      <c r="B87" t="s">
        <v>661</v>
      </c>
      <c r="C87" t="s">
        <v>701</v>
      </c>
      <c r="D87" t="s">
        <v>492</v>
      </c>
      <c r="E87" s="192" t="str">
        <f>'BF - MO'!F91+'BP - MO'!F91</f>
        <v>0</v>
      </c>
      <c r="H87" s="189">
        <v>1.7</v>
      </c>
      <c r="I87" s="193" t="str">
        <f>E87*H87</f>
        <v>0</v>
      </c>
    </row>
    <row r="88" spans="1:13">
      <c r="A88" t="s">
        <v>487</v>
      </c>
      <c r="B88" t="s">
        <v>661</v>
      </c>
      <c r="C88" t="s">
        <v>701</v>
      </c>
      <c r="D88" t="s">
        <v>493</v>
      </c>
      <c r="E88" s="192" t="str">
        <f>'BF - MO'!F92+'BP - MO'!F92</f>
        <v>0</v>
      </c>
      <c r="H88" s="189">
        <v>0.53</v>
      </c>
      <c r="I88" s="193" t="str">
        <f>E88*H88</f>
        <v>0</v>
      </c>
    </row>
    <row r="89" spans="1:13">
      <c r="A89" t="s">
        <v>487</v>
      </c>
      <c r="B89" t="s">
        <v>661</v>
      </c>
      <c r="C89" t="s">
        <v>701</v>
      </c>
      <c r="D89" t="s">
        <v>498</v>
      </c>
      <c r="E89" s="192" t="str">
        <f>'BF - MO'!F93+'BP - MO'!F93</f>
        <v>0</v>
      </c>
      <c r="H89" s="189">
        <v>0.17</v>
      </c>
      <c r="I89" s="193" t="str">
        <f>E89*H89</f>
        <v>0</v>
      </c>
    </row>
    <row r="90" spans="1:13">
      <c r="A90" t="s">
        <v>487</v>
      </c>
      <c r="B90" t="s">
        <v>660</v>
      </c>
      <c r="C90" s="439" t="s">
        <v>692</v>
      </c>
      <c r="D90" t="s">
        <v>513</v>
      </c>
      <c r="E90" s="192" t="str">
        <f>'BF - MO'!F94+'BP - MO'!F94</f>
        <v>0</v>
      </c>
      <c r="H90" s="189" t="str">
        <f>16/100</f>
        <v>0</v>
      </c>
      <c r="I90" s="193" t="str">
        <f>E90*H90</f>
        <v>0</v>
      </c>
    </row>
    <row r="91" spans="1:13">
      <c r="A91" t="s">
        <v>487</v>
      </c>
      <c r="B91" t="s">
        <v>660</v>
      </c>
      <c r="C91" s="439" t="s">
        <v>692</v>
      </c>
      <c r="D91" t="s">
        <v>514</v>
      </c>
      <c r="E91" s="192" t="str">
        <f>'BF - MO'!F95+'BP - MO'!F95</f>
        <v>0</v>
      </c>
      <c r="H91" s="189">
        <v>0.19</v>
      </c>
      <c r="I91" s="193" t="str">
        <f>E91*H91</f>
        <v>0</v>
      </c>
    </row>
    <row r="92" spans="1:13">
      <c r="A92" t="s">
        <v>487</v>
      </c>
      <c r="B92" t="s">
        <v>660</v>
      </c>
      <c r="C92" s="439" t="s">
        <v>692</v>
      </c>
      <c r="D92" t="s">
        <v>515</v>
      </c>
      <c r="E92" s="192" t="str">
        <f>'BF - MO'!F96+'BP - MO'!F96</f>
        <v>0</v>
      </c>
      <c r="H92" s="189">
        <v>0.4</v>
      </c>
      <c r="I92" s="193" t="str">
        <f>E92*H92</f>
        <v>0</v>
      </c>
    </row>
    <row r="93" spans="1:13">
      <c r="A93" t="s">
        <v>487</v>
      </c>
      <c r="B93" t="s">
        <v>660</v>
      </c>
      <c r="C93" s="439" t="s">
        <v>692</v>
      </c>
      <c r="D93" t="s">
        <v>516</v>
      </c>
      <c r="E93" s="192" t="str">
        <f>'BF - MO'!F97+'BP - MO'!F97</f>
        <v>0</v>
      </c>
      <c r="H93" s="189">
        <v>0.2</v>
      </c>
      <c r="I93" s="193" t="str">
        <f>E93*H93</f>
        <v>0</v>
      </c>
    </row>
    <row r="94" spans="1:13">
      <c r="A94" t="s">
        <v>487</v>
      </c>
      <c r="B94" t="s">
        <v>660</v>
      </c>
      <c r="C94" s="439" t="s">
        <v>692</v>
      </c>
      <c r="D94" t="s">
        <v>517</v>
      </c>
      <c r="E94" s="192" t="str">
        <f>'BF - MO'!F98+'BP - MO'!F98</f>
        <v>0</v>
      </c>
      <c r="H94" s="189">
        <v>1.46</v>
      </c>
      <c r="I94" s="193" t="str">
        <f>E94*H94</f>
        <v>0</v>
      </c>
    </row>
    <row r="95" spans="1:13">
      <c r="A95" t="s">
        <v>487</v>
      </c>
      <c r="B95" t="s">
        <v>660</v>
      </c>
      <c r="C95" t="s">
        <v>705</v>
      </c>
      <c r="D95" t="s">
        <v>518</v>
      </c>
      <c r="E95" s="192" t="str">
        <f>'BF - MO'!F99+'BP - MO'!F99</f>
        <v>0</v>
      </c>
      <c r="H95" s="189">
        <v>0.19</v>
      </c>
      <c r="I95" s="193" t="str">
        <f>E95*H95</f>
        <v>0</v>
      </c>
    </row>
    <row r="96" spans="1:13">
      <c r="A96" t="s">
        <v>487</v>
      </c>
      <c r="B96" t="s">
        <v>661</v>
      </c>
      <c r="C96" t="s">
        <v>706</v>
      </c>
      <c r="D96" t="s">
        <v>519</v>
      </c>
      <c r="E96" s="192" t="str">
        <f>'BF - MO'!F100+'BP - MO'!F100</f>
        <v>0</v>
      </c>
      <c r="H96" s="189">
        <v>1.18</v>
      </c>
      <c r="I96" s="193" t="str">
        <f>E96*H96</f>
        <v>0</v>
      </c>
    </row>
    <row r="97" spans="1:13">
      <c r="E97" s="192"/>
      <c r="I97" s="193"/>
    </row>
    <row r="98" spans="1:13">
      <c r="A98" t="s">
        <v>615</v>
      </c>
      <c r="B98" t="s">
        <v>615</v>
      </c>
      <c r="C98" t="s">
        <v>707</v>
      </c>
      <c r="D98" t="s">
        <v>540</v>
      </c>
      <c r="E98" s="192" t="str">
        <f>IF(AND('BF - MO'!F58&gt;0,'BF - MO'!F58&lt;=100),'BF - MO'!D58*'BF - MO'!G58,0)/1000+IF(AND('BP - MO'!F58&gt;0,'BP - MO'!F58&lt;=100),'BP - MO'!D58*'BP - MO'!G58)/1000</f>
        <v>0</v>
      </c>
      <c r="F98" s="191"/>
      <c r="H98" s="189">
        <v>62.06</v>
      </c>
      <c r="I98" s="193" t="str">
        <f>E98/1000*H98</f>
        <v>0</v>
      </c>
    </row>
    <row r="99" spans="1:13">
      <c r="A99" t="s">
        <v>615</v>
      </c>
      <c r="B99" t="s">
        <v>615</v>
      </c>
      <c r="C99" t="s">
        <v>707</v>
      </c>
      <c r="D99" t="s">
        <v>541</v>
      </c>
      <c r="E99" s="192" t="str">
        <f>IF(AND('BF - MO'!F58&gt;100,'BF - MO'!F58&lt;=160),'BF - MO'!D58*'BF - MO'!G58,0)/1000+IF(AND('BP - MO'!F58&gt;100,'BP - MO'!F58&lt;=160),'BP - MO'!D58*'BP - MO'!G58)/1000</f>
        <v>0</v>
      </c>
      <c r="F99" s="191"/>
      <c r="H99" s="189">
        <v>85.34</v>
      </c>
      <c r="I99" s="193" t="str">
        <f>E99/1000*H99</f>
        <v>0</v>
      </c>
    </row>
    <row r="100" spans="1:13">
      <c r="A100" t="s">
        <v>615</v>
      </c>
      <c r="B100" t="s">
        <v>615</v>
      </c>
      <c r="C100" t="s">
        <v>707</v>
      </c>
      <c r="D100" t="s">
        <v>542</v>
      </c>
      <c r="E100" s="192" t="str">
        <f>IF(AND('BF - MO'!F58&gt;160,'BF - MO'!F58&lt;=200),'BF - MO'!D58*'BF - MO'!G58,0)/1000+IF(AND('BP - MO'!F58&gt;160,'BP - MO'!F58&lt;=200),'BP - MO'!D58*'BP - MO'!G58)/1000</f>
        <v>0</v>
      </c>
      <c r="F100" s="191"/>
      <c r="H100" s="189">
        <v>110.95</v>
      </c>
      <c r="I100" s="193" t="str">
        <f>E100/1000*H100</f>
        <v>0</v>
      </c>
    </row>
    <row r="101" spans="1:13">
      <c r="A101" t="s">
        <v>615</v>
      </c>
      <c r="B101" t="s">
        <v>615</v>
      </c>
      <c r="C101" t="s">
        <v>707</v>
      </c>
      <c r="D101" t="s">
        <v>708</v>
      </c>
      <c r="E101" s="192" t="str">
        <f>IF(AND('BF - MO'!F59&gt;0,'BF - MO'!F59&lt;=62),'BF - MO'!D59*'BF - MO'!G59,0)/1000+IF(AND('BP - MO'!F59&gt;0,'BP - MO'!F59&lt;=62),'BP - MO'!D59*'BP - MO'!G59)/1000</f>
        <v>0</v>
      </c>
      <c r="F101" s="191"/>
      <c r="H101" s="187">
        <v>41.14</v>
      </c>
      <c r="I101" s="193" t="str">
        <f>E101/1000*H101</f>
        <v>0</v>
      </c>
    </row>
    <row r="102" spans="1:13">
      <c r="A102" t="s">
        <v>615</v>
      </c>
      <c r="B102" t="s">
        <v>615</v>
      </c>
      <c r="C102" t="s">
        <v>707</v>
      </c>
      <c r="D102" t="s">
        <v>545</v>
      </c>
      <c r="E102" s="192" t="str">
        <f>IF(AND('BF - MO'!F59&gt;62,'BF - MO'!F59&lt;=101),'BF - MO'!D59*'BF - MO'!G59,0)/1000+IF(AND('BP - MO'!F59&gt;62,'BP - MO'!F59&lt;=101),'BP - MO'!D59*'BP - MO'!G59)/1000</f>
        <v>0</v>
      </c>
      <c r="F102" s="191"/>
      <c r="H102" s="187">
        <v>61.43</v>
      </c>
      <c r="I102" s="193" t="str">
        <f>E102/1000*H102</f>
        <v>0</v>
      </c>
    </row>
    <row r="103" spans="1:13">
      <c r="A103" t="s">
        <v>615</v>
      </c>
      <c r="B103" t="s">
        <v>615</v>
      </c>
      <c r="C103" t="s">
        <v>709</v>
      </c>
      <c r="D103" t="s">
        <v>270</v>
      </c>
      <c r="E103" s="192" t="str">
        <f>IF('BF - MO'!E61=27,'BF - MO'!D61*'BF - MO'!G61,0)/1000+IF('BP - MO'!E61=27,'BP - MO'!D61*'BP - MO'!G61,0)/1000</f>
        <v>0</v>
      </c>
      <c r="F103" s="191"/>
      <c r="H103" s="187">
        <v>38.64</v>
      </c>
      <c r="I103" s="193" t="str">
        <f>E103/1000*H103</f>
        <v>0</v>
      </c>
    </row>
    <row r="104" spans="1:13">
      <c r="A104" t="s">
        <v>615</v>
      </c>
      <c r="B104" t="s">
        <v>615</v>
      </c>
      <c r="C104" t="s">
        <v>709</v>
      </c>
      <c r="D104" t="s">
        <v>274</v>
      </c>
      <c r="E104" s="192" t="str">
        <f>IF('BF - MO'!E61=46,'BF - MO'!D61*'BF - MO'!G61,0)/1000+IF('BP - MO'!E61=46,'BP - MO'!D61*'BP - MO'!G61,0)/1000</f>
        <v>0</v>
      </c>
      <c r="F104" s="191"/>
      <c r="H104" s="187">
        <v>54.09</v>
      </c>
      <c r="I104" s="193" t="str">
        <f>E104/1000*H104</f>
        <v>0</v>
      </c>
    </row>
    <row r="105" spans="1:13">
      <c r="A105" t="s">
        <v>615</v>
      </c>
      <c r="B105" t="s">
        <v>615</v>
      </c>
      <c r="C105" t="s">
        <v>707</v>
      </c>
      <c r="D105" t="s">
        <v>278</v>
      </c>
      <c r="E105" s="192" t="str">
        <f>IF(AND('BF - MO'!F61&gt;0,'BF - MO'!F61&lt;=100),'BF - MO'!D61*'BF - MO'!G61,0)/1000+IF(AND('BP - MO'!F61&gt;0,'BP - MO'!F61&lt;=100),'BP - MO'!D61*'BP - MO'!G61)/1000</f>
        <v>0</v>
      </c>
      <c r="F105" s="191"/>
      <c r="H105" s="189">
        <v>136.01</v>
      </c>
      <c r="I105" s="193" t="str">
        <f>E105/1000*H105</f>
        <v>0</v>
      </c>
    </row>
    <row r="106" spans="1:13">
      <c r="A106" t="s">
        <v>615</v>
      </c>
      <c r="B106" t="s">
        <v>615</v>
      </c>
      <c r="C106" t="s">
        <v>707</v>
      </c>
      <c r="D106" t="s">
        <v>282</v>
      </c>
      <c r="E106" s="192" t="str">
        <f>IF(AND('BF - MO'!F61&gt;100,'BF - MO'!F61&lt;=160),'BF - MO'!D61*'BF - MO'!G61,0)/1000+IF(AND('BP - MO'!F61&gt;100,'BP - MO'!F61&lt;=160),'BP - MO'!D61*'BP - MO'!G61)/1000</f>
        <v>0</v>
      </c>
      <c r="F106" s="191"/>
      <c r="H106" s="189">
        <v>210.43</v>
      </c>
      <c r="I106" s="193" t="str">
        <f>E106/1000*H106</f>
        <v>0</v>
      </c>
    </row>
    <row r="107" spans="1:13">
      <c r="A107" t="s">
        <v>615</v>
      </c>
      <c r="B107" t="s">
        <v>615</v>
      </c>
      <c r="C107" t="s">
        <v>707</v>
      </c>
      <c r="D107" t="s">
        <v>286</v>
      </c>
      <c r="E107" s="192" t="str">
        <f>IF(AND('BF - MO'!F61&gt;160,'BF - MO'!F61&lt;=200),'BF - MO'!D61*'BF - MO'!G61,0)/1000+IF(AND('BP - MO'!F61&gt;160,'BP - MO'!F61&lt;=200),'BP - MO'!D61*'BP - MO'!G61)/1000</f>
        <v>0</v>
      </c>
      <c r="F107" s="191"/>
      <c r="H107" s="189">
        <v>263</v>
      </c>
      <c r="I107" s="193" t="str">
        <f>E107/1000*H107</f>
        <v>0</v>
      </c>
    </row>
    <row r="108" spans="1:13">
      <c r="E108" s="9"/>
      <c r="F108" s="9"/>
    </row>
    <row r="109" spans="1:13">
      <c r="I109" s="199" t="str">
        <f>SUM(I23:I108)</f>
        <v>0</v>
      </c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mergeCells>
    <mergeCell ref="H21:I2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1"/>
  <sheetViews>
    <sheetView tabSelected="0" workbookViewId="0" showGridLines="true" showRowColHeaders="1">
      <selection activeCell="B10" sqref="B10"/>
    </sheetView>
  </sheetViews>
  <sheetFormatPr defaultRowHeight="14.4" outlineLevelRow="0" outlineLevelCol="0"/>
  <cols>
    <col min="1" max="1" width="28.1640625" customWidth="true" style="2"/>
    <col min="2" max="2" width="19.1640625" customWidth="true" style="2"/>
    <col min="3" max="3" width="11.33203125" customWidth="true" style="2"/>
    <col min="4" max="4" width="11.33203125" customWidth="true" style="2"/>
    <col min="5" max="5" width="11.33203125" customWidth="true" style="2"/>
    <col min="6" max="6" width="11.33203125" customWidth="true" style="2"/>
    <col min="7" max="7" width="13.1640625" customWidth="true" style="2"/>
    <col min="8" max="8" width="12" customWidth="true" style="2"/>
    <col min="9" max="9" width="13.6640625" customWidth="true" style="2"/>
    <col min="10" max="10" width="13.6640625" customWidth="true" style="2"/>
    <col min="11" max="11" width="13.6640625" customWidth="true" style="2"/>
    <col min="12" max="12" width="13.6640625" customWidth="true" style="2"/>
    <col min="13" max="13" width="9.33203125" customWidth="true" style="2"/>
  </cols>
  <sheetData>
    <row r="1" spans="1:13" customHeight="1" ht="15">
      <c r="A1" s="4" t="s">
        <v>72</v>
      </c>
    </row>
    <row r="2" spans="1:13" customHeight="1" ht="15">
      <c r="A2" s="4" t="s">
        <v>73</v>
      </c>
    </row>
    <row r="4" spans="1:13">
      <c r="A4" s="1" t="s">
        <v>74</v>
      </c>
      <c r="B4" s="10" t="str">
        <f>'H - INPUT'!F35</f>
        <v>0</v>
      </c>
    </row>
    <row r="5" spans="1:13">
      <c r="A5" s="1" t="s">
        <v>75</v>
      </c>
      <c r="B5" s="11" t="str">
        <f>'H - INPUT'!F36</f>
        <v>0</v>
      </c>
    </row>
    <row r="6" spans="1:13">
      <c r="A6" s="1" t="s">
        <v>76</v>
      </c>
      <c r="B6" s="10" t="str">
        <f>IF(AND('H - INPUT'!F34="Window Size",'H - INPUT'!F32="Inside Reveal"),VLOOKUP('H - INPUT'!F30,'Opening H'!B17:F41,2,0),IF(AND('H - INPUT'!F34="Window Size",'H - INPUT'!F32="Outside Reveal"),VLOOKUP('H - INPUT'!F30,'Opening H'!B17:F41,4,0)))</f>
        <v>0</v>
      </c>
    </row>
    <row r="7" spans="1:13">
      <c r="A7" s="1" t="s">
        <v>77</v>
      </c>
      <c r="B7" s="11" t="str">
        <f>IF(AND('H - INPUT'!F34="Window Size",'H - INPUT'!F32="Inside Reveal"),VLOOKUP('H - INPUT'!F30,'Opening H'!B17:F41,3,0),IF(AND('H - INPUT'!F34="Window Size",'H - INPUT'!F32="Outside Reveal"),VLOOKUP('H - INPUT'!F30,'Opening H'!B17:F41,5,0)))</f>
        <v>0</v>
      </c>
    </row>
    <row r="8" spans="1:13">
      <c r="A8" s="1" t="s">
        <v>78</v>
      </c>
      <c r="B8" s="12" t="str">
        <f>ROUNDDOWN(B4+B6,0)</f>
        <v>0</v>
      </c>
    </row>
    <row r="9" spans="1:13">
      <c r="A9" s="1" t="s">
        <v>79</v>
      </c>
      <c r="B9" s="13" t="str">
        <f>ROUNDDOWN(B5+B7,0)</f>
        <v>0</v>
      </c>
    </row>
    <row r="11" spans="1:13">
      <c r="C11" s="37" t="s">
        <v>80</v>
      </c>
      <c r="D11" s="457"/>
      <c r="E11" s="457">
        <v>3.5</v>
      </c>
    </row>
    <row r="12" spans="1:13">
      <c r="C12" s="37" t="s">
        <v>81</v>
      </c>
      <c r="D12" s="457"/>
      <c r="E12" s="457">
        <v>32</v>
      </c>
    </row>
    <row r="13" spans="1:13" customHeight="1" ht="12.75"/>
    <row r="14" spans="1:13">
      <c r="C14" s="966" t="s">
        <v>82</v>
      </c>
      <c r="D14" s="967"/>
      <c r="E14" s="967"/>
      <c r="F14" s="968"/>
    </row>
    <row r="15" spans="1:13">
      <c r="C15" s="964" t="s">
        <v>83</v>
      </c>
      <c r="D15" s="965"/>
      <c r="E15" s="964" t="s">
        <v>84</v>
      </c>
      <c r="F15" s="965"/>
    </row>
    <row r="16" spans="1:13" customHeight="1" ht="12.75">
      <c r="C16" s="468" t="s">
        <v>85</v>
      </c>
      <c r="D16" s="469" t="s">
        <v>86</v>
      </c>
      <c r="E16" s="468" t="s">
        <v>85</v>
      </c>
      <c r="F16" s="469" t="s">
        <v>86</v>
      </c>
    </row>
    <row r="17" spans="1:13">
      <c r="B17" s="474" t="s">
        <v>49</v>
      </c>
      <c r="C17" s="3">
        <v>0</v>
      </c>
      <c r="D17" s="76">
        <v>0</v>
      </c>
      <c r="E17" s="464">
        <v>0</v>
      </c>
      <c r="F17" s="76">
        <v>0</v>
      </c>
    </row>
    <row r="18" spans="1:13">
      <c r="B18" s="475" t="s">
        <v>87</v>
      </c>
      <c r="C18" s="3" t="str">
        <f>-$E$11*2</f>
        <v>0</v>
      </c>
      <c r="D18" s="553" t="str">
        <f>-$E$11*1</f>
        <v>0</v>
      </c>
      <c r="E18" s="464" t="str">
        <f>$E$12*2</f>
        <v>0</v>
      </c>
      <c r="F18" s="452">
        <v>0</v>
      </c>
    </row>
    <row r="19" spans="1:13">
      <c r="B19" s="475" t="s">
        <v>88</v>
      </c>
      <c r="C19" s="3" t="str">
        <f>-$E$11*2</f>
        <v>0</v>
      </c>
      <c r="D19" s="452" t="str">
        <f>-$E$11*1</f>
        <v>0</v>
      </c>
      <c r="E19" s="464" t="str">
        <f>$E$12*2</f>
        <v>0</v>
      </c>
      <c r="F19" s="452" t="str">
        <f>$E$12*1</f>
        <v>0</v>
      </c>
    </row>
    <row r="20" spans="1:13">
      <c r="B20" s="475" t="s">
        <v>89</v>
      </c>
      <c r="C20" s="3" t="str">
        <f>-$E$11*2</f>
        <v>0</v>
      </c>
      <c r="D20" s="452" t="str">
        <f>-$E$11*1</f>
        <v>0</v>
      </c>
      <c r="E20" s="464" t="str">
        <f>$E$12*2</f>
        <v>0</v>
      </c>
      <c r="F20" s="452" t="str">
        <f>$E$12*1</f>
        <v>0</v>
      </c>
    </row>
    <row r="21" spans="1:13">
      <c r="B21" s="475" t="s">
        <v>90</v>
      </c>
      <c r="C21" s="451" t="str">
        <f>-$E$11*1</f>
        <v>0</v>
      </c>
      <c r="D21" s="76" t="str">
        <f>-$E$11*2</f>
        <v>0</v>
      </c>
      <c r="E21" s="465" t="str">
        <f>$E$12*1</f>
        <v>0</v>
      </c>
      <c r="F21" s="76" t="str">
        <f>$E$12*2</f>
        <v>0</v>
      </c>
    </row>
    <row r="22" spans="1:13">
      <c r="B22" s="475" t="s">
        <v>91</v>
      </c>
      <c r="C22" s="451" t="str">
        <f>-$E$11*1</f>
        <v>0</v>
      </c>
      <c r="D22" s="76" t="str">
        <f>-$E$11*2</f>
        <v>0</v>
      </c>
      <c r="E22" s="465" t="str">
        <f>$E$12*1</f>
        <v>0</v>
      </c>
      <c r="F22" s="76" t="str">
        <f>$E$12*2</f>
        <v>0</v>
      </c>
    </row>
    <row r="23" spans="1:13">
      <c r="B23" s="475" t="s">
        <v>92</v>
      </c>
      <c r="C23" s="3" t="str">
        <f>-$E$11*2</f>
        <v>0</v>
      </c>
      <c r="D23" s="76" t="str">
        <f>-$E$11*2</f>
        <v>0</v>
      </c>
      <c r="E23" s="464" t="str">
        <f>$E$12*2</f>
        <v>0</v>
      </c>
      <c r="F23" s="76" t="str">
        <f>$E$12*2</f>
        <v>0</v>
      </c>
    </row>
    <row r="24" spans="1:13">
      <c r="B24" s="475" t="s">
        <v>93</v>
      </c>
      <c r="C24" s="3" t="str">
        <f>-$E$11*2</f>
        <v>0</v>
      </c>
      <c r="D24" s="452" t="str">
        <f>-$E$11*1</f>
        <v>0</v>
      </c>
      <c r="E24" s="464" t="str">
        <f>$E$12*2</f>
        <v>0</v>
      </c>
      <c r="F24" s="452" t="str">
        <f>$E$12*1</f>
        <v>0</v>
      </c>
    </row>
    <row r="25" spans="1:13">
      <c r="B25" s="475" t="s">
        <v>94</v>
      </c>
      <c r="C25" s="3" t="str">
        <f>-$E$11*2</f>
        <v>0</v>
      </c>
      <c r="D25" s="452" t="str">
        <f>-$E$11*1</f>
        <v>0</v>
      </c>
      <c r="E25" s="464" t="str">
        <f>$E$12*2</f>
        <v>0</v>
      </c>
      <c r="F25" s="452" t="str">
        <f>$E$12*1</f>
        <v>0</v>
      </c>
    </row>
    <row r="26" spans="1:13">
      <c r="B26" s="475" t="s">
        <v>95</v>
      </c>
      <c r="C26" s="3" t="str">
        <f>-$E$11*2</f>
        <v>0</v>
      </c>
      <c r="D26" s="76" t="str">
        <f>-$E$11*2</f>
        <v>0</v>
      </c>
      <c r="E26" s="464" t="str">
        <f>$E$12*2</f>
        <v>0</v>
      </c>
      <c r="F26" s="76" t="str">
        <f>$E$12*2</f>
        <v>0</v>
      </c>
    </row>
    <row r="27" spans="1:13">
      <c r="B27" s="475" t="s">
        <v>96</v>
      </c>
      <c r="C27" s="3" t="str">
        <f>-$E$11*2</f>
        <v>0</v>
      </c>
      <c r="D27" s="76" t="str">
        <f>-$E$11*2</f>
        <v>0</v>
      </c>
      <c r="E27" s="464" t="str">
        <f>$E$12*2</f>
        <v>0</v>
      </c>
      <c r="F27" s="76" t="str">
        <f>$E$12*2</f>
        <v>0</v>
      </c>
    </row>
    <row r="28" spans="1:13">
      <c r="B28" s="475" t="s">
        <v>97</v>
      </c>
      <c r="C28" s="3" t="str">
        <f>-$E$11*2</f>
        <v>0</v>
      </c>
      <c r="D28" s="76" t="str">
        <f>-$E$11*2</f>
        <v>0</v>
      </c>
      <c r="E28" s="464" t="str">
        <f>$E$12*2</f>
        <v>0</v>
      </c>
      <c r="F28" s="76" t="str">
        <f>$E$12*2</f>
        <v>0</v>
      </c>
    </row>
    <row r="29" spans="1:13">
      <c r="B29" s="475" t="s">
        <v>98</v>
      </c>
      <c r="C29" s="3" t="str">
        <f>-$E$11*2</f>
        <v>0</v>
      </c>
      <c r="D29" s="76" t="str">
        <f>-$E$11*2</f>
        <v>0</v>
      </c>
      <c r="E29" s="464" t="str">
        <f>$E$12*2</f>
        <v>0</v>
      </c>
      <c r="F29" s="76" t="str">
        <f>$E$12*2</f>
        <v>0</v>
      </c>
    </row>
    <row r="30" spans="1:13">
      <c r="B30" s="475" t="s">
        <v>99</v>
      </c>
      <c r="C30" s="3" t="str">
        <f>-$E$11*2</f>
        <v>0</v>
      </c>
      <c r="D30" s="76" t="str">
        <f>-$E$11*2</f>
        <v>0</v>
      </c>
      <c r="E30" s="464" t="str">
        <f>$E$12*2</f>
        <v>0</v>
      </c>
      <c r="F30" s="76" t="str">
        <f>$E$12*2</f>
        <v>0</v>
      </c>
    </row>
    <row r="31" spans="1:13">
      <c r="B31" s="475" t="s">
        <v>100</v>
      </c>
      <c r="C31" s="3" t="str">
        <f>-$E$11*2</f>
        <v>0</v>
      </c>
      <c r="D31" s="76" t="str">
        <f>-$E$11*2</f>
        <v>0</v>
      </c>
      <c r="E31" s="464" t="str">
        <f>$E$12*2</f>
        <v>0</v>
      </c>
      <c r="F31" s="76" t="str">
        <f>$E$12*2</f>
        <v>0</v>
      </c>
    </row>
    <row r="32" spans="1:13">
      <c r="B32" s="475" t="s">
        <v>101</v>
      </c>
      <c r="C32" s="3" t="str">
        <f>-$E$11*2</f>
        <v>0</v>
      </c>
      <c r="D32" s="76" t="str">
        <f>-$E$11*2</f>
        <v>0</v>
      </c>
      <c r="E32" s="464" t="str">
        <f>$E$12*2</f>
        <v>0</v>
      </c>
      <c r="F32" s="76" t="str">
        <f>$E$12*2</f>
        <v>0</v>
      </c>
    </row>
    <row r="33" spans="1:13">
      <c r="B33" s="475" t="s">
        <v>102</v>
      </c>
      <c r="C33" s="3" t="str">
        <f>-$E$11*2</f>
        <v>0</v>
      </c>
      <c r="D33" s="76" t="str">
        <f>-$E$11*2</f>
        <v>0</v>
      </c>
      <c r="E33" s="464" t="str">
        <f>$E$12*2</f>
        <v>0</v>
      </c>
      <c r="F33" s="76" t="str">
        <f>$E$12*2</f>
        <v>0</v>
      </c>
    </row>
    <row r="34" spans="1:13">
      <c r="B34" s="475" t="s">
        <v>103</v>
      </c>
      <c r="C34" s="3" t="str">
        <f>-$E$11*2</f>
        <v>0</v>
      </c>
      <c r="D34" s="76" t="str">
        <f>-$E$11*2</f>
        <v>0</v>
      </c>
      <c r="E34" s="464" t="str">
        <f>$E$12*2</f>
        <v>0</v>
      </c>
      <c r="F34" s="76" t="str">
        <f>$E$12*2</f>
        <v>0</v>
      </c>
    </row>
    <row r="35" spans="1:13">
      <c r="B35" s="475" t="s">
        <v>104</v>
      </c>
      <c r="C35" s="3" t="str">
        <f>-$E$11*2</f>
        <v>0</v>
      </c>
      <c r="D35" s="76" t="str">
        <f>-$E$11*2</f>
        <v>0</v>
      </c>
      <c r="E35" s="464" t="str">
        <f>$E$12*2</f>
        <v>0</v>
      </c>
      <c r="F35" s="76" t="str">
        <f>$E$12*2</f>
        <v>0</v>
      </c>
    </row>
    <row r="36" spans="1:13">
      <c r="B36" s="475" t="s">
        <v>105</v>
      </c>
      <c r="C36" s="3" t="str">
        <f>-$E$11*2</f>
        <v>0</v>
      </c>
      <c r="D36" s="452" t="str">
        <f>-$E$11*1</f>
        <v>0</v>
      </c>
      <c r="E36" s="464" t="str">
        <f>$E$12*2</f>
        <v>0</v>
      </c>
      <c r="F36" s="452" t="str">
        <f>$E$12*1</f>
        <v>0</v>
      </c>
    </row>
    <row r="37" spans="1:13">
      <c r="B37" s="475" t="s">
        <v>106</v>
      </c>
      <c r="C37" s="3" t="str">
        <f>-$E$11*2</f>
        <v>0</v>
      </c>
      <c r="D37" s="452" t="str">
        <f>-$E$11*1</f>
        <v>0</v>
      </c>
      <c r="E37" s="464" t="str">
        <f>$E$12*2</f>
        <v>0</v>
      </c>
      <c r="F37" s="452" t="str">
        <f>$E$12*1</f>
        <v>0</v>
      </c>
    </row>
    <row r="38" spans="1:13">
      <c r="B38" s="475" t="s">
        <v>107</v>
      </c>
      <c r="C38" s="3" t="str">
        <f>-$E$11*2</f>
        <v>0</v>
      </c>
      <c r="D38" s="452" t="str">
        <f>-$E$11*1</f>
        <v>0</v>
      </c>
      <c r="E38" s="464" t="str">
        <f>$E$12*2</f>
        <v>0</v>
      </c>
      <c r="F38" s="452" t="str">
        <f>$E$12*1</f>
        <v>0</v>
      </c>
    </row>
    <row r="39" spans="1:13">
      <c r="B39" s="475" t="s">
        <v>108</v>
      </c>
      <c r="C39" s="3" t="str">
        <f>-$E$11*2</f>
        <v>0</v>
      </c>
      <c r="D39" s="452" t="str">
        <f>-$E$11*1</f>
        <v>0</v>
      </c>
      <c r="E39" s="464" t="str">
        <f>$E$12*2</f>
        <v>0</v>
      </c>
      <c r="F39" s="452" t="str">
        <f>$E$12*1</f>
        <v>0</v>
      </c>
    </row>
    <row r="40" spans="1:13">
      <c r="B40" s="475" t="s">
        <v>109</v>
      </c>
      <c r="C40" s="3" t="str">
        <f>-$E$11*2</f>
        <v>0</v>
      </c>
      <c r="D40" s="452" t="str">
        <f>-$E$11*1</f>
        <v>0</v>
      </c>
      <c r="E40" s="464" t="str">
        <f>$E$12*2</f>
        <v>0</v>
      </c>
      <c r="F40" s="452" t="str">
        <f>$E$12*1</f>
        <v>0</v>
      </c>
    </row>
    <row r="41" spans="1:13" customHeight="1" ht="12.75">
      <c r="B41" s="476" t="s">
        <v>110</v>
      </c>
      <c r="C41" s="77" t="str">
        <f>-$E$11*2</f>
        <v>0</v>
      </c>
      <c r="D41" s="467" t="str">
        <f>-$E$11*1</f>
        <v>0</v>
      </c>
      <c r="E41" s="466" t="str">
        <f>$E$12*2</f>
        <v>0</v>
      </c>
      <c r="F41" s="467" t="str">
        <f>$E$12*1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5:D15"/>
    <mergeCell ref="E15:F15"/>
    <mergeCell ref="C14:F14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290"/>
  <sheetViews>
    <sheetView tabSelected="0" workbookViewId="0" showGridLines="true" showRowColHeaders="1">
      <selection activeCell="B13" sqref="B13"/>
    </sheetView>
  </sheetViews>
  <sheetFormatPr defaultRowHeight="14.4" outlineLevelRow="0" outlineLevelCol="0"/>
  <cols>
    <col min="1" max="1" width="31.83203125" customWidth="true" style="0"/>
    <col min="2" max="2" width="15.5" customWidth="true" style="0"/>
    <col min="3" max="3" width="10.33203125" customWidth="true" style="0"/>
    <col min="4" max="4" width="10.33203125" customWidth="true" style="0"/>
    <col min="5" max="5" width="10.33203125" customWidth="true" style="0"/>
    <col min="6" max="6" width="10.33203125" customWidth="true" style="0"/>
    <col min="7" max="7" width="10.33203125" customWidth="true" style="0"/>
    <col min="8" max="8" width="10.33203125" customWidth="true" style="0"/>
    <col min="9" max="9" width="10.33203125" customWidth="true" style="0"/>
    <col min="10" max="10" width="10.33203125" customWidth="true" style="0"/>
    <col min="11" max="11" width="10.33203125" customWidth="true" style="0"/>
    <col min="12" max="12" width="10.33203125" customWidth="true" style="0"/>
    <col min="13" max="13" width="10.33203125" customWidth="true" style="0"/>
    <col min="15" max="15" width="19.5" customWidth="true" style="0"/>
    <col min="16" max="16" width="15.5" customWidth="true" style="0"/>
    <col min="23" max="23" width="9.6640625" customWidth="true" style="0"/>
    <col min="24" max="24" width="9.6640625" customWidth="true" style="0"/>
    <col min="25" max="25" width="9.6640625" customWidth="true" style="0"/>
    <col min="26" max="26" width="9.6640625" customWidth="true" style="0"/>
    <col min="27" max="27" width="9.6640625" customWidth="true" style="0"/>
    <col min="28" max="28" width="12.33203125" customWidth="true" style="0"/>
    <col min="29" max="29" width="15.5" customWidth="true" style="0"/>
    <col min="30" max="30" width="7.83203125" customWidth="true" style="0"/>
  </cols>
  <sheetData>
    <row r="1" spans="1:30" customHeight="1" ht="15">
      <c r="A1" s="4" t="s">
        <v>72</v>
      </c>
      <c r="B1" s="2"/>
      <c r="C1" s="2"/>
    </row>
    <row r="2" spans="1:30" customHeight="1" ht="15">
      <c r="A2" s="4" t="s">
        <v>111</v>
      </c>
      <c r="B2" s="2"/>
      <c r="C2" s="2"/>
    </row>
    <row r="3" spans="1:30">
      <c r="A3" s="2"/>
      <c r="B3" s="2"/>
      <c r="C3" s="2"/>
    </row>
    <row r="4" spans="1:30">
      <c r="A4" s="1" t="s">
        <v>78</v>
      </c>
      <c r="B4" s="14" t="str">
        <f>'Opening H'!B8</f>
        <v>0</v>
      </c>
    </row>
    <row r="5" spans="1:30">
      <c r="A5" s="1" t="s">
        <v>79</v>
      </c>
      <c r="B5" s="97" t="str">
        <f>'Opening H'!B9</f>
        <v>0</v>
      </c>
    </row>
    <row r="6" spans="1:30">
      <c r="A6" s="9" t="s">
        <v>112</v>
      </c>
      <c r="B6" s="14" t="str">
        <f>'H - INPUT'!F39</f>
        <v>0</v>
      </c>
    </row>
    <row r="7" spans="1:30">
      <c r="A7" s="9" t="s">
        <v>113</v>
      </c>
      <c r="B7" s="97" t="str">
        <f>IF(OR('H - INPUT'!F38="Tier on Tier (L)",'H - INPUT'!F38="Tier on Tier (R)",'H - INPUT'!F38="Tier on Tier (LR)"),B6/2,B6)</f>
        <v>0</v>
      </c>
    </row>
    <row r="8" spans="1:30">
      <c r="A8" s="9" t="s">
        <v>114</v>
      </c>
      <c r="B8" s="15" t="str">
        <f>IF(OR('H - INPUT'!F38="Tier on Tier (L)",'H - INPUT'!F38="Tier on Tier (R)",'H - INPUT'!F38="Tier on Tier (LR)"),2,1)</f>
        <v>0</v>
      </c>
    </row>
    <row r="9" spans="1:30">
      <c r="A9" s="9" t="s">
        <v>115</v>
      </c>
      <c r="B9" s="98" t="str">
        <f>IF('H - INPUT'!F34="Window Size",VLOOKUP('H - INPUT'!F38,B26:I37,8,FALSE),VLOOKUP('H - INPUT'!F30&amp;'H - INPUT'!F38,'Panel H'!Q26:X290,8,FALSE))+VLOOKUP('H - INPUT'!F30,'Panel H'!B43:D67,3,FALSE)</f>
        <v>0</v>
      </c>
      <c r="D9" s="1"/>
      <c r="E9" s="457"/>
    </row>
    <row r="10" spans="1:30">
      <c r="A10" s="9" t="s">
        <v>116</v>
      </c>
      <c r="B10" s="17" t="str">
        <f>IF('H - INPUT'!F34="Window Size",VLOOKUP('H - INPUT'!F38,B26:M37,12,FALSE),VLOOKUP('H - INPUT'!F30&amp;'H - INPUT'!F38,'Panel H'!Q26:AB290,12,FALSE))+VLOOKUP('H - INPUT'!F30,'Panel H'!B43:F67,5,FALSE)</f>
        <v>0</v>
      </c>
      <c r="D10" s="1"/>
      <c r="E10" s="457"/>
    </row>
    <row r="11" spans="1:30">
      <c r="A11" s="9" t="s">
        <v>117</v>
      </c>
      <c r="B11" s="19" t="str">
        <f>ROUNDDOWN((B4+B9)/B7,0)</f>
        <v>0</v>
      </c>
      <c r="C11" s="18" t="s">
        <v>118</v>
      </c>
    </row>
    <row r="12" spans="1:30">
      <c r="A12" s="9" t="s">
        <v>119</v>
      </c>
      <c r="B12" s="20" t="str">
        <f>ROUNDDOWN((B5+B10)/B8,0)</f>
        <v>0</v>
      </c>
      <c r="C12" s="18" t="s">
        <v>118</v>
      </c>
    </row>
    <row r="14" spans="1:30">
      <c r="F14" s="529" t="s">
        <v>120</v>
      </c>
    </row>
    <row r="15" spans="1:30">
      <c r="B15" s="5" t="s">
        <v>121</v>
      </c>
      <c r="D15" t="s">
        <v>122</v>
      </c>
      <c r="F15" s="458">
        <v>3.25</v>
      </c>
    </row>
    <row r="16" spans="1:30">
      <c r="D16" t="s">
        <v>123</v>
      </c>
      <c r="F16" s="458">
        <v>5.5</v>
      </c>
    </row>
    <row r="17" spans="1:30">
      <c r="D17" t="s">
        <v>124</v>
      </c>
      <c r="F17" s="458">
        <v>3.5</v>
      </c>
      <c r="G17" s="458"/>
      <c r="H17" s="458"/>
      <c r="I17" s="458"/>
      <c r="K17" s="458"/>
      <c r="L17" s="458"/>
      <c r="M17" s="458"/>
      <c r="N17" s="458"/>
      <c r="O17" s="458"/>
      <c r="P17" s="458"/>
      <c r="Q17" s="458"/>
    </row>
    <row r="18" spans="1:30">
      <c r="G18" s="458"/>
      <c r="H18" s="458"/>
      <c r="I18" s="458"/>
      <c r="J18" s="458"/>
      <c r="K18" s="458"/>
      <c r="L18" s="458"/>
      <c r="M18" s="458"/>
      <c r="N18" s="458"/>
      <c r="O18" s="458"/>
      <c r="P18" s="458"/>
      <c r="Q18" s="458"/>
    </row>
    <row r="19" spans="1:30">
      <c r="B19" s="5" t="s">
        <v>125</v>
      </c>
      <c r="D19" s="530" t="s">
        <v>126</v>
      </c>
      <c r="F19" s="458">
        <v>3</v>
      </c>
      <c r="G19" s="458"/>
      <c r="H19" s="458"/>
      <c r="I19" s="458"/>
      <c r="J19" s="458"/>
      <c r="K19" s="458"/>
      <c r="L19" s="458"/>
      <c r="N19" s="458"/>
      <c r="O19" s="458"/>
      <c r="P19" s="458"/>
      <c r="Q19" s="458"/>
    </row>
    <row r="20" spans="1:30">
      <c r="D20" s="530" t="s">
        <v>123</v>
      </c>
      <c r="F20" s="458">
        <v>3</v>
      </c>
      <c r="G20" s="458"/>
      <c r="H20" s="458"/>
      <c r="I20" s="458"/>
      <c r="J20" s="458"/>
      <c r="K20" s="458"/>
      <c r="L20" s="458"/>
      <c r="N20" s="458"/>
      <c r="O20" s="458"/>
      <c r="P20" s="458"/>
      <c r="Q20" s="458"/>
    </row>
    <row r="21" spans="1:30">
      <c r="D21" s="530" t="s">
        <v>127</v>
      </c>
      <c r="F21" s="458">
        <v>3</v>
      </c>
      <c r="G21" s="458"/>
      <c r="H21" s="458"/>
      <c r="I21" s="458"/>
      <c r="J21" s="458"/>
      <c r="K21" s="458"/>
      <c r="L21" s="458"/>
      <c r="N21" s="458"/>
      <c r="O21" s="458"/>
      <c r="P21" s="458"/>
      <c r="Q21" s="458"/>
    </row>
    <row r="22" spans="1:30" customHeight="1" ht="12.75">
      <c r="F22" s="458"/>
      <c r="G22" s="458"/>
      <c r="H22" s="458"/>
      <c r="I22" s="458"/>
      <c r="J22" s="480"/>
      <c r="K22" s="480"/>
      <c r="L22" s="480"/>
      <c r="M22" s="480"/>
      <c r="N22" s="480"/>
      <c r="O22" s="480"/>
      <c r="P22" s="480"/>
      <c r="Q22" s="480"/>
    </row>
    <row r="23" spans="1:30" customHeight="1" ht="12.75">
      <c r="B23" s="459"/>
      <c r="C23" s="975" t="s">
        <v>82</v>
      </c>
      <c r="D23" s="976"/>
      <c r="E23" s="976"/>
      <c r="F23" s="976"/>
      <c r="G23" s="976"/>
      <c r="H23" s="976"/>
      <c r="I23" s="976"/>
      <c r="J23" s="976"/>
      <c r="K23" s="976"/>
      <c r="L23" s="976"/>
      <c r="M23" s="977"/>
      <c r="N23" s="481"/>
      <c r="O23" s="481"/>
      <c r="P23" s="481"/>
      <c r="Q23" s="481"/>
      <c r="R23" s="981" t="s">
        <v>128</v>
      </c>
      <c r="S23" s="982"/>
      <c r="T23" s="982"/>
      <c r="U23" s="982"/>
      <c r="V23" s="982"/>
      <c r="W23" s="982"/>
      <c r="X23" s="982"/>
      <c r="Y23" s="982"/>
      <c r="Z23" s="982"/>
      <c r="AA23" s="982"/>
      <c r="AB23" s="983"/>
    </row>
    <row r="24" spans="1:30" customHeight="1" ht="12.75">
      <c r="B24" s="460"/>
      <c r="C24" s="969" t="s">
        <v>129</v>
      </c>
      <c r="D24" s="970"/>
      <c r="E24" s="970"/>
      <c r="F24" s="970"/>
      <c r="G24" s="970"/>
      <c r="H24" s="970"/>
      <c r="I24" s="971"/>
      <c r="J24" s="972" t="s">
        <v>130</v>
      </c>
      <c r="K24" s="973"/>
      <c r="L24" s="973"/>
      <c r="M24" s="974"/>
      <c r="N24" s="482"/>
      <c r="R24" s="978" t="s">
        <v>129</v>
      </c>
      <c r="S24" s="979"/>
      <c r="T24" s="979"/>
      <c r="U24" s="979"/>
      <c r="V24" s="979"/>
      <c r="W24" s="979"/>
      <c r="X24" s="980"/>
      <c r="Y24" s="972" t="s">
        <v>130</v>
      </c>
      <c r="Z24" s="973"/>
      <c r="AA24" s="973"/>
      <c r="AB24" s="974"/>
    </row>
    <row r="25" spans="1:30" customHeight="1" ht="36.75">
      <c r="B25" s="461" t="s">
        <v>131</v>
      </c>
      <c r="C25" s="138" t="s">
        <v>132</v>
      </c>
      <c r="D25" s="453" t="s">
        <v>120</v>
      </c>
      <c r="E25" s="136" t="s">
        <v>133</v>
      </c>
      <c r="F25" s="453" t="s">
        <v>120</v>
      </c>
      <c r="G25" s="136" t="s">
        <v>134</v>
      </c>
      <c r="H25" s="477" t="s">
        <v>120</v>
      </c>
      <c r="I25" s="501" t="s">
        <v>135</v>
      </c>
      <c r="J25" s="138" t="s">
        <v>136</v>
      </c>
      <c r="K25" s="136" t="s">
        <v>137</v>
      </c>
      <c r="L25" s="136" t="s">
        <v>138</v>
      </c>
      <c r="M25" s="501" t="s">
        <v>135</v>
      </c>
      <c r="N25" s="81"/>
      <c r="O25" s="486" t="s">
        <v>139</v>
      </c>
      <c r="P25" s="498" t="s">
        <v>131</v>
      </c>
      <c r="Q25" s="487" t="s">
        <v>140</v>
      </c>
      <c r="R25" s="138" t="s">
        <v>132</v>
      </c>
      <c r="S25" s="453" t="s">
        <v>120</v>
      </c>
      <c r="T25" s="136" t="s">
        <v>133</v>
      </c>
      <c r="U25" s="453" t="s">
        <v>120</v>
      </c>
      <c r="V25" s="136" t="s">
        <v>134</v>
      </c>
      <c r="W25" s="477" t="s">
        <v>120</v>
      </c>
      <c r="X25" s="501" t="s">
        <v>135</v>
      </c>
      <c r="Y25" s="138" t="s">
        <v>136</v>
      </c>
      <c r="Z25" s="136" t="s">
        <v>137</v>
      </c>
      <c r="AA25" s="136" t="s">
        <v>138</v>
      </c>
      <c r="AB25" s="501" t="s">
        <v>135</v>
      </c>
    </row>
    <row r="26" spans="1:30" customHeight="1" ht="12.75">
      <c r="B26" s="460" t="s">
        <v>49</v>
      </c>
      <c r="C26" s="82">
        <v>0</v>
      </c>
      <c r="D26" s="365" t="str">
        <f>-C26*$F$15</f>
        <v>0</v>
      </c>
      <c r="E26" s="365">
        <v>0</v>
      </c>
      <c r="F26" s="365" t="str">
        <f>-E26*$F$16</f>
        <v>0</v>
      </c>
      <c r="G26" s="89">
        <v>0</v>
      </c>
      <c r="H26" s="365" t="str">
        <f>G26*-$F$17</f>
        <v>0</v>
      </c>
      <c r="I26" s="502" t="str">
        <f>H26+F26+D26</f>
        <v>0</v>
      </c>
      <c r="J26" s="478">
        <v>0</v>
      </c>
      <c r="K26" s="506">
        <v>0</v>
      </c>
      <c r="L26" s="478">
        <v>0</v>
      </c>
      <c r="M26" s="504" t="str">
        <f>L26+K26+J26</f>
        <v>0</v>
      </c>
      <c r="N26" s="481"/>
      <c r="O26" s="484" t="s">
        <v>49</v>
      </c>
      <c r="P26" s="485" t="s">
        <v>49</v>
      </c>
      <c r="Q26" s="488" t="str">
        <f>O26&amp;P26</f>
        <v>0</v>
      </c>
      <c r="R26" s="511">
        <v>0</v>
      </c>
      <c r="S26" s="483" t="str">
        <f>-R26*$F$15</f>
        <v>0</v>
      </c>
      <c r="T26" s="483">
        <v>0</v>
      </c>
      <c r="U26" s="483" t="str">
        <f>-T26*$F$16</f>
        <v>0</v>
      </c>
      <c r="V26" s="483">
        <v>0</v>
      </c>
      <c r="W26" s="483" t="str">
        <f>V26*-$F$17</f>
        <v>0</v>
      </c>
      <c r="X26" s="512" t="str">
        <f>W26+U26+S26</f>
        <v>0</v>
      </c>
      <c r="Y26" s="511">
        <v>0</v>
      </c>
      <c r="Z26" s="483">
        <v>0</v>
      </c>
      <c r="AA26" s="483">
        <v>0</v>
      </c>
      <c r="AB26" s="512" t="str">
        <f>SUM(Y26:AA26)</f>
        <v>0</v>
      </c>
    </row>
    <row r="27" spans="1:30">
      <c r="B27" s="460" t="s">
        <v>141</v>
      </c>
      <c r="C27" s="82">
        <v>1</v>
      </c>
      <c r="D27" s="365" t="str">
        <f>-C27*$F$15</f>
        <v>0</v>
      </c>
      <c r="E27" s="365">
        <v>0</v>
      </c>
      <c r="F27" s="365" t="str">
        <f>-E27*$F$16</f>
        <v>0</v>
      </c>
      <c r="G27" s="89">
        <v>1</v>
      </c>
      <c r="H27" s="365" t="str">
        <f>G27*-$F$17</f>
        <v>0</v>
      </c>
      <c r="I27" s="502" t="str">
        <f>H27+F27+D27</f>
        <v>0</v>
      </c>
      <c r="J27" s="478" t="str">
        <f>-$F$19</f>
        <v>0</v>
      </c>
      <c r="K27" s="506">
        <v>0</v>
      </c>
      <c r="L27" s="478" t="str">
        <f>-$F$21</f>
        <v>0</v>
      </c>
      <c r="M27" s="504" t="str">
        <f>L27+K27+J27</f>
        <v>0</v>
      </c>
      <c r="N27" s="481"/>
      <c r="O27" s="491" t="s">
        <v>87</v>
      </c>
      <c r="P27" s="492" t="s">
        <v>141</v>
      </c>
      <c r="Q27" s="489" t="str">
        <f>O27&amp;P27</f>
        <v>0</v>
      </c>
      <c r="R27" s="513">
        <v>1</v>
      </c>
      <c r="S27" s="490" t="str">
        <f>-R27*$F$15</f>
        <v>0</v>
      </c>
      <c r="T27" s="490">
        <v>0</v>
      </c>
      <c r="U27" s="490" t="str">
        <f>-T27*$F$16</f>
        <v>0</v>
      </c>
      <c r="V27" s="88">
        <v>1</v>
      </c>
      <c r="W27" s="517" t="str">
        <f>V27*-$F$17</f>
        <v>0</v>
      </c>
      <c r="X27" s="515" t="str">
        <f>W27+U27+S27</f>
        <v>0</v>
      </c>
      <c r="Y27" s="558" t="str">
        <f>-$F$19</f>
        <v>0</v>
      </c>
      <c r="Z27" s="490">
        <v>0</v>
      </c>
      <c r="AA27" s="565" t="str">
        <f>-$F$21</f>
        <v>0</v>
      </c>
      <c r="AB27" s="521" t="str">
        <f>SUM(Y27:AA27)</f>
        <v>0</v>
      </c>
    </row>
    <row r="28" spans="1:30">
      <c r="B28" s="460" t="s">
        <v>142</v>
      </c>
      <c r="C28" s="82">
        <v>1</v>
      </c>
      <c r="D28" s="365" t="str">
        <f>-C28*$F$15</f>
        <v>0</v>
      </c>
      <c r="E28" s="365">
        <v>0</v>
      </c>
      <c r="F28" s="365" t="str">
        <f>-E28*$F$16</f>
        <v>0</v>
      </c>
      <c r="G28" s="89">
        <v>1</v>
      </c>
      <c r="H28" s="365" t="str">
        <f>G28*-$F$17</f>
        <v>0</v>
      </c>
      <c r="I28" s="502" t="str">
        <f>H28+F28+D28</f>
        <v>0</v>
      </c>
      <c r="J28" s="478" t="str">
        <f>-$F$19</f>
        <v>0</v>
      </c>
      <c r="K28" s="506">
        <v>0</v>
      </c>
      <c r="L28" s="478" t="str">
        <f>-$F$21</f>
        <v>0</v>
      </c>
      <c r="M28" s="504" t="str">
        <f>L28+K28+J28</f>
        <v>0</v>
      </c>
      <c r="N28" s="481"/>
      <c r="O28" s="493" t="s">
        <v>87</v>
      </c>
      <c r="P28" s="105" t="s">
        <v>142</v>
      </c>
      <c r="Q28" s="496" t="str">
        <f>O28&amp;P28</f>
        <v>0</v>
      </c>
      <c r="R28" s="514">
        <v>1</v>
      </c>
      <c r="S28" s="365" t="str">
        <f>-R28*$F$15</f>
        <v>0</v>
      </c>
      <c r="T28" s="365">
        <v>0</v>
      </c>
      <c r="U28" s="365" t="str">
        <f>-T28*$F$16</f>
        <v>0</v>
      </c>
      <c r="V28" s="89">
        <v>1</v>
      </c>
      <c r="W28" s="518" t="str">
        <f>V28*-$F$17</f>
        <v>0</v>
      </c>
      <c r="X28" s="515" t="str">
        <f>W28+U28+S28</f>
        <v>0</v>
      </c>
      <c r="Y28" s="555" t="str">
        <f>-$F$19</f>
        <v>0</v>
      </c>
      <c r="Z28" s="365">
        <v>0</v>
      </c>
      <c r="AA28" s="566" t="str">
        <f>-$F$21</f>
        <v>0</v>
      </c>
      <c r="AB28" s="522" t="str">
        <f>SUM(Y28:AA28)</f>
        <v>0</v>
      </c>
    </row>
    <row r="29" spans="1:30">
      <c r="B29" s="460" t="s">
        <v>87</v>
      </c>
      <c r="C29" s="82">
        <v>2</v>
      </c>
      <c r="D29" s="365" t="str">
        <f>-C29*$F$15</f>
        <v>0</v>
      </c>
      <c r="E29" s="365">
        <v>1</v>
      </c>
      <c r="F29" s="365" t="str">
        <f>-E29*$F$16</f>
        <v>0</v>
      </c>
      <c r="G29" s="89">
        <v>0</v>
      </c>
      <c r="H29" s="365" t="str">
        <f>G29*-$F$17</f>
        <v>0</v>
      </c>
      <c r="I29" s="502" t="str">
        <f>H29+F29+D29</f>
        <v>0</v>
      </c>
      <c r="J29" s="478" t="str">
        <f>-$F$19</f>
        <v>0</v>
      </c>
      <c r="K29" s="506">
        <v>0</v>
      </c>
      <c r="L29" s="478" t="str">
        <f>-$F$21</f>
        <v>0</v>
      </c>
      <c r="M29" s="504" t="str">
        <f>L29+K29+J29</f>
        <v>0</v>
      </c>
      <c r="N29" s="481"/>
      <c r="O29" s="493" t="s">
        <v>87</v>
      </c>
      <c r="P29" s="105" t="s">
        <v>87</v>
      </c>
      <c r="Q29" s="496" t="str">
        <f>O29&amp;P29</f>
        <v>0</v>
      </c>
      <c r="R29" s="514">
        <v>2</v>
      </c>
      <c r="S29" s="365" t="str">
        <f>-R29*$F$15</f>
        <v>0</v>
      </c>
      <c r="T29" s="365">
        <v>1</v>
      </c>
      <c r="U29" s="365" t="str">
        <f>-T29*$F$16</f>
        <v>0</v>
      </c>
      <c r="V29" s="89">
        <v>0</v>
      </c>
      <c r="W29" s="518" t="str">
        <f>V29*-$F$17</f>
        <v>0</v>
      </c>
      <c r="X29" s="515" t="str">
        <f>W29+U29+S29</f>
        <v>0</v>
      </c>
      <c r="Y29" s="555" t="str">
        <f>-$F$19</f>
        <v>0</v>
      </c>
      <c r="Z29" s="365">
        <v>0</v>
      </c>
      <c r="AA29" s="566" t="str">
        <f>-$F$21</f>
        <v>0</v>
      </c>
      <c r="AB29" s="522" t="str">
        <f>SUM(Y29:AA29)</f>
        <v>0</v>
      </c>
    </row>
    <row r="30" spans="1:30">
      <c r="B30" s="460" t="s">
        <v>143</v>
      </c>
      <c r="C30" s="82">
        <v>2</v>
      </c>
      <c r="D30" s="365" t="str">
        <f>-C30*$F$15</f>
        <v>0</v>
      </c>
      <c r="E30" s="365">
        <v>0</v>
      </c>
      <c r="F30" s="365" t="str">
        <f>-E30*$F$16</f>
        <v>0</v>
      </c>
      <c r="G30" s="89">
        <v>1</v>
      </c>
      <c r="H30" s="365" t="str">
        <f>G30*-$F$17</f>
        <v>0</v>
      </c>
      <c r="I30" s="502" t="str">
        <f>H30+F30+D30</f>
        <v>0</v>
      </c>
      <c r="J30" s="478" t="str">
        <f>-$F$19</f>
        <v>0</v>
      </c>
      <c r="K30" s="506">
        <v>0</v>
      </c>
      <c r="L30" s="478" t="str">
        <f>-$F$21</f>
        <v>0</v>
      </c>
      <c r="M30" s="504" t="str">
        <f>L30+K30+J30</f>
        <v>0</v>
      </c>
      <c r="N30" s="481"/>
      <c r="O30" s="493" t="s">
        <v>87</v>
      </c>
      <c r="P30" s="105" t="s">
        <v>143</v>
      </c>
      <c r="Q30" s="496" t="str">
        <f>O30&amp;P30</f>
        <v>0</v>
      </c>
      <c r="R30" s="514">
        <v>2</v>
      </c>
      <c r="S30" s="365" t="str">
        <f>-R30*$F$15</f>
        <v>0</v>
      </c>
      <c r="T30" s="365">
        <v>0</v>
      </c>
      <c r="U30" s="365" t="str">
        <f>-T30*$F$16</f>
        <v>0</v>
      </c>
      <c r="V30" s="89">
        <v>1</v>
      </c>
      <c r="W30" s="518" t="str">
        <f>V30*-$F$17</f>
        <v>0</v>
      </c>
      <c r="X30" s="515" t="str">
        <f>W30+U30+S30</f>
        <v>0</v>
      </c>
      <c r="Y30" s="555" t="str">
        <f>-$F$19</f>
        <v>0</v>
      </c>
      <c r="Z30" s="365">
        <v>0</v>
      </c>
      <c r="AA30" s="566" t="str">
        <f>-$F$21</f>
        <v>0</v>
      </c>
      <c r="AB30" s="522" t="str">
        <f>SUM(Y30:AA30)</f>
        <v>0</v>
      </c>
    </row>
    <row r="31" spans="1:30">
      <c r="B31" s="460" t="s">
        <v>144</v>
      </c>
      <c r="C31" s="82">
        <v>2</v>
      </c>
      <c r="D31" s="365" t="str">
        <f>-C31*$F$15</f>
        <v>0</v>
      </c>
      <c r="E31" s="365">
        <v>0</v>
      </c>
      <c r="F31" s="365" t="str">
        <f>-E31*$F$16</f>
        <v>0</v>
      </c>
      <c r="G31" s="89">
        <v>1</v>
      </c>
      <c r="H31" s="365" t="str">
        <f>G31*-$F$17</f>
        <v>0</v>
      </c>
      <c r="I31" s="502" t="str">
        <f>H31+F31+D31</f>
        <v>0</v>
      </c>
      <c r="J31" s="478" t="str">
        <f>-$F$19</f>
        <v>0</v>
      </c>
      <c r="K31" s="506">
        <v>0</v>
      </c>
      <c r="L31" s="478" t="str">
        <f>-$F$21</f>
        <v>0</v>
      </c>
      <c r="M31" s="504" t="str">
        <f>L31+K31+J31</f>
        <v>0</v>
      </c>
      <c r="N31" s="481"/>
      <c r="O31" s="493" t="s">
        <v>87</v>
      </c>
      <c r="P31" s="105" t="s">
        <v>144</v>
      </c>
      <c r="Q31" s="496" t="str">
        <f>O31&amp;P31</f>
        <v>0</v>
      </c>
      <c r="R31" s="514">
        <v>2</v>
      </c>
      <c r="S31" s="365" t="str">
        <f>-R31*$F$15</f>
        <v>0</v>
      </c>
      <c r="T31" s="365">
        <v>0</v>
      </c>
      <c r="U31" s="365" t="str">
        <f>-T31*$F$16</f>
        <v>0</v>
      </c>
      <c r="V31" s="89">
        <v>1</v>
      </c>
      <c r="W31" s="518" t="str">
        <f>V31*-$F$17</f>
        <v>0</v>
      </c>
      <c r="X31" s="515" t="str">
        <f>W31+U31+S31</f>
        <v>0</v>
      </c>
      <c r="Y31" s="555" t="str">
        <f>-$F$19</f>
        <v>0</v>
      </c>
      <c r="Z31" s="365">
        <v>0</v>
      </c>
      <c r="AA31" s="566" t="str">
        <f>-$F$21</f>
        <v>0</v>
      </c>
      <c r="AB31" s="522" t="str">
        <f>SUM(Y31:AA31)</f>
        <v>0</v>
      </c>
    </row>
    <row r="32" spans="1:30">
      <c r="B32" s="460" t="s">
        <v>145</v>
      </c>
      <c r="C32" s="82">
        <v>3</v>
      </c>
      <c r="D32" s="365" t="str">
        <f>-C32*$F$15</f>
        <v>0</v>
      </c>
      <c r="E32" s="365">
        <v>1</v>
      </c>
      <c r="F32" s="365" t="str">
        <f>-E32*$F$16</f>
        <v>0</v>
      </c>
      <c r="G32" s="89">
        <v>0</v>
      </c>
      <c r="H32" s="365" t="str">
        <f>G32*-$F$17</f>
        <v>0</v>
      </c>
      <c r="I32" s="502" t="str">
        <f>H32+F32+D32</f>
        <v>0</v>
      </c>
      <c r="J32" s="478" t="str">
        <f>-$F$19</f>
        <v>0</v>
      </c>
      <c r="K32" s="506">
        <v>0</v>
      </c>
      <c r="L32" s="478" t="str">
        <f>-$F$21</f>
        <v>0</v>
      </c>
      <c r="M32" s="504" t="str">
        <f>L32+K32+J32</f>
        <v>0</v>
      </c>
      <c r="N32" s="481"/>
      <c r="O32" s="493" t="s">
        <v>87</v>
      </c>
      <c r="P32" s="105" t="s">
        <v>145</v>
      </c>
      <c r="Q32" s="496" t="str">
        <f>O32&amp;P32</f>
        <v>0</v>
      </c>
      <c r="R32" s="514">
        <v>3</v>
      </c>
      <c r="S32" s="365" t="str">
        <f>-R32*$F$15</f>
        <v>0</v>
      </c>
      <c r="T32" s="365">
        <v>1</v>
      </c>
      <c r="U32" s="365" t="str">
        <f>-T32*$F$16</f>
        <v>0</v>
      </c>
      <c r="V32" s="89">
        <v>0</v>
      </c>
      <c r="W32" s="518" t="str">
        <f>V32*-$F$17</f>
        <v>0</v>
      </c>
      <c r="X32" s="515" t="str">
        <f>W32+U32+S32</f>
        <v>0</v>
      </c>
      <c r="Y32" s="555" t="str">
        <f>-$F$19</f>
        <v>0</v>
      </c>
      <c r="Z32" s="365">
        <v>0</v>
      </c>
      <c r="AA32" s="566" t="str">
        <f>-$F$21</f>
        <v>0</v>
      </c>
      <c r="AB32" s="522" t="str">
        <f>SUM(Y32:AA32)</f>
        <v>0</v>
      </c>
    </row>
    <row r="33" spans="1:30">
      <c r="B33" s="460" t="s">
        <v>146</v>
      </c>
      <c r="C33" s="82">
        <v>3</v>
      </c>
      <c r="D33" s="365" t="str">
        <f>-C33*$F$15</f>
        <v>0</v>
      </c>
      <c r="E33" s="365">
        <v>1</v>
      </c>
      <c r="F33" s="365" t="str">
        <f>-E33*$F$16</f>
        <v>0</v>
      </c>
      <c r="G33" s="89">
        <v>0</v>
      </c>
      <c r="H33" s="365" t="str">
        <f>G33*-$F$17</f>
        <v>0</v>
      </c>
      <c r="I33" s="502" t="str">
        <f>H33+F33+D33</f>
        <v>0</v>
      </c>
      <c r="J33" s="478" t="str">
        <f>-$F$19</f>
        <v>0</v>
      </c>
      <c r="K33" s="506">
        <v>0</v>
      </c>
      <c r="L33" s="478" t="str">
        <f>-$F$21</f>
        <v>0</v>
      </c>
      <c r="M33" s="504" t="str">
        <f>L33+K33+J33</f>
        <v>0</v>
      </c>
      <c r="N33" s="481"/>
      <c r="O33" s="493" t="s">
        <v>87</v>
      </c>
      <c r="P33" s="105" t="s">
        <v>146</v>
      </c>
      <c r="Q33" s="496" t="str">
        <f>O33&amp;P33</f>
        <v>0</v>
      </c>
      <c r="R33" s="514">
        <v>3</v>
      </c>
      <c r="S33" s="365" t="str">
        <f>-R33*$F$15</f>
        <v>0</v>
      </c>
      <c r="T33" s="365">
        <v>1</v>
      </c>
      <c r="U33" s="365" t="str">
        <f>-T33*$F$16</f>
        <v>0</v>
      </c>
      <c r="V33" s="89">
        <v>0</v>
      </c>
      <c r="W33" s="518" t="str">
        <f>V33*-$F$17</f>
        <v>0</v>
      </c>
      <c r="X33" s="515" t="str">
        <f>W33+U33+S33</f>
        <v>0</v>
      </c>
      <c r="Y33" s="555" t="str">
        <f>-$F$19</f>
        <v>0</v>
      </c>
      <c r="Z33" s="365">
        <v>0</v>
      </c>
      <c r="AA33" s="566" t="str">
        <f>-$F$21</f>
        <v>0</v>
      </c>
      <c r="AB33" s="522" t="str">
        <f>SUM(Y33:AA33)</f>
        <v>0</v>
      </c>
    </row>
    <row r="34" spans="1:30">
      <c r="B34" s="460" t="s">
        <v>147</v>
      </c>
      <c r="C34" s="82">
        <v>4</v>
      </c>
      <c r="D34" s="365" t="str">
        <f>-C34*$F$15</f>
        <v>0</v>
      </c>
      <c r="E34" s="365">
        <v>1</v>
      </c>
      <c r="F34" s="365" t="str">
        <f>-E34*$F$16</f>
        <v>0</v>
      </c>
      <c r="G34" s="89">
        <v>0</v>
      </c>
      <c r="H34" s="365" t="str">
        <f>G34*-$F$17</f>
        <v>0</v>
      </c>
      <c r="I34" s="502" t="str">
        <f>H34+F34+D34</f>
        <v>0</v>
      </c>
      <c r="J34" s="478" t="str">
        <f>-$F$19</f>
        <v>0</v>
      </c>
      <c r="K34" s="506">
        <v>0</v>
      </c>
      <c r="L34" s="478" t="str">
        <f>-$F$21</f>
        <v>0</v>
      </c>
      <c r="M34" s="504" t="str">
        <f>L34+K34+J34</f>
        <v>0</v>
      </c>
      <c r="N34" s="481"/>
      <c r="O34" s="493" t="s">
        <v>87</v>
      </c>
      <c r="P34" s="105" t="s">
        <v>147</v>
      </c>
      <c r="Q34" s="496" t="str">
        <f>O34&amp;P34</f>
        <v>0</v>
      </c>
      <c r="R34" s="514">
        <v>4</v>
      </c>
      <c r="S34" s="365" t="str">
        <f>-R34*$F$15</f>
        <v>0</v>
      </c>
      <c r="T34" s="365">
        <v>1</v>
      </c>
      <c r="U34" s="365" t="str">
        <f>-T34*$F$16</f>
        <v>0</v>
      </c>
      <c r="V34" s="89">
        <v>0</v>
      </c>
      <c r="W34" s="518" t="str">
        <f>V34*-$F$17</f>
        <v>0</v>
      </c>
      <c r="X34" s="515" t="str">
        <f>W34+U34+S34</f>
        <v>0</v>
      </c>
      <c r="Y34" s="555" t="str">
        <f>-$F$19</f>
        <v>0</v>
      </c>
      <c r="Z34" s="365">
        <v>0</v>
      </c>
      <c r="AA34" s="566" t="str">
        <f>-$F$21</f>
        <v>0</v>
      </c>
      <c r="AB34" s="522" t="str">
        <f>SUM(Y34:AA34)</f>
        <v>0</v>
      </c>
    </row>
    <row r="35" spans="1:30">
      <c r="B35" s="460" t="s">
        <v>148</v>
      </c>
      <c r="C35" s="82">
        <v>1</v>
      </c>
      <c r="D35" s="365" t="str">
        <f>-C35*$F$15</f>
        <v>0</v>
      </c>
      <c r="E35" s="365">
        <v>0</v>
      </c>
      <c r="F35" s="365" t="str">
        <f>-E35*$F$16</f>
        <v>0</v>
      </c>
      <c r="G35" s="89">
        <v>1</v>
      </c>
      <c r="H35" s="365" t="str">
        <f>G35*-$F$17</f>
        <v>0</v>
      </c>
      <c r="I35" s="502" t="str">
        <f>H35+F35+D35</f>
        <v>0</v>
      </c>
      <c r="J35" s="478" t="str">
        <f>-$F$19</f>
        <v>0</v>
      </c>
      <c r="K35" s="506" t="str">
        <f>-$F$20</f>
        <v>0</v>
      </c>
      <c r="L35" s="478" t="str">
        <f>-$F$21</f>
        <v>0</v>
      </c>
      <c r="M35" s="504" t="str">
        <f>L35+K35+J35</f>
        <v>0</v>
      </c>
      <c r="N35" s="481"/>
      <c r="O35" s="493" t="s">
        <v>87</v>
      </c>
      <c r="P35" s="105" t="s">
        <v>148</v>
      </c>
      <c r="Q35" s="496" t="str">
        <f>O35&amp;P35</f>
        <v>0</v>
      </c>
      <c r="R35" s="514">
        <v>1</v>
      </c>
      <c r="S35" s="365" t="str">
        <f>-R35*$F$15</f>
        <v>0</v>
      </c>
      <c r="T35" s="365">
        <v>0</v>
      </c>
      <c r="U35" s="365" t="str">
        <f>-T35*$F$16</f>
        <v>0</v>
      </c>
      <c r="V35" s="89">
        <v>1</v>
      </c>
      <c r="W35" s="518" t="str">
        <f>V35*-$F$17</f>
        <v>0</v>
      </c>
      <c r="X35" s="515" t="str">
        <f>W35+U35+S35</f>
        <v>0</v>
      </c>
      <c r="Y35" s="555" t="str">
        <f>-$F$19</f>
        <v>0</v>
      </c>
      <c r="Z35" s="365" t="str">
        <f>-$F$20</f>
        <v>0</v>
      </c>
      <c r="AA35" s="566" t="str">
        <f>-$F$21</f>
        <v>0</v>
      </c>
      <c r="AB35" s="522" t="str">
        <f>SUM(Y35:AA35)</f>
        <v>0</v>
      </c>
    </row>
    <row r="36" spans="1:30">
      <c r="B36" s="460" t="s">
        <v>149</v>
      </c>
      <c r="C36" s="82">
        <v>1</v>
      </c>
      <c r="D36" s="365" t="str">
        <f>-C36*$F$15</f>
        <v>0</v>
      </c>
      <c r="E36" s="365">
        <v>0</v>
      </c>
      <c r="F36" s="365" t="str">
        <f>-E36*$F$16</f>
        <v>0</v>
      </c>
      <c r="G36" s="89">
        <v>1</v>
      </c>
      <c r="H36" s="365" t="str">
        <f>G36*-$F$17</f>
        <v>0</v>
      </c>
      <c r="I36" s="502" t="str">
        <f>H36+F36+D36</f>
        <v>0</v>
      </c>
      <c r="J36" s="478" t="str">
        <f>-$F$19</f>
        <v>0</v>
      </c>
      <c r="K36" s="506" t="str">
        <f>-$F$20</f>
        <v>0</v>
      </c>
      <c r="L36" s="478" t="str">
        <f>-$F$21</f>
        <v>0</v>
      </c>
      <c r="M36" s="504" t="str">
        <f>L36+K36+J36</f>
        <v>0</v>
      </c>
      <c r="N36" s="481"/>
      <c r="O36" s="493" t="s">
        <v>87</v>
      </c>
      <c r="P36" s="105" t="s">
        <v>149</v>
      </c>
      <c r="Q36" s="496" t="str">
        <f>O36&amp;P36</f>
        <v>0</v>
      </c>
      <c r="R36" s="514">
        <v>1</v>
      </c>
      <c r="S36" s="365" t="str">
        <f>-R36*$F$15</f>
        <v>0</v>
      </c>
      <c r="T36" s="365">
        <v>0</v>
      </c>
      <c r="U36" s="365" t="str">
        <f>-T36*$F$16</f>
        <v>0</v>
      </c>
      <c r="V36" s="89">
        <v>1</v>
      </c>
      <c r="W36" s="518" t="str">
        <f>V36*-$F$17</f>
        <v>0</v>
      </c>
      <c r="X36" s="515" t="str">
        <f>W36+U36+S36</f>
        <v>0</v>
      </c>
      <c r="Y36" s="555" t="str">
        <f>-$F$19</f>
        <v>0</v>
      </c>
      <c r="Z36" s="365" t="str">
        <f>-$F$20</f>
        <v>0</v>
      </c>
      <c r="AA36" s="566" t="str">
        <f>-$F$21</f>
        <v>0</v>
      </c>
      <c r="AB36" s="522" t="str">
        <f>SUM(Y36:AA36)</f>
        <v>0</v>
      </c>
    </row>
    <row r="37" spans="1:30" customHeight="1" ht="12.75">
      <c r="B37" s="43" t="s">
        <v>150</v>
      </c>
      <c r="C37" s="84">
        <v>2</v>
      </c>
      <c r="D37" s="71" t="str">
        <f>-C37*$F$15</f>
        <v>0</v>
      </c>
      <c r="E37" s="71">
        <v>1</v>
      </c>
      <c r="F37" s="71" t="str">
        <f>-E37*$F$16</f>
        <v>0</v>
      </c>
      <c r="G37" s="90">
        <v>0</v>
      </c>
      <c r="H37" s="71" t="str">
        <f>G37*-$F$17</f>
        <v>0</v>
      </c>
      <c r="I37" s="503" t="str">
        <f>H37+F37+D37</f>
        <v>0</v>
      </c>
      <c r="J37" s="479" t="str">
        <f>-$F$19</f>
        <v>0</v>
      </c>
      <c r="K37" s="507" t="str">
        <f>-$F$20</f>
        <v>0</v>
      </c>
      <c r="L37" s="479" t="str">
        <f>-$F$21</f>
        <v>0</v>
      </c>
      <c r="M37" s="505" t="str">
        <f>L37+K37+J37</f>
        <v>0</v>
      </c>
      <c r="N37" s="481"/>
      <c r="O37" s="494" t="s">
        <v>87</v>
      </c>
      <c r="P37" s="495" t="s">
        <v>150</v>
      </c>
      <c r="Q37" s="497" t="str">
        <f>O37&amp;P37</f>
        <v>0</v>
      </c>
      <c r="R37" s="454">
        <v>2</v>
      </c>
      <c r="S37" s="455" t="str">
        <f>-R37*$F$15</f>
        <v>0</v>
      </c>
      <c r="T37" s="455">
        <v>1</v>
      </c>
      <c r="U37" s="455" t="str">
        <f>-T37*$F$16</f>
        <v>0</v>
      </c>
      <c r="V37" s="519">
        <v>0</v>
      </c>
      <c r="W37" s="520" t="str">
        <f>V37*-$F$17</f>
        <v>0</v>
      </c>
      <c r="X37" s="516" t="str">
        <f>W37+U37+S37</f>
        <v>0</v>
      </c>
      <c r="Y37" s="557" t="str">
        <f>-$F$19</f>
        <v>0</v>
      </c>
      <c r="Z37" s="534" t="str">
        <f>-$F$20</f>
        <v>0</v>
      </c>
      <c r="AA37" s="567" t="str">
        <f>-$F$21</f>
        <v>0</v>
      </c>
      <c r="AB37" s="523" t="str">
        <f>SUM(Y37:AA37)</f>
        <v>0</v>
      </c>
    </row>
    <row r="38" spans="1:30">
      <c r="J38" s="23"/>
      <c r="K38" s="23"/>
      <c r="L38" s="23"/>
      <c r="M38" s="23"/>
      <c r="N38" s="23"/>
      <c r="O38" s="491" t="s">
        <v>88</v>
      </c>
      <c r="P38" s="492" t="s">
        <v>141</v>
      </c>
      <c r="Q38" s="489" t="str">
        <f>O38&amp;P38</f>
        <v>0</v>
      </c>
      <c r="R38" s="513">
        <v>1</v>
      </c>
      <c r="S38" s="490" t="str">
        <f>-R38*$F$15</f>
        <v>0</v>
      </c>
      <c r="T38" s="490">
        <v>0</v>
      </c>
      <c r="U38" s="490" t="str">
        <f>-T38*$F$16</f>
        <v>0</v>
      </c>
      <c r="V38" s="88">
        <v>1</v>
      </c>
      <c r="W38" s="517" t="str">
        <f>V38*-$F$17</f>
        <v>0</v>
      </c>
      <c r="X38" s="508" t="str">
        <f>W38+U38+S38</f>
        <v>0</v>
      </c>
      <c r="Y38" s="514" t="str">
        <f>-$F$19</f>
        <v>0</v>
      </c>
      <c r="Z38" s="365">
        <v>0</v>
      </c>
      <c r="AA38" s="559" t="str">
        <f>-$F$21</f>
        <v>0</v>
      </c>
      <c r="AB38" s="508" t="str">
        <f>SUM(Y38:AA38)</f>
        <v>0</v>
      </c>
    </row>
    <row r="39" spans="1:30">
      <c r="O39" s="493" t="s">
        <v>88</v>
      </c>
      <c r="P39" s="105" t="s">
        <v>142</v>
      </c>
      <c r="Q39" s="496" t="str">
        <f>O39&amp;P39</f>
        <v>0</v>
      </c>
      <c r="R39" s="514">
        <v>1</v>
      </c>
      <c r="S39" s="365" t="str">
        <f>-R39*$F$15</f>
        <v>0</v>
      </c>
      <c r="T39" s="365">
        <v>0</v>
      </c>
      <c r="U39" s="365" t="str">
        <f>-T39*$F$16</f>
        <v>0</v>
      </c>
      <c r="V39" s="89">
        <v>1</v>
      </c>
      <c r="W39" s="518" t="str">
        <f>V39*-$F$17</f>
        <v>0</v>
      </c>
      <c r="X39" s="509" t="str">
        <f>W39+U39+S39</f>
        <v>0</v>
      </c>
      <c r="Y39" s="514" t="str">
        <f>-$F$19</f>
        <v>0</v>
      </c>
      <c r="Z39" s="365">
        <v>0</v>
      </c>
      <c r="AA39" s="559" t="str">
        <f>-$F$21</f>
        <v>0</v>
      </c>
      <c r="AB39" s="509" t="str">
        <f>SUM(Y39:AA39)</f>
        <v>0</v>
      </c>
    </row>
    <row r="40" spans="1:30">
      <c r="B40" s="37" t="s">
        <v>151</v>
      </c>
      <c r="F40" s="457">
        <v>22.2</v>
      </c>
      <c r="O40" s="493" t="s">
        <v>88</v>
      </c>
      <c r="P40" s="105" t="s">
        <v>87</v>
      </c>
      <c r="Q40" s="496" t="str">
        <f>O40&amp;P40</f>
        <v>0</v>
      </c>
      <c r="R40" s="514">
        <v>2</v>
      </c>
      <c r="S40" s="365" t="str">
        <f>-R40*$F$15</f>
        <v>0</v>
      </c>
      <c r="T40" s="365">
        <v>1</v>
      </c>
      <c r="U40" s="365" t="str">
        <f>-T40*$F$16</f>
        <v>0</v>
      </c>
      <c r="V40" s="89">
        <v>0</v>
      </c>
      <c r="W40" s="518" t="str">
        <f>V40*-$F$17</f>
        <v>0</v>
      </c>
      <c r="X40" s="509" t="str">
        <f>W40+U40+S40</f>
        <v>0</v>
      </c>
      <c r="Y40" s="514" t="str">
        <f>-$F$19</f>
        <v>0</v>
      </c>
      <c r="Z40" s="365">
        <v>0</v>
      </c>
      <c r="AA40" s="559" t="str">
        <f>-$F$21</f>
        <v>0</v>
      </c>
      <c r="AB40" s="509" t="str">
        <f>SUM(Y40:AA40)</f>
        <v>0</v>
      </c>
    </row>
    <row r="41" spans="1:30" customHeight="1" ht="12.75">
      <c r="D41" s="1"/>
      <c r="E41" s="1"/>
      <c r="O41" s="493" t="s">
        <v>88</v>
      </c>
      <c r="P41" s="105" t="s">
        <v>143</v>
      </c>
      <c r="Q41" s="496" t="str">
        <f>O41&amp;P41</f>
        <v>0</v>
      </c>
      <c r="R41" s="514">
        <v>2</v>
      </c>
      <c r="S41" s="365" t="str">
        <f>-R41*$F$15</f>
        <v>0</v>
      </c>
      <c r="T41" s="365">
        <v>0</v>
      </c>
      <c r="U41" s="365" t="str">
        <f>-T41*$F$16</f>
        <v>0</v>
      </c>
      <c r="V41" s="89">
        <v>1</v>
      </c>
      <c r="W41" s="518" t="str">
        <f>V41*-$F$17</f>
        <v>0</v>
      </c>
      <c r="X41" s="509" t="str">
        <f>W41+U41+S41</f>
        <v>0</v>
      </c>
      <c r="Y41" s="514" t="str">
        <f>-$F$19</f>
        <v>0</v>
      </c>
      <c r="Z41" s="365">
        <v>0</v>
      </c>
      <c r="AA41" s="559" t="str">
        <f>-$F$21</f>
        <v>0</v>
      </c>
      <c r="AB41" s="509" t="str">
        <f>SUM(Y41:AA41)</f>
        <v>0</v>
      </c>
    </row>
    <row r="42" spans="1:30" customHeight="1" ht="12.75">
      <c r="B42" s="472" t="s">
        <v>139</v>
      </c>
      <c r="C42" s="473" t="s">
        <v>152</v>
      </c>
      <c r="D42" s="79" t="s">
        <v>120</v>
      </c>
      <c r="E42" s="473" t="s">
        <v>153</v>
      </c>
      <c r="F42" s="79" t="s">
        <v>120</v>
      </c>
      <c r="O42" s="493" t="s">
        <v>88</v>
      </c>
      <c r="P42" s="105" t="s">
        <v>144</v>
      </c>
      <c r="Q42" s="496" t="str">
        <f>O42&amp;P42</f>
        <v>0</v>
      </c>
      <c r="R42" s="514">
        <v>2</v>
      </c>
      <c r="S42" s="365" t="str">
        <f>-R42*$F$15</f>
        <v>0</v>
      </c>
      <c r="T42" s="365">
        <v>0</v>
      </c>
      <c r="U42" s="365" t="str">
        <f>-T42*$F$16</f>
        <v>0</v>
      </c>
      <c r="V42" s="89">
        <v>1</v>
      </c>
      <c r="W42" s="518" t="str">
        <f>V42*-$F$17</f>
        <v>0</v>
      </c>
      <c r="X42" s="509" t="str">
        <f>W42+U42+S42</f>
        <v>0</v>
      </c>
      <c r="Y42" s="514" t="str">
        <f>-$F$19</f>
        <v>0</v>
      </c>
      <c r="Z42" s="365">
        <v>0</v>
      </c>
      <c r="AA42" s="559" t="str">
        <f>-$F$21</f>
        <v>0</v>
      </c>
      <c r="AB42" s="509" t="str">
        <f>SUM(Y42:AA42)</f>
        <v>0</v>
      </c>
    </row>
    <row r="43" spans="1:30">
      <c r="B43" s="459" t="s">
        <v>49</v>
      </c>
      <c r="C43" s="94">
        <v>0</v>
      </c>
      <c r="D43" s="470" t="str">
        <f>-C43*$F$40</f>
        <v>0</v>
      </c>
      <c r="E43" s="470">
        <v>0</v>
      </c>
      <c r="F43" s="470" t="str">
        <f>-E43*$F$40</f>
        <v>0</v>
      </c>
      <c r="O43" s="493" t="s">
        <v>88</v>
      </c>
      <c r="P43" s="105" t="s">
        <v>145</v>
      </c>
      <c r="Q43" s="496" t="str">
        <f>O43&amp;P43</f>
        <v>0</v>
      </c>
      <c r="R43" s="514">
        <v>3</v>
      </c>
      <c r="S43" s="365" t="str">
        <f>-R43*$F$15</f>
        <v>0</v>
      </c>
      <c r="T43" s="365">
        <v>1</v>
      </c>
      <c r="U43" s="365" t="str">
        <f>-T43*$F$16</f>
        <v>0</v>
      </c>
      <c r="V43" s="89">
        <v>0</v>
      </c>
      <c r="W43" s="518" t="str">
        <f>V43*-$F$17</f>
        <v>0</v>
      </c>
      <c r="X43" s="509" t="str">
        <f>W43+U43+S43</f>
        <v>0</v>
      </c>
      <c r="Y43" s="514" t="str">
        <f>-$F$19</f>
        <v>0</v>
      </c>
      <c r="Z43" s="365">
        <v>0</v>
      </c>
      <c r="AA43" s="559" t="str">
        <f>-$F$21</f>
        <v>0</v>
      </c>
      <c r="AB43" s="509" t="str">
        <f>SUM(Y43:AA43)</f>
        <v>0</v>
      </c>
    </row>
    <row r="44" spans="1:30">
      <c r="B44" s="460" t="s">
        <v>87</v>
      </c>
      <c r="C44" s="94">
        <v>2</v>
      </c>
      <c r="D44" s="470" t="str">
        <f>-C44*$F$40</f>
        <v>0</v>
      </c>
      <c r="E44" s="470">
        <v>0</v>
      </c>
      <c r="F44" s="470" t="str">
        <f>-E44*$F$40</f>
        <v>0</v>
      </c>
      <c r="O44" s="493" t="s">
        <v>88</v>
      </c>
      <c r="P44" s="105" t="s">
        <v>146</v>
      </c>
      <c r="Q44" s="496" t="str">
        <f>O44&amp;P44</f>
        <v>0</v>
      </c>
      <c r="R44" s="514">
        <v>3</v>
      </c>
      <c r="S44" s="365" t="str">
        <f>-R44*$F$15</f>
        <v>0</v>
      </c>
      <c r="T44" s="365">
        <v>1</v>
      </c>
      <c r="U44" s="365" t="str">
        <f>-T44*$F$16</f>
        <v>0</v>
      </c>
      <c r="V44" s="89">
        <v>0</v>
      </c>
      <c r="W44" s="518" t="str">
        <f>V44*-$F$17</f>
        <v>0</v>
      </c>
      <c r="X44" s="509" t="str">
        <f>W44+U44+S44</f>
        <v>0</v>
      </c>
      <c r="Y44" s="514" t="str">
        <f>-$F$19</f>
        <v>0</v>
      </c>
      <c r="Z44" s="365">
        <v>0</v>
      </c>
      <c r="AA44" s="559" t="str">
        <f>-$F$21</f>
        <v>0</v>
      </c>
      <c r="AB44" s="509" t="str">
        <f>SUM(Y44:AA44)</f>
        <v>0</v>
      </c>
    </row>
    <row r="45" spans="1:30">
      <c r="B45" s="460" t="s">
        <v>88</v>
      </c>
      <c r="C45" s="94">
        <v>2</v>
      </c>
      <c r="D45" s="470" t="str">
        <f>-C45*$F$40</f>
        <v>0</v>
      </c>
      <c r="E45" s="470">
        <v>1</v>
      </c>
      <c r="F45" s="470" t="str">
        <f>-E45*$F$40</f>
        <v>0</v>
      </c>
      <c r="O45" s="493" t="s">
        <v>88</v>
      </c>
      <c r="P45" s="105" t="s">
        <v>147</v>
      </c>
      <c r="Q45" s="496" t="str">
        <f>O45&amp;P45</f>
        <v>0</v>
      </c>
      <c r="R45" s="514">
        <v>4</v>
      </c>
      <c r="S45" s="365" t="str">
        <f>-R45*$F$15</f>
        <v>0</v>
      </c>
      <c r="T45" s="365">
        <v>1</v>
      </c>
      <c r="U45" s="365" t="str">
        <f>-T45*$F$16</f>
        <v>0</v>
      </c>
      <c r="V45" s="89">
        <v>0</v>
      </c>
      <c r="W45" s="518" t="str">
        <f>V45*-$F$17</f>
        <v>0</v>
      </c>
      <c r="X45" s="509" t="str">
        <f>W45+U45+S45</f>
        <v>0</v>
      </c>
      <c r="Y45" s="514" t="str">
        <f>-$F$19</f>
        <v>0</v>
      </c>
      <c r="Z45" s="365">
        <v>0</v>
      </c>
      <c r="AA45" s="559" t="str">
        <f>-$F$21</f>
        <v>0</v>
      </c>
      <c r="AB45" s="509" t="str">
        <f>SUM(Y45:AA45)</f>
        <v>0</v>
      </c>
    </row>
    <row r="46" spans="1:30">
      <c r="B46" s="460" t="s">
        <v>89</v>
      </c>
      <c r="C46" s="94">
        <v>2</v>
      </c>
      <c r="D46" s="470" t="str">
        <f>-C46*$F$40</f>
        <v>0</v>
      </c>
      <c r="E46" s="470">
        <v>1</v>
      </c>
      <c r="F46" s="470" t="str">
        <f>-E46*$F$40</f>
        <v>0</v>
      </c>
      <c r="O46" s="493" t="s">
        <v>88</v>
      </c>
      <c r="P46" s="105" t="s">
        <v>148</v>
      </c>
      <c r="Q46" s="496" t="str">
        <f>O46&amp;P46</f>
        <v>0</v>
      </c>
      <c r="R46" s="514">
        <v>1</v>
      </c>
      <c r="S46" s="365" t="str">
        <f>-R46*$F$15</f>
        <v>0</v>
      </c>
      <c r="T46" s="365">
        <v>0</v>
      </c>
      <c r="U46" s="365" t="str">
        <f>-T46*$F$16</f>
        <v>0</v>
      </c>
      <c r="V46" s="89">
        <v>1</v>
      </c>
      <c r="W46" s="518" t="str">
        <f>V46*-$F$17</f>
        <v>0</v>
      </c>
      <c r="X46" s="509" t="str">
        <f>W46+U46+S46</f>
        <v>0</v>
      </c>
      <c r="Y46" s="514" t="str">
        <f>-$F$19</f>
        <v>0</v>
      </c>
      <c r="Z46" s="365" t="str">
        <f>-$F$20</f>
        <v>0</v>
      </c>
      <c r="AA46" s="559" t="str">
        <f>-$F$21</f>
        <v>0</v>
      </c>
      <c r="AB46" s="509" t="str">
        <f>SUM(Y46:AA46)</f>
        <v>0</v>
      </c>
    </row>
    <row r="47" spans="1:30">
      <c r="B47" s="460" t="s">
        <v>90</v>
      </c>
      <c r="C47" s="94">
        <v>1</v>
      </c>
      <c r="D47" s="470" t="str">
        <f>-C47*$F$40</f>
        <v>0</v>
      </c>
      <c r="E47" s="470">
        <v>2</v>
      </c>
      <c r="F47" s="470" t="str">
        <f>-E47*$F$40</f>
        <v>0</v>
      </c>
      <c r="O47" s="493" t="s">
        <v>88</v>
      </c>
      <c r="P47" s="105" t="s">
        <v>149</v>
      </c>
      <c r="Q47" s="496" t="str">
        <f>O47&amp;P47</f>
        <v>0</v>
      </c>
      <c r="R47" s="514">
        <v>1</v>
      </c>
      <c r="S47" s="365" t="str">
        <f>-R47*$F$15</f>
        <v>0</v>
      </c>
      <c r="T47" s="365">
        <v>0</v>
      </c>
      <c r="U47" s="365" t="str">
        <f>-T47*$F$16</f>
        <v>0</v>
      </c>
      <c r="V47" s="89">
        <v>1</v>
      </c>
      <c r="W47" s="518" t="str">
        <f>V47*-$F$17</f>
        <v>0</v>
      </c>
      <c r="X47" s="509" t="str">
        <f>W47+U47+S47</f>
        <v>0</v>
      </c>
      <c r="Y47" s="514" t="str">
        <f>-$F$19</f>
        <v>0</v>
      </c>
      <c r="Z47" s="365" t="str">
        <f>-$F$20</f>
        <v>0</v>
      </c>
      <c r="AA47" s="559" t="str">
        <f>-$F$21</f>
        <v>0</v>
      </c>
      <c r="AB47" s="509" t="str">
        <f>SUM(Y47:AA47)</f>
        <v>0</v>
      </c>
    </row>
    <row r="48" spans="1:30" customHeight="1" ht="12.75">
      <c r="B48" s="460" t="s">
        <v>91</v>
      </c>
      <c r="C48" s="94">
        <v>1</v>
      </c>
      <c r="D48" s="470" t="str">
        <f>-C48*$F$40</f>
        <v>0</v>
      </c>
      <c r="E48" s="470">
        <v>2</v>
      </c>
      <c r="F48" s="470" t="str">
        <f>-E48*$F$40</f>
        <v>0</v>
      </c>
      <c r="O48" s="494" t="s">
        <v>88</v>
      </c>
      <c r="P48" s="495" t="s">
        <v>150</v>
      </c>
      <c r="Q48" s="497" t="str">
        <f>O48&amp;P48</f>
        <v>0</v>
      </c>
      <c r="R48" s="454">
        <v>2</v>
      </c>
      <c r="S48" s="455" t="str">
        <f>-R48*$F$15</f>
        <v>0</v>
      </c>
      <c r="T48" s="455">
        <v>1</v>
      </c>
      <c r="U48" s="455" t="str">
        <f>-T48*$F$16</f>
        <v>0</v>
      </c>
      <c r="V48" s="519">
        <v>0</v>
      </c>
      <c r="W48" s="520" t="str">
        <f>V48*-$F$17</f>
        <v>0</v>
      </c>
      <c r="X48" s="510" t="str">
        <f>W48+U48+S48</f>
        <v>0</v>
      </c>
      <c r="Y48" s="514" t="str">
        <f>-$F$19</f>
        <v>0</v>
      </c>
      <c r="Z48" s="365" t="str">
        <f>-$F$20</f>
        <v>0</v>
      </c>
      <c r="AA48" s="478" t="str">
        <f>-$F$21</f>
        <v>0</v>
      </c>
      <c r="AB48" s="510" t="str">
        <f>SUM(Y48:AA48)</f>
        <v>0</v>
      </c>
    </row>
    <row r="49" spans="1:30">
      <c r="B49" s="460" t="s">
        <v>92</v>
      </c>
      <c r="C49" s="94">
        <v>2</v>
      </c>
      <c r="D49" s="470" t="str">
        <f>-C49*$F$40</f>
        <v>0</v>
      </c>
      <c r="E49" s="470">
        <v>2</v>
      </c>
      <c r="F49" s="470" t="str">
        <f>-E49*$F$40</f>
        <v>0</v>
      </c>
      <c r="O49" s="491" t="s">
        <v>89</v>
      </c>
      <c r="P49" s="492" t="s">
        <v>141</v>
      </c>
      <c r="Q49" s="489" t="str">
        <f>O49&amp;P49</f>
        <v>0</v>
      </c>
      <c r="R49" s="513">
        <v>1</v>
      </c>
      <c r="S49" s="490" t="str">
        <f>-R49*$F$15</f>
        <v>0</v>
      </c>
      <c r="T49" s="490">
        <v>0</v>
      </c>
      <c r="U49" s="490" t="str">
        <f>-T49*$F$16</f>
        <v>0</v>
      </c>
      <c r="V49" s="88">
        <v>1</v>
      </c>
      <c r="W49" s="517" t="str">
        <f>V49*-$F$17</f>
        <v>0</v>
      </c>
      <c r="X49" s="508" t="str">
        <f>W49+U49+S49</f>
        <v>0</v>
      </c>
      <c r="Y49" s="558" t="str">
        <f>-$F$19</f>
        <v>0</v>
      </c>
      <c r="Z49" s="490">
        <v>0</v>
      </c>
      <c r="AA49" s="562" t="str">
        <f>-$F$21</f>
        <v>0</v>
      </c>
      <c r="AB49" s="521" t="str">
        <f>SUM(Y49:AA49)</f>
        <v>0</v>
      </c>
    </row>
    <row r="50" spans="1:30">
      <c r="B50" s="460" t="s">
        <v>93</v>
      </c>
      <c r="C50" s="94">
        <v>2</v>
      </c>
      <c r="D50" s="470" t="str">
        <f>-C50*$F$40</f>
        <v>0</v>
      </c>
      <c r="E50" s="470">
        <v>1</v>
      </c>
      <c r="F50" s="470" t="str">
        <f>-E50*$F$40</f>
        <v>0</v>
      </c>
      <c r="O50" s="493" t="s">
        <v>89</v>
      </c>
      <c r="P50" s="105" t="s">
        <v>142</v>
      </c>
      <c r="Q50" s="496" t="str">
        <f>O50&amp;P50</f>
        <v>0</v>
      </c>
      <c r="R50" s="514">
        <v>1</v>
      </c>
      <c r="S50" s="365" t="str">
        <f>-R50*$F$15</f>
        <v>0</v>
      </c>
      <c r="T50" s="365">
        <v>0</v>
      </c>
      <c r="U50" s="365" t="str">
        <f>-T50*$F$16</f>
        <v>0</v>
      </c>
      <c r="V50" s="89">
        <v>1</v>
      </c>
      <c r="W50" s="518" t="str">
        <f>V50*-$F$17</f>
        <v>0</v>
      </c>
      <c r="X50" s="509" t="str">
        <f>W50+U50+S50</f>
        <v>0</v>
      </c>
      <c r="Y50" s="555" t="str">
        <f>-$F$19</f>
        <v>0</v>
      </c>
      <c r="Z50" s="365">
        <v>0</v>
      </c>
      <c r="AA50" s="563" t="str">
        <f>-$F$21</f>
        <v>0</v>
      </c>
      <c r="AB50" s="522" t="str">
        <f>SUM(Y50:AA50)</f>
        <v>0</v>
      </c>
    </row>
    <row r="51" spans="1:30">
      <c r="B51" s="460" t="s">
        <v>94</v>
      </c>
      <c r="C51" s="94">
        <v>2</v>
      </c>
      <c r="D51" s="470" t="str">
        <f>-C51*$F$40</f>
        <v>0</v>
      </c>
      <c r="E51" s="470">
        <v>1</v>
      </c>
      <c r="F51" s="470" t="str">
        <f>-E51*$F$40</f>
        <v>0</v>
      </c>
      <c r="O51" s="493" t="s">
        <v>89</v>
      </c>
      <c r="P51" s="105" t="s">
        <v>87</v>
      </c>
      <c r="Q51" s="496" t="str">
        <f>O51&amp;P51</f>
        <v>0</v>
      </c>
      <c r="R51" s="514">
        <v>2</v>
      </c>
      <c r="S51" s="365" t="str">
        <f>-R51*$F$15</f>
        <v>0</v>
      </c>
      <c r="T51" s="365">
        <v>1</v>
      </c>
      <c r="U51" s="365" t="str">
        <f>-T51*$F$16</f>
        <v>0</v>
      </c>
      <c r="V51" s="89">
        <v>0</v>
      </c>
      <c r="W51" s="518" t="str">
        <f>V51*-$F$17</f>
        <v>0</v>
      </c>
      <c r="X51" s="509" t="str">
        <f>W51+U51+S51</f>
        <v>0</v>
      </c>
      <c r="Y51" s="555" t="str">
        <f>-$F$19</f>
        <v>0</v>
      </c>
      <c r="Z51" s="365">
        <v>0</v>
      </c>
      <c r="AA51" s="563" t="str">
        <f>-$F$21</f>
        <v>0</v>
      </c>
      <c r="AB51" s="522" t="str">
        <f>SUM(Y51:AA51)</f>
        <v>0</v>
      </c>
    </row>
    <row r="52" spans="1:30">
      <c r="B52" s="460" t="s">
        <v>95</v>
      </c>
      <c r="C52" s="94">
        <v>2</v>
      </c>
      <c r="D52" s="470" t="str">
        <f>-C52*$F$40</f>
        <v>0</v>
      </c>
      <c r="E52" s="470">
        <v>2</v>
      </c>
      <c r="F52" s="470" t="str">
        <f>-E52*$F$40</f>
        <v>0</v>
      </c>
      <c r="O52" s="493" t="s">
        <v>89</v>
      </c>
      <c r="P52" s="105" t="s">
        <v>143</v>
      </c>
      <c r="Q52" s="496" t="str">
        <f>O52&amp;P52</f>
        <v>0</v>
      </c>
      <c r="R52" s="514">
        <v>2</v>
      </c>
      <c r="S52" s="365" t="str">
        <f>-R52*$F$15</f>
        <v>0</v>
      </c>
      <c r="T52" s="365">
        <v>0</v>
      </c>
      <c r="U52" s="365" t="str">
        <f>-T52*$F$16</f>
        <v>0</v>
      </c>
      <c r="V52" s="89">
        <v>1</v>
      </c>
      <c r="W52" s="518" t="str">
        <f>V52*-$F$17</f>
        <v>0</v>
      </c>
      <c r="X52" s="509" t="str">
        <f>W52+U52+S52</f>
        <v>0</v>
      </c>
      <c r="Y52" s="555" t="str">
        <f>-$F$19</f>
        <v>0</v>
      </c>
      <c r="Z52" s="365">
        <v>0</v>
      </c>
      <c r="AA52" s="563" t="str">
        <f>-$F$21</f>
        <v>0</v>
      </c>
      <c r="AB52" s="522" t="str">
        <f>SUM(Y52:AA52)</f>
        <v>0</v>
      </c>
    </row>
    <row r="53" spans="1:30">
      <c r="B53" s="460" t="s">
        <v>96</v>
      </c>
      <c r="C53" s="94">
        <v>2</v>
      </c>
      <c r="D53" s="470" t="str">
        <f>-C53*$F$40</f>
        <v>0</v>
      </c>
      <c r="E53" s="470">
        <v>2</v>
      </c>
      <c r="F53" s="470" t="str">
        <f>-E53*$F$40</f>
        <v>0</v>
      </c>
      <c r="O53" s="493" t="s">
        <v>89</v>
      </c>
      <c r="P53" s="105" t="s">
        <v>144</v>
      </c>
      <c r="Q53" s="496" t="str">
        <f>O53&amp;P53</f>
        <v>0</v>
      </c>
      <c r="R53" s="514">
        <v>2</v>
      </c>
      <c r="S53" s="365" t="str">
        <f>-R53*$F$15</f>
        <v>0</v>
      </c>
      <c r="T53" s="365">
        <v>0</v>
      </c>
      <c r="U53" s="365" t="str">
        <f>-T53*$F$16</f>
        <v>0</v>
      </c>
      <c r="V53" s="89">
        <v>1</v>
      </c>
      <c r="W53" s="518" t="str">
        <f>V53*-$F$17</f>
        <v>0</v>
      </c>
      <c r="X53" s="509" t="str">
        <f>W53+U53+S53</f>
        <v>0</v>
      </c>
      <c r="Y53" s="555" t="str">
        <f>-$F$19</f>
        <v>0</v>
      </c>
      <c r="Z53" s="365">
        <v>0</v>
      </c>
      <c r="AA53" s="563" t="str">
        <f>-$F$21</f>
        <v>0</v>
      </c>
      <c r="AB53" s="522" t="str">
        <f>SUM(Y53:AA53)</f>
        <v>0</v>
      </c>
    </row>
    <row r="54" spans="1:30">
      <c r="B54" s="460" t="s">
        <v>97</v>
      </c>
      <c r="C54" s="94">
        <v>2</v>
      </c>
      <c r="D54" s="470" t="str">
        <f>-C54*$F$40</f>
        <v>0</v>
      </c>
      <c r="E54" s="470">
        <v>2</v>
      </c>
      <c r="F54" s="470" t="str">
        <f>-E54*$F$40</f>
        <v>0</v>
      </c>
      <c r="O54" s="493" t="s">
        <v>89</v>
      </c>
      <c r="P54" s="105" t="s">
        <v>145</v>
      </c>
      <c r="Q54" s="496" t="str">
        <f>O54&amp;P54</f>
        <v>0</v>
      </c>
      <c r="R54" s="514">
        <v>3</v>
      </c>
      <c r="S54" s="365" t="str">
        <f>-R54*$F$15</f>
        <v>0</v>
      </c>
      <c r="T54" s="365">
        <v>1</v>
      </c>
      <c r="U54" s="365" t="str">
        <f>-T54*$F$16</f>
        <v>0</v>
      </c>
      <c r="V54" s="89">
        <v>0</v>
      </c>
      <c r="W54" s="518" t="str">
        <f>V54*-$F$17</f>
        <v>0</v>
      </c>
      <c r="X54" s="509" t="str">
        <f>W54+U54+S54</f>
        <v>0</v>
      </c>
      <c r="Y54" s="555" t="str">
        <f>-$F$19</f>
        <v>0</v>
      </c>
      <c r="Z54" s="365">
        <v>0</v>
      </c>
      <c r="AA54" s="563" t="str">
        <f>-$F$21</f>
        <v>0</v>
      </c>
      <c r="AB54" s="522" t="str">
        <f>SUM(Y54:AA54)</f>
        <v>0</v>
      </c>
    </row>
    <row r="55" spans="1:30">
      <c r="B55" s="460" t="s">
        <v>98</v>
      </c>
      <c r="C55" s="94">
        <v>2</v>
      </c>
      <c r="D55" s="470" t="str">
        <f>-C55*$F$40</f>
        <v>0</v>
      </c>
      <c r="E55" s="470">
        <v>2</v>
      </c>
      <c r="F55" s="470" t="str">
        <f>-E55*$F$40</f>
        <v>0</v>
      </c>
      <c r="O55" s="493" t="s">
        <v>89</v>
      </c>
      <c r="P55" s="105" t="s">
        <v>146</v>
      </c>
      <c r="Q55" s="496" t="str">
        <f>O55&amp;P55</f>
        <v>0</v>
      </c>
      <c r="R55" s="514">
        <v>3</v>
      </c>
      <c r="S55" s="365" t="str">
        <f>-R55*$F$15</f>
        <v>0</v>
      </c>
      <c r="T55" s="365">
        <v>1</v>
      </c>
      <c r="U55" s="365" t="str">
        <f>-T55*$F$16</f>
        <v>0</v>
      </c>
      <c r="V55" s="89">
        <v>0</v>
      </c>
      <c r="W55" s="518" t="str">
        <f>V55*-$F$17</f>
        <v>0</v>
      </c>
      <c r="X55" s="509" t="str">
        <f>W55+U55+S55</f>
        <v>0</v>
      </c>
      <c r="Y55" s="555" t="str">
        <f>-$F$19</f>
        <v>0</v>
      </c>
      <c r="Z55" s="365">
        <v>0</v>
      </c>
      <c r="AA55" s="563" t="str">
        <f>-$F$21</f>
        <v>0</v>
      </c>
      <c r="AB55" s="522" t="str">
        <f>SUM(Y55:AA55)</f>
        <v>0</v>
      </c>
    </row>
    <row r="56" spans="1:30">
      <c r="B56" s="460" t="s">
        <v>99</v>
      </c>
      <c r="C56" s="94">
        <v>2</v>
      </c>
      <c r="D56" s="470" t="str">
        <f>-C56*$F$40</f>
        <v>0</v>
      </c>
      <c r="E56" s="470">
        <v>2</v>
      </c>
      <c r="F56" s="470" t="str">
        <f>-E56*$F$40</f>
        <v>0</v>
      </c>
      <c r="G56" s="457"/>
      <c r="H56" s="457"/>
      <c r="I56" s="457"/>
      <c r="J56" s="457"/>
      <c r="K56" s="457"/>
      <c r="L56" s="457"/>
      <c r="M56" s="457"/>
      <c r="N56" s="457"/>
      <c r="O56" s="493" t="s">
        <v>89</v>
      </c>
      <c r="P56" s="105" t="s">
        <v>147</v>
      </c>
      <c r="Q56" s="496" t="str">
        <f>O56&amp;P56</f>
        <v>0</v>
      </c>
      <c r="R56" s="514">
        <v>4</v>
      </c>
      <c r="S56" s="365" t="str">
        <f>-R56*$F$15</f>
        <v>0</v>
      </c>
      <c r="T56" s="365">
        <v>1</v>
      </c>
      <c r="U56" s="365" t="str">
        <f>-T56*$F$16</f>
        <v>0</v>
      </c>
      <c r="V56" s="89">
        <v>0</v>
      </c>
      <c r="W56" s="518" t="str">
        <f>V56*-$F$17</f>
        <v>0</v>
      </c>
      <c r="X56" s="509" t="str">
        <f>W56+U56+S56</f>
        <v>0</v>
      </c>
      <c r="Y56" s="555" t="str">
        <f>-$F$19</f>
        <v>0</v>
      </c>
      <c r="Z56" s="365">
        <v>0</v>
      </c>
      <c r="AA56" s="563" t="str">
        <f>-$F$21</f>
        <v>0</v>
      </c>
      <c r="AB56" s="522" t="str">
        <f>SUM(Y56:AA56)</f>
        <v>0</v>
      </c>
    </row>
    <row r="57" spans="1:30">
      <c r="B57" s="460" t="s">
        <v>100</v>
      </c>
      <c r="C57" s="94">
        <v>2</v>
      </c>
      <c r="D57" s="470" t="str">
        <f>-C57*$F$40</f>
        <v>0</v>
      </c>
      <c r="E57" s="470">
        <v>2</v>
      </c>
      <c r="F57" s="470" t="str">
        <f>-E57*$F$40</f>
        <v>0</v>
      </c>
      <c r="O57" s="493" t="s">
        <v>89</v>
      </c>
      <c r="P57" s="105" t="s">
        <v>148</v>
      </c>
      <c r="Q57" s="496" t="str">
        <f>O57&amp;P57</f>
        <v>0</v>
      </c>
      <c r="R57" s="514">
        <v>1</v>
      </c>
      <c r="S57" s="365" t="str">
        <f>-R57*$F$15</f>
        <v>0</v>
      </c>
      <c r="T57" s="365">
        <v>0</v>
      </c>
      <c r="U57" s="365" t="str">
        <f>-T57*$F$16</f>
        <v>0</v>
      </c>
      <c r="V57" s="89">
        <v>1</v>
      </c>
      <c r="W57" s="518" t="str">
        <f>V57*-$F$17</f>
        <v>0</v>
      </c>
      <c r="X57" s="509" t="str">
        <f>W57+U57+S57</f>
        <v>0</v>
      </c>
      <c r="Y57" s="555" t="str">
        <f>-$F$19</f>
        <v>0</v>
      </c>
      <c r="Z57" s="365" t="str">
        <f>-$F$20</f>
        <v>0</v>
      </c>
      <c r="AA57" s="563" t="str">
        <f>-$F$21</f>
        <v>0</v>
      </c>
      <c r="AB57" s="522" t="str">
        <f>SUM(Y57:AA57)</f>
        <v>0</v>
      </c>
    </row>
    <row r="58" spans="1:30">
      <c r="B58" s="460" t="s">
        <v>101</v>
      </c>
      <c r="C58" s="94">
        <v>2</v>
      </c>
      <c r="D58" s="470" t="str">
        <f>-C58*$F$40</f>
        <v>0</v>
      </c>
      <c r="E58" s="470">
        <v>2</v>
      </c>
      <c r="F58" s="470" t="str">
        <f>-E58*$F$40</f>
        <v>0</v>
      </c>
      <c r="G58" s="3"/>
      <c r="H58" s="3"/>
      <c r="I58" s="3"/>
      <c r="J58" s="3"/>
      <c r="K58" s="3"/>
      <c r="L58" s="3"/>
      <c r="M58" s="3"/>
      <c r="N58" s="3"/>
      <c r="O58" s="493" t="s">
        <v>89</v>
      </c>
      <c r="P58" s="105" t="s">
        <v>149</v>
      </c>
      <c r="Q58" s="496" t="str">
        <f>O58&amp;P58</f>
        <v>0</v>
      </c>
      <c r="R58" s="514">
        <v>1</v>
      </c>
      <c r="S58" s="365" t="str">
        <f>-R58*$F$15</f>
        <v>0</v>
      </c>
      <c r="T58" s="365">
        <v>0</v>
      </c>
      <c r="U58" s="365" t="str">
        <f>-T58*$F$16</f>
        <v>0</v>
      </c>
      <c r="V58" s="89">
        <v>1</v>
      </c>
      <c r="W58" s="518" t="str">
        <f>V58*-$F$17</f>
        <v>0</v>
      </c>
      <c r="X58" s="509" t="str">
        <f>W58+U58+S58</f>
        <v>0</v>
      </c>
      <c r="Y58" s="555" t="str">
        <f>-$F$19</f>
        <v>0</v>
      </c>
      <c r="Z58" s="365" t="str">
        <f>-$F$20</f>
        <v>0</v>
      </c>
      <c r="AA58" s="563" t="str">
        <f>-$F$21</f>
        <v>0</v>
      </c>
      <c r="AB58" s="522" t="str">
        <f>SUM(Y58:AA58)</f>
        <v>0</v>
      </c>
    </row>
    <row r="59" spans="1:30" customHeight="1" ht="12.75">
      <c r="B59" s="460" t="s">
        <v>102</v>
      </c>
      <c r="C59" s="94">
        <v>2</v>
      </c>
      <c r="D59" s="470" t="str">
        <f>-C59*$F$40</f>
        <v>0</v>
      </c>
      <c r="E59" s="470">
        <v>2</v>
      </c>
      <c r="F59" s="470" t="str">
        <f>-E59*$F$40</f>
        <v>0</v>
      </c>
      <c r="G59" s="456"/>
      <c r="H59" s="456"/>
      <c r="I59" s="456"/>
      <c r="J59" s="456"/>
      <c r="K59" s="456"/>
      <c r="L59" s="456"/>
      <c r="M59" s="456"/>
      <c r="N59" s="456"/>
      <c r="O59" s="494" t="s">
        <v>89</v>
      </c>
      <c r="P59" s="495" t="s">
        <v>150</v>
      </c>
      <c r="Q59" s="497" t="str">
        <f>O59&amp;P59</f>
        <v>0</v>
      </c>
      <c r="R59" s="454">
        <v>2</v>
      </c>
      <c r="S59" s="455" t="str">
        <f>-R59*$F$15</f>
        <v>0</v>
      </c>
      <c r="T59" s="455">
        <v>1</v>
      </c>
      <c r="U59" s="455" t="str">
        <f>-T59*$F$16</f>
        <v>0</v>
      </c>
      <c r="V59" s="519">
        <v>0</v>
      </c>
      <c r="W59" s="520" t="str">
        <f>V59*-$F$17</f>
        <v>0</v>
      </c>
      <c r="X59" s="510" t="str">
        <f>W59+U59+S59</f>
        <v>0</v>
      </c>
      <c r="Y59" s="557" t="str">
        <f>-$F$19</f>
        <v>0</v>
      </c>
      <c r="Z59" s="534" t="str">
        <f>-$F$20</f>
        <v>0</v>
      </c>
      <c r="AA59" s="564" t="str">
        <f>-$F$21</f>
        <v>0</v>
      </c>
      <c r="AB59" s="523" t="str">
        <f>SUM(Y59:AA59)</f>
        <v>0</v>
      </c>
    </row>
    <row r="60" spans="1:30">
      <c r="B60" s="460" t="s">
        <v>103</v>
      </c>
      <c r="C60" s="94">
        <v>2</v>
      </c>
      <c r="D60" s="470" t="str">
        <f>-C60*$F$40</f>
        <v>0</v>
      </c>
      <c r="E60" s="470">
        <v>2</v>
      </c>
      <c r="F60" s="470" t="str">
        <f>-E60*$F$40</f>
        <v>0</v>
      </c>
      <c r="G60" s="456"/>
      <c r="H60" s="456"/>
      <c r="I60" s="456"/>
      <c r="J60" s="456"/>
      <c r="K60" s="456"/>
      <c r="L60" s="456"/>
      <c r="M60" s="456"/>
      <c r="N60" s="456"/>
      <c r="O60" s="491" t="s">
        <v>90</v>
      </c>
      <c r="P60" s="492" t="s">
        <v>141</v>
      </c>
      <c r="Q60" s="489" t="str">
        <f>O60&amp;P60</f>
        <v>0</v>
      </c>
      <c r="R60" s="527">
        <v>1</v>
      </c>
      <c r="S60" s="499" t="str">
        <f>-R60*$F$15</f>
        <v>0</v>
      </c>
      <c r="T60" s="499">
        <v>0</v>
      </c>
      <c r="U60" s="499" t="str">
        <f>-T60*$F$16</f>
        <v>0</v>
      </c>
      <c r="V60" s="554">
        <v>1</v>
      </c>
      <c r="W60" s="524" t="str">
        <f>V60*-$F$17</f>
        <v>0</v>
      </c>
      <c r="X60" s="521" t="str">
        <f>W60+U60+S60</f>
        <v>0</v>
      </c>
      <c r="Y60" s="514" t="str">
        <f>-$F$19</f>
        <v>0</v>
      </c>
      <c r="Z60" s="365">
        <v>0</v>
      </c>
      <c r="AA60" s="478" t="str">
        <f>-$F$21</f>
        <v>0</v>
      </c>
      <c r="AB60" s="509" t="str">
        <f>SUM(Y60:AA60)</f>
        <v>0</v>
      </c>
    </row>
    <row r="61" spans="1:30">
      <c r="B61" s="460" t="s">
        <v>104</v>
      </c>
      <c r="C61" s="94">
        <v>2</v>
      </c>
      <c r="D61" s="470" t="str">
        <f>-C61*$F$40</f>
        <v>0</v>
      </c>
      <c r="E61" s="470">
        <v>2</v>
      </c>
      <c r="F61" s="470" t="str">
        <f>-E61*$F$40</f>
        <v>0</v>
      </c>
      <c r="G61" s="456"/>
      <c r="H61" s="456"/>
      <c r="I61" s="456"/>
      <c r="J61" s="456"/>
      <c r="K61" s="456"/>
      <c r="L61" s="456"/>
      <c r="M61" s="456"/>
      <c r="N61" s="456"/>
      <c r="O61" s="493" t="s">
        <v>90</v>
      </c>
      <c r="P61" s="105" t="s">
        <v>142</v>
      </c>
      <c r="Q61" s="496" t="str">
        <f>O61&amp;P61</f>
        <v>0</v>
      </c>
      <c r="R61" s="555">
        <v>1</v>
      </c>
      <c r="S61" s="470" t="str">
        <f>-R61*$F$15</f>
        <v>0</v>
      </c>
      <c r="T61" s="470">
        <v>0</v>
      </c>
      <c r="U61" s="470" t="str">
        <f>-T61*$F$16</f>
        <v>0</v>
      </c>
      <c r="V61" s="470">
        <v>1</v>
      </c>
      <c r="W61" s="525" t="str">
        <f>V61*-$F$17</f>
        <v>0</v>
      </c>
      <c r="X61" s="522" t="str">
        <f>W61+U61+S61</f>
        <v>0</v>
      </c>
      <c r="Y61" s="514" t="str">
        <f>-$F$19</f>
        <v>0</v>
      </c>
      <c r="Z61" s="365">
        <v>0</v>
      </c>
      <c r="AA61" s="478" t="str">
        <f>-$F$21</f>
        <v>0</v>
      </c>
      <c r="AB61" s="509" t="str">
        <f>SUM(Y61:AA61)</f>
        <v>0</v>
      </c>
    </row>
    <row r="62" spans="1:30">
      <c r="B62" s="460" t="s">
        <v>105</v>
      </c>
      <c r="C62" s="94">
        <v>2</v>
      </c>
      <c r="D62" s="470" t="str">
        <f>-C62*$F$40</f>
        <v>0</v>
      </c>
      <c r="E62" s="470">
        <v>1</v>
      </c>
      <c r="F62" s="470" t="str">
        <f>-E62*$F$40</f>
        <v>0</v>
      </c>
      <c r="G62" s="456"/>
      <c r="H62" s="456"/>
      <c r="I62" s="456"/>
      <c r="J62" s="456"/>
      <c r="K62" s="456"/>
      <c r="L62" s="456"/>
      <c r="M62" s="456"/>
      <c r="N62" s="456"/>
      <c r="O62" s="493" t="s">
        <v>90</v>
      </c>
      <c r="P62" s="105" t="s">
        <v>87</v>
      </c>
      <c r="Q62" s="496" t="str">
        <f>O62&amp;P62</f>
        <v>0</v>
      </c>
      <c r="R62" s="555">
        <v>2</v>
      </c>
      <c r="S62" s="470" t="str">
        <f>-R62*$F$15</f>
        <v>0</v>
      </c>
      <c r="T62" s="470">
        <v>1</v>
      </c>
      <c r="U62" s="470" t="str">
        <f>-T62*$F$16</f>
        <v>0</v>
      </c>
      <c r="V62" s="470">
        <v>0</v>
      </c>
      <c r="W62" s="525" t="str">
        <f>V62*-$F$17</f>
        <v>0</v>
      </c>
      <c r="X62" s="522" t="str">
        <f>W62+U62+S62</f>
        <v>0</v>
      </c>
      <c r="Y62" s="514" t="str">
        <f>-$F$19</f>
        <v>0</v>
      </c>
      <c r="Z62" s="365">
        <v>0</v>
      </c>
      <c r="AA62" s="478" t="str">
        <f>-$F$21</f>
        <v>0</v>
      </c>
      <c r="AB62" s="509" t="str">
        <f>SUM(Y62:AA62)</f>
        <v>0</v>
      </c>
    </row>
    <row r="63" spans="1:30">
      <c r="B63" s="460" t="s">
        <v>106</v>
      </c>
      <c r="C63" s="94">
        <v>2</v>
      </c>
      <c r="D63" s="470" t="str">
        <f>-C63*$F$40</f>
        <v>0</v>
      </c>
      <c r="E63" s="470">
        <v>1</v>
      </c>
      <c r="F63" s="470" t="str">
        <f>-E63*$F$40</f>
        <v>0</v>
      </c>
      <c r="G63" s="456"/>
      <c r="H63" s="456"/>
      <c r="I63" s="456"/>
      <c r="J63" s="456"/>
      <c r="K63" s="456"/>
      <c r="L63" s="456"/>
      <c r="M63" s="456"/>
      <c r="N63" s="456"/>
      <c r="O63" s="493" t="s">
        <v>90</v>
      </c>
      <c r="P63" s="105" t="s">
        <v>143</v>
      </c>
      <c r="Q63" s="496" t="str">
        <f>O63&amp;P63</f>
        <v>0</v>
      </c>
      <c r="R63" s="528">
        <v>2</v>
      </c>
      <c r="S63" s="470" t="str">
        <f>-R63*$F$15</f>
        <v>0</v>
      </c>
      <c r="T63" s="470">
        <v>0</v>
      </c>
      <c r="U63" s="470" t="str">
        <f>-T63*$F$16</f>
        <v>0</v>
      </c>
      <c r="V63" s="556">
        <v>1</v>
      </c>
      <c r="W63" s="525" t="str">
        <f>V63*-$F$17</f>
        <v>0</v>
      </c>
      <c r="X63" s="522" t="str">
        <f>W63+U63+S63</f>
        <v>0</v>
      </c>
      <c r="Y63" s="514" t="str">
        <f>-$F$19</f>
        <v>0</v>
      </c>
      <c r="Z63" s="365">
        <v>0</v>
      </c>
      <c r="AA63" s="478" t="str">
        <f>-$F$21</f>
        <v>0</v>
      </c>
      <c r="AB63" s="509" t="str">
        <f>SUM(Y63:AA63)</f>
        <v>0</v>
      </c>
    </row>
    <row r="64" spans="1:30">
      <c r="B64" s="460" t="s">
        <v>107</v>
      </c>
      <c r="C64" s="94">
        <v>2</v>
      </c>
      <c r="D64" s="470" t="str">
        <f>-C64*$F$40</f>
        <v>0</v>
      </c>
      <c r="E64" s="470">
        <v>1</v>
      </c>
      <c r="F64" s="470" t="str">
        <f>-E64*$F$40</f>
        <v>0</v>
      </c>
      <c r="G64" s="456"/>
      <c r="H64" s="456"/>
      <c r="I64" s="456"/>
      <c r="J64" s="456"/>
      <c r="K64" s="456"/>
      <c r="L64" s="456"/>
      <c r="M64" s="456"/>
      <c r="N64" s="456"/>
      <c r="O64" s="493" t="s">
        <v>90</v>
      </c>
      <c r="P64" s="105" t="s">
        <v>144</v>
      </c>
      <c r="Q64" s="496" t="str">
        <f>O64&amp;P64</f>
        <v>0</v>
      </c>
      <c r="R64" s="555">
        <v>2</v>
      </c>
      <c r="S64" s="470" t="str">
        <f>-R64*$F$15</f>
        <v>0</v>
      </c>
      <c r="T64" s="470">
        <v>0</v>
      </c>
      <c r="U64" s="470" t="str">
        <f>-T64*$F$16</f>
        <v>0</v>
      </c>
      <c r="V64" s="470">
        <v>1</v>
      </c>
      <c r="W64" s="525" t="str">
        <f>V64*-$F$17</f>
        <v>0</v>
      </c>
      <c r="X64" s="522" t="str">
        <f>W64+U64+S64</f>
        <v>0</v>
      </c>
      <c r="Y64" s="514" t="str">
        <f>-$F$19</f>
        <v>0</v>
      </c>
      <c r="Z64" s="365">
        <v>0</v>
      </c>
      <c r="AA64" s="478" t="str">
        <f>-$F$21</f>
        <v>0</v>
      </c>
      <c r="AB64" s="509" t="str">
        <f>SUM(Y64:AA64)</f>
        <v>0</v>
      </c>
    </row>
    <row r="65" spans="1:30">
      <c r="B65" s="460" t="s">
        <v>108</v>
      </c>
      <c r="C65" s="94">
        <v>2</v>
      </c>
      <c r="D65" s="470" t="str">
        <f>-C65*$F$40</f>
        <v>0</v>
      </c>
      <c r="E65" s="470">
        <v>1</v>
      </c>
      <c r="F65" s="470" t="str">
        <f>-E65*$F$40</f>
        <v>0</v>
      </c>
      <c r="G65" s="456"/>
      <c r="H65" s="456"/>
      <c r="I65" s="456"/>
      <c r="J65" s="456"/>
      <c r="K65" s="456"/>
      <c r="L65" s="456"/>
      <c r="M65" s="456"/>
      <c r="N65" s="456"/>
      <c r="O65" s="493" t="s">
        <v>90</v>
      </c>
      <c r="P65" s="105" t="s">
        <v>145</v>
      </c>
      <c r="Q65" s="496" t="str">
        <f>O65&amp;P65</f>
        <v>0</v>
      </c>
      <c r="R65" s="555">
        <v>3</v>
      </c>
      <c r="S65" s="470" t="str">
        <f>-R65*$F$15</f>
        <v>0</v>
      </c>
      <c r="T65" s="470">
        <v>1</v>
      </c>
      <c r="U65" s="470" t="str">
        <f>-T65*$F$16</f>
        <v>0</v>
      </c>
      <c r="V65" s="470">
        <v>0</v>
      </c>
      <c r="W65" s="525" t="str">
        <f>V65*-$F$17</f>
        <v>0</v>
      </c>
      <c r="X65" s="522" t="str">
        <f>W65+U65+S65</f>
        <v>0</v>
      </c>
      <c r="Y65" s="514" t="str">
        <f>-$F$19</f>
        <v>0</v>
      </c>
      <c r="Z65" s="365">
        <v>0</v>
      </c>
      <c r="AA65" s="478" t="str">
        <f>-$F$21</f>
        <v>0</v>
      </c>
      <c r="AB65" s="509" t="str">
        <f>SUM(Y65:AA65)</f>
        <v>0</v>
      </c>
    </row>
    <row r="66" spans="1:30">
      <c r="B66" s="460" t="s">
        <v>109</v>
      </c>
      <c r="C66" s="94">
        <v>2</v>
      </c>
      <c r="D66" s="470" t="str">
        <f>-C66*$F$40</f>
        <v>0</v>
      </c>
      <c r="E66" s="470">
        <v>1</v>
      </c>
      <c r="F66" s="470" t="str">
        <f>-E66*$F$40</f>
        <v>0</v>
      </c>
      <c r="G66" s="456"/>
      <c r="H66" s="456"/>
      <c r="I66" s="456"/>
      <c r="J66" s="456"/>
      <c r="K66" s="456"/>
      <c r="L66" s="456"/>
      <c r="M66" s="456"/>
      <c r="N66" s="456"/>
      <c r="O66" s="493" t="s">
        <v>90</v>
      </c>
      <c r="P66" s="105" t="s">
        <v>146</v>
      </c>
      <c r="Q66" s="496" t="str">
        <f>O66&amp;P66</f>
        <v>0</v>
      </c>
      <c r="R66" s="555">
        <v>3</v>
      </c>
      <c r="S66" s="470" t="str">
        <f>-R66*$F$15</f>
        <v>0</v>
      </c>
      <c r="T66" s="470">
        <v>1</v>
      </c>
      <c r="U66" s="470" t="str">
        <f>-T66*$F$16</f>
        <v>0</v>
      </c>
      <c r="V66" s="470">
        <v>0</v>
      </c>
      <c r="W66" s="525" t="str">
        <f>V66*-$F$17</f>
        <v>0</v>
      </c>
      <c r="X66" s="522" t="str">
        <f>W66+U66+S66</f>
        <v>0</v>
      </c>
      <c r="Y66" s="514" t="str">
        <f>-$F$19</f>
        <v>0</v>
      </c>
      <c r="Z66" s="365">
        <v>0</v>
      </c>
      <c r="AA66" s="478" t="str">
        <f>-$F$21</f>
        <v>0</v>
      </c>
      <c r="AB66" s="509" t="str">
        <f>SUM(Y66:AA66)</f>
        <v>0</v>
      </c>
    </row>
    <row r="67" spans="1:30" customHeight="1" ht="12.75">
      <c r="B67" s="43" t="s">
        <v>110</v>
      </c>
      <c r="C67" s="95">
        <v>2</v>
      </c>
      <c r="D67" s="471" t="str">
        <f>-C67*$F$40</f>
        <v>0</v>
      </c>
      <c r="E67" s="471">
        <v>1</v>
      </c>
      <c r="F67" s="471" t="str">
        <f>-E67*$F$40</f>
        <v>0</v>
      </c>
      <c r="G67" s="456"/>
      <c r="H67" s="456"/>
      <c r="I67" s="456"/>
      <c r="J67" s="456"/>
      <c r="K67" s="456"/>
      <c r="L67" s="456"/>
      <c r="M67" s="456"/>
      <c r="N67" s="456"/>
      <c r="O67" s="493" t="s">
        <v>90</v>
      </c>
      <c r="P67" s="105" t="s">
        <v>147</v>
      </c>
      <c r="Q67" s="496" t="str">
        <f>O67&amp;P67</f>
        <v>0</v>
      </c>
      <c r="R67" s="555">
        <v>4</v>
      </c>
      <c r="S67" s="470" t="str">
        <f>-R67*$F$15</f>
        <v>0</v>
      </c>
      <c r="T67" s="470">
        <v>1</v>
      </c>
      <c r="U67" s="470" t="str">
        <f>-T67*$F$16</f>
        <v>0</v>
      </c>
      <c r="V67" s="470">
        <v>0</v>
      </c>
      <c r="W67" s="525" t="str">
        <f>V67*-$F$17</f>
        <v>0</v>
      </c>
      <c r="X67" s="522" t="str">
        <f>W67+U67+S67</f>
        <v>0</v>
      </c>
      <c r="Y67" s="514" t="str">
        <f>-$F$19</f>
        <v>0</v>
      </c>
      <c r="Z67" s="365">
        <v>0</v>
      </c>
      <c r="AA67" s="478" t="str">
        <f>-$F$21</f>
        <v>0</v>
      </c>
      <c r="AB67" s="509" t="str">
        <f>SUM(Y67:AA67)</f>
        <v>0</v>
      </c>
    </row>
    <row r="68" spans="1:30">
      <c r="G68" s="456"/>
      <c r="H68" s="456"/>
      <c r="I68" s="456"/>
      <c r="J68" s="456"/>
      <c r="K68" s="456"/>
      <c r="L68" s="456"/>
      <c r="M68" s="456"/>
      <c r="N68" s="456"/>
      <c r="O68" s="493" t="s">
        <v>90</v>
      </c>
      <c r="P68" s="105" t="s">
        <v>148</v>
      </c>
      <c r="Q68" s="496" t="str">
        <f>O68&amp;P68</f>
        <v>0</v>
      </c>
      <c r="R68" s="528">
        <v>1</v>
      </c>
      <c r="S68" s="470" t="str">
        <f>-R68*$F$15</f>
        <v>0</v>
      </c>
      <c r="T68" s="470">
        <v>0</v>
      </c>
      <c r="U68" s="470" t="str">
        <f>-T68*$F$16</f>
        <v>0</v>
      </c>
      <c r="V68" s="556">
        <v>1</v>
      </c>
      <c r="W68" s="525" t="str">
        <f>V68*-$F$17</f>
        <v>0</v>
      </c>
      <c r="X68" s="522" t="str">
        <f>W68+U68+S68</f>
        <v>0</v>
      </c>
      <c r="Y68" s="514" t="str">
        <f>-$F$19</f>
        <v>0</v>
      </c>
      <c r="Z68" s="365" t="str">
        <f>-$F$20</f>
        <v>0</v>
      </c>
      <c r="AA68" s="478" t="str">
        <f>-$F$21</f>
        <v>0</v>
      </c>
      <c r="AB68" s="509" t="str">
        <f>SUM(Y68:AA68)</f>
        <v>0</v>
      </c>
    </row>
    <row r="69" spans="1:30">
      <c r="G69" s="456"/>
      <c r="H69" s="456"/>
      <c r="I69" s="456"/>
      <c r="J69" s="456"/>
      <c r="K69" s="456"/>
      <c r="L69" s="456"/>
      <c r="M69" s="456"/>
      <c r="N69" s="456"/>
      <c r="O69" s="493" t="s">
        <v>90</v>
      </c>
      <c r="P69" s="105" t="s">
        <v>149</v>
      </c>
      <c r="Q69" s="496" t="str">
        <f>O69&amp;P69</f>
        <v>0</v>
      </c>
      <c r="R69" s="555">
        <v>1</v>
      </c>
      <c r="S69" s="470" t="str">
        <f>-R69*$F$15</f>
        <v>0</v>
      </c>
      <c r="T69" s="470">
        <v>0</v>
      </c>
      <c r="U69" s="470" t="str">
        <f>-T69*$F$16</f>
        <v>0</v>
      </c>
      <c r="V69" s="470">
        <v>1</v>
      </c>
      <c r="W69" s="525" t="str">
        <f>V69*-$F$17</f>
        <v>0</v>
      </c>
      <c r="X69" s="522" t="str">
        <f>W69+U69+S69</f>
        <v>0</v>
      </c>
      <c r="Y69" s="514" t="str">
        <f>-$F$19</f>
        <v>0</v>
      </c>
      <c r="Z69" s="365" t="str">
        <f>-$F$20</f>
        <v>0</v>
      </c>
      <c r="AA69" s="478" t="str">
        <f>-$F$21</f>
        <v>0</v>
      </c>
      <c r="AB69" s="509" t="str">
        <f>SUM(Y69:AA69)</f>
        <v>0</v>
      </c>
    </row>
    <row r="70" spans="1:30" customHeight="1" ht="12.75">
      <c r="G70" s="456"/>
      <c r="H70" s="456"/>
      <c r="I70" s="456"/>
      <c r="J70" s="456"/>
      <c r="K70" s="456"/>
      <c r="L70" s="456"/>
      <c r="M70" s="456"/>
      <c r="N70" s="456"/>
      <c r="O70" s="494" t="s">
        <v>90</v>
      </c>
      <c r="P70" s="495" t="s">
        <v>150</v>
      </c>
      <c r="Q70" s="497" t="str">
        <f>O70&amp;P70</f>
        <v>0</v>
      </c>
      <c r="R70" s="557">
        <v>2</v>
      </c>
      <c r="S70" s="500" t="str">
        <f>-R70*$F$15</f>
        <v>0</v>
      </c>
      <c r="T70" s="500">
        <v>1</v>
      </c>
      <c r="U70" s="500" t="str">
        <f>-T70*$F$16</f>
        <v>0</v>
      </c>
      <c r="V70" s="500">
        <v>0</v>
      </c>
      <c r="W70" s="526" t="str">
        <f>V70*-$F$17</f>
        <v>0</v>
      </c>
      <c r="X70" s="523" t="str">
        <f>W70+U70+S70</f>
        <v>0</v>
      </c>
      <c r="Y70" s="514" t="str">
        <f>-$F$19</f>
        <v>0</v>
      </c>
      <c r="Z70" s="365" t="str">
        <f>-$F$20</f>
        <v>0</v>
      </c>
      <c r="AA70" s="478" t="str">
        <f>-$F$21</f>
        <v>0</v>
      </c>
      <c r="AB70" s="509" t="str">
        <f>SUM(Y70:AA70)</f>
        <v>0</v>
      </c>
    </row>
    <row r="71" spans="1:30">
      <c r="G71" s="456"/>
      <c r="H71" s="456"/>
      <c r="I71" s="456"/>
      <c r="J71" s="456"/>
      <c r="K71" s="456"/>
      <c r="L71" s="456"/>
      <c r="M71" s="456"/>
      <c r="N71" s="456"/>
      <c r="O71" s="491" t="s">
        <v>91</v>
      </c>
      <c r="P71" s="492" t="s">
        <v>141</v>
      </c>
      <c r="Q71" s="489" t="str">
        <f>O71&amp;P71</f>
        <v>0</v>
      </c>
      <c r="R71" s="558">
        <v>1</v>
      </c>
      <c r="S71" s="499" t="str">
        <f>-R71*$F$15</f>
        <v>0</v>
      </c>
      <c r="T71" s="499">
        <v>0</v>
      </c>
      <c r="U71" s="499" t="str">
        <f>-T71*$F$16</f>
        <v>0</v>
      </c>
      <c r="V71" s="499">
        <v>1</v>
      </c>
      <c r="W71" s="524" t="str">
        <f>V71*-$F$17</f>
        <v>0</v>
      </c>
      <c r="X71" s="521" t="str">
        <f>W71+U71+S71</f>
        <v>0</v>
      </c>
      <c r="Y71" s="513" t="str">
        <f>-$F$19</f>
        <v>0</v>
      </c>
      <c r="Z71" s="490">
        <v>0</v>
      </c>
      <c r="AA71" s="531" t="str">
        <f>-$F$21</f>
        <v>0</v>
      </c>
      <c r="AB71" s="508" t="str">
        <f>SUM(Y71:AA71)</f>
        <v>0</v>
      </c>
    </row>
    <row r="72" spans="1:30">
      <c r="G72" s="456"/>
      <c r="H72" s="456"/>
      <c r="I72" s="456"/>
      <c r="J72" s="456"/>
      <c r="K72" s="456"/>
      <c r="L72" s="456"/>
      <c r="M72" s="456"/>
      <c r="N72" s="456"/>
      <c r="O72" s="493" t="s">
        <v>91</v>
      </c>
      <c r="P72" s="105" t="s">
        <v>142</v>
      </c>
      <c r="Q72" s="496" t="str">
        <f>O72&amp;P72</f>
        <v>0</v>
      </c>
      <c r="R72" s="528">
        <v>1</v>
      </c>
      <c r="S72" s="470" t="str">
        <f>-R72*$F$15</f>
        <v>0</v>
      </c>
      <c r="T72" s="470">
        <v>0</v>
      </c>
      <c r="U72" s="470" t="str">
        <f>-T72*$F$16</f>
        <v>0</v>
      </c>
      <c r="V72" s="556">
        <v>1</v>
      </c>
      <c r="W72" s="525" t="str">
        <f>V72*-$F$17</f>
        <v>0</v>
      </c>
      <c r="X72" s="522" t="str">
        <f>W72+U72+S72</f>
        <v>0</v>
      </c>
      <c r="Y72" s="514" t="str">
        <f>-$F$19</f>
        <v>0</v>
      </c>
      <c r="Z72" s="365">
        <v>0</v>
      </c>
      <c r="AA72" s="478" t="str">
        <f>-$F$21</f>
        <v>0</v>
      </c>
      <c r="AB72" s="509" t="str">
        <f>SUM(Y72:AA72)</f>
        <v>0</v>
      </c>
    </row>
    <row r="73" spans="1:30">
      <c r="G73" s="456"/>
      <c r="H73" s="456"/>
      <c r="I73" s="456"/>
      <c r="J73" s="456"/>
      <c r="K73" s="456"/>
      <c r="L73" s="456"/>
      <c r="M73" s="456"/>
      <c r="N73" s="456"/>
      <c r="O73" s="493" t="s">
        <v>91</v>
      </c>
      <c r="P73" s="105" t="s">
        <v>87</v>
      </c>
      <c r="Q73" s="496" t="str">
        <f>O73&amp;P73</f>
        <v>0</v>
      </c>
      <c r="R73" s="555">
        <v>2</v>
      </c>
      <c r="S73" s="470" t="str">
        <f>-R73*$F$15</f>
        <v>0</v>
      </c>
      <c r="T73" s="470">
        <v>1</v>
      </c>
      <c r="U73" s="470" t="str">
        <f>-T73*$F$16</f>
        <v>0</v>
      </c>
      <c r="V73" s="470">
        <v>0</v>
      </c>
      <c r="W73" s="525" t="str">
        <f>V73*-$F$17</f>
        <v>0</v>
      </c>
      <c r="X73" s="522" t="str">
        <f>W73+U73+S73</f>
        <v>0</v>
      </c>
      <c r="Y73" s="514" t="str">
        <f>-$F$19</f>
        <v>0</v>
      </c>
      <c r="Z73" s="365">
        <v>0</v>
      </c>
      <c r="AA73" s="478" t="str">
        <f>-$F$21</f>
        <v>0</v>
      </c>
      <c r="AB73" s="509" t="str">
        <f>SUM(Y73:AA73)</f>
        <v>0</v>
      </c>
    </row>
    <row r="74" spans="1:30">
      <c r="G74" s="456"/>
      <c r="H74" s="456"/>
      <c r="I74" s="456"/>
      <c r="J74" s="456"/>
      <c r="K74" s="456"/>
      <c r="L74" s="456"/>
      <c r="M74" s="456"/>
      <c r="N74" s="456"/>
      <c r="O74" s="493" t="s">
        <v>91</v>
      </c>
      <c r="P74" s="105" t="s">
        <v>143</v>
      </c>
      <c r="Q74" s="496" t="str">
        <f>O74&amp;P74</f>
        <v>0</v>
      </c>
      <c r="R74" s="555">
        <v>2</v>
      </c>
      <c r="S74" s="470" t="str">
        <f>-R74*$F$15</f>
        <v>0</v>
      </c>
      <c r="T74" s="470">
        <v>0</v>
      </c>
      <c r="U74" s="470" t="str">
        <f>-T74*$F$16</f>
        <v>0</v>
      </c>
      <c r="V74" s="556">
        <v>1</v>
      </c>
      <c r="W74" s="525" t="str">
        <f>V74*-$F$17</f>
        <v>0</v>
      </c>
      <c r="X74" s="522" t="str">
        <f>W74+U74+S74</f>
        <v>0</v>
      </c>
      <c r="Y74" s="514" t="str">
        <f>-$F$19</f>
        <v>0</v>
      </c>
      <c r="Z74" s="365">
        <v>0</v>
      </c>
      <c r="AA74" s="478" t="str">
        <f>-$F$21</f>
        <v>0</v>
      </c>
      <c r="AB74" s="509" t="str">
        <f>SUM(Y74:AA74)</f>
        <v>0</v>
      </c>
    </row>
    <row r="75" spans="1:30">
      <c r="G75" s="456"/>
      <c r="H75" s="456"/>
      <c r="I75" s="456"/>
      <c r="J75" s="456"/>
      <c r="K75" s="456"/>
      <c r="L75" s="456"/>
      <c r="M75" s="456"/>
      <c r="N75" s="456"/>
      <c r="O75" s="493" t="s">
        <v>91</v>
      </c>
      <c r="P75" s="105" t="s">
        <v>144</v>
      </c>
      <c r="Q75" s="496" t="str">
        <f>O75&amp;P75</f>
        <v>0</v>
      </c>
      <c r="R75" s="528">
        <v>2</v>
      </c>
      <c r="S75" s="470" t="str">
        <f>-R75*$F$15</f>
        <v>0</v>
      </c>
      <c r="T75" s="470">
        <v>0</v>
      </c>
      <c r="U75" s="470" t="str">
        <f>-T75*$F$16</f>
        <v>0</v>
      </c>
      <c r="V75" s="556">
        <v>1</v>
      </c>
      <c r="W75" s="525" t="str">
        <f>V75*-$F$17</f>
        <v>0</v>
      </c>
      <c r="X75" s="522" t="str">
        <f>W75+U75+S75</f>
        <v>0</v>
      </c>
      <c r="Y75" s="514" t="str">
        <f>-$F$19</f>
        <v>0</v>
      </c>
      <c r="Z75" s="365">
        <v>0</v>
      </c>
      <c r="AA75" s="478" t="str">
        <f>-$F$21</f>
        <v>0</v>
      </c>
      <c r="AB75" s="509" t="str">
        <f>SUM(Y75:AA75)</f>
        <v>0</v>
      </c>
    </row>
    <row r="76" spans="1:30">
      <c r="G76" s="456"/>
      <c r="H76" s="456"/>
      <c r="I76" s="456"/>
      <c r="J76" s="456"/>
      <c r="K76" s="456"/>
      <c r="L76" s="456"/>
      <c r="M76" s="456"/>
      <c r="N76" s="456"/>
      <c r="O76" s="493" t="s">
        <v>91</v>
      </c>
      <c r="P76" s="105" t="s">
        <v>145</v>
      </c>
      <c r="Q76" s="496" t="str">
        <f>O76&amp;P76</f>
        <v>0</v>
      </c>
      <c r="R76" s="555">
        <v>3</v>
      </c>
      <c r="S76" s="470" t="str">
        <f>-R76*$F$15</f>
        <v>0</v>
      </c>
      <c r="T76" s="470">
        <v>1</v>
      </c>
      <c r="U76" s="470" t="str">
        <f>-T76*$F$16</f>
        <v>0</v>
      </c>
      <c r="V76" s="470">
        <v>0</v>
      </c>
      <c r="W76" s="525" t="str">
        <f>V76*-$F$17</f>
        <v>0</v>
      </c>
      <c r="X76" s="522" t="str">
        <f>W76+U76+S76</f>
        <v>0</v>
      </c>
      <c r="Y76" s="514" t="str">
        <f>-$F$19</f>
        <v>0</v>
      </c>
      <c r="Z76" s="365">
        <v>0</v>
      </c>
      <c r="AA76" s="478" t="str">
        <f>-$F$21</f>
        <v>0</v>
      </c>
      <c r="AB76" s="509" t="str">
        <f>SUM(Y76:AA76)</f>
        <v>0</v>
      </c>
    </row>
    <row r="77" spans="1:30">
      <c r="G77" s="456"/>
      <c r="H77" s="456"/>
      <c r="I77" s="456"/>
      <c r="J77" s="456"/>
      <c r="K77" s="456"/>
      <c r="L77" s="456"/>
      <c r="M77" s="456"/>
      <c r="N77" s="456"/>
      <c r="O77" s="493" t="s">
        <v>91</v>
      </c>
      <c r="P77" s="105" t="s">
        <v>146</v>
      </c>
      <c r="Q77" s="496" t="str">
        <f>O77&amp;P77</f>
        <v>0</v>
      </c>
      <c r="R77" s="555">
        <v>3</v>
      </c>
      <c r="S77" s="470" t="str">
        <f>-R77*$F$15</f>
        <v>0</v>
      </c>
      <c r="T77" s="470">
        <v>1</v>
      </c>
      <c r="U77" s="470" t="str">
        <f>-T77*$F$16</f>
        <v>0</v>
      </c>
      <c r="V77" s="470">
        <v>0</v>
      </c>
      <c r="W77" s="525" t="str">
        <f>V77*-$F$17</f>
        <v>0</v>
      </c>
      <c r="X77" s="522" t="str">
        <f>W77+U77+S77</f>
        <v>0</v>
      </c>
      <c r="Y77" s="514" t="str">
        <f>-$F$19</f>
        <v>0</v>
      </c>
      <c r="Z77" s="365">
        <v>0</v>
      </c>
      <c r="AA77" s="478" t="str">
        <f>-$F$21</f>
        <v>0</v>
      </c>
      <c r="AB77" s="509" t="str">
        <f>SUM(Y77:AA77)</f>
        <v>0</v>
      </c>
    </row>
    <row r="78" spans="1:30">
      <c r="G78" s="456"/>
      <c r="H78" s="456"/>
      <c r="I78" s="456"/>
      <c r="J78" s="456"/>
      <c r="K78" s="456"/>
      <c r="L78" s="456"/>
      <c r="M78" s="456"/>
      <c r="N78" s="456"/>
      <c r="O78" s="493" t="s">
        <v>91</v>
      </c>
      <c r="P78" s="105" t="s">
        <v>147</v>
      </c>
      <c r="Q78" s="496" t="str">
        <f>O78&amp;P78</f>
        <v>0</v>
      </c>
      <c r="R78" s="555">
        <v>4</v>
      </c>
      <c r="S78" s="470" t="str">
        <f>-R78*$F$15</f>
        <v>0</v>
      </c>
      <c r="T78" s="470">
        <v>1</v>
      </c>
      <c r="U78" s="470" t="str">
        <f>-T78*$F$16</f>
        <v>0</v>
      </c>
      <c r="V78" s="470">
        <v>0</v>
      </c>
      <c r="W78" s="525" t="str">
        <f>V78*-$F$17</f>
        <v>0</v>
      </c>
      <c r="X78" s="522" t="str">
        <f>W78+U78+S78</f>
        <v>0</v>
      </c>
      <c r="Y78" s="514" t="str">
        <f>-$F$19</f>
        <v>0</v>
      </c>
      <c r="Z78" s="365">
        <v>0</v>
      </c>
      <c r="AA78" s="478" t="str">
        <f>-$F$21</f>
        <v>0</v>
      </c>
      <c r="AB78" s="509" t="str">
        <f>SUM(Y78:AA78)</f>
        <v>0</v>
      </c>
    </row>
    <row r="79" spans="1:30">
      <c r="G79" s="456"/>
      <c r="H79" s="456"/>
      <c r="I79" s="456"/>
      <c r="J79" s="456"/>
      <c r="K79" s="456"/>
      <c r="L79" s="456"/>
      <c r="M79" s="456"/>
      <c r="N79" s="456"/>
      <c r="O79" s="493" t="s">
        <v>91</v>
      </c>
      <c r="P79" s="105" t="s">
        <v>148</v>
      </c>
      <c r="Q79" s="496" t="str">
        <f>O79&amp;P79</f>
        <v>0</v>
      </c>
      <c r="R79" s="555">
        <v>1</v>
      </c>
      <c r="S79" s="470" t="str">
        <f>-R79*$F$15</f>
        <v>0</v>
      </c>
      <c r="T79" s="470">
        <v>0</v>
      </c>
      <c r="U79" s="470" t="str">
        <f>-T79*$F$16</f>
        <v>0</v>
      </c>
      <c r="V79" s="470">
        <v>1</v>
      </c>
      <c r="W79" s="525" t="str">
        <f>V79*-$F$17</f>
        <v>0</v>
      </c>
      <c r="X79" s="522" t="str">
        <f>W79+U79+S79</f>
        <v>0</v>
      </c>
      <c r="Y79" s="514" t="str">
        <f>-$F$19</f>
        <v>0</v>
      </c>
      <c r="Z79" s="365" t="str">
        <f>-$F$20</f>
        <v>0</v>
      </c>
      <c r="AA79" s="478" t="str">
        <f>-$F$21</f>
        <v>0</v>
      </c>
      <c r="AB79" s="509" t="str">
        <f>SUM(Y79:AA79)</f>
        <v>0</v>
      </c>
    </row>
    <row r="80" spans="1:30">
      <c r="G80" s="456"/>
      <c r="H80" s="456"/>
      <c r="I80" s="456"/>
      <c r="J80" s="456"/>
      <c r="K80" s="456"/>
      <c r="L80" s="456"/>
      <c r="M80" s="456"/>
      <c r="N80" s="456"/>
      <c r="O80" s="493" t="s">
        <v>91</v>
      </c>
      <c r="P80" s="105" t="s">
        <v>149</v>
      </c>
      <c r="Q80" s="496" t="str">
        <f>O80&amp;P80</f>
        <v>0</v>
      </c>
      <c r="R80" s="528">
        <v>1</v>
      </c>
      <c r="S80" s="470" t="str">
        <f>-R80*$F$15</f>
        <v>0</v>
      </c>
      <c r="T80" s="470">
        <v>0</v>
      </c>
      <c r="U80" s="470" t="str">
        <f>-T80*$F$16</f>
        <v>0</v>
      </c>
      <c r="V80" s="556">
        <v>1</v>
      </c>
      <c r="W80" s="525" t="str">
        <f>V80*-$F$17</f>
        <v>0</v>
      </c>
      <c r="X80" s="522" t="str">
        <f>W80+U80+S80</f>
        <v>0</v>
      </c>
      <c r="Y80" s="514" t="str">
        <f>-$F$19</f>
        <v>0</v>
      </c>
      <c r="Z80" s="365" t="str">
        <f>-$F$20</f>
        <v>0</v>
      </c>
      <c r="AA80" s="478" t="str">
        <f>-$F$21</f>
        <v>0</v>
      </c>
      <c r="AB80" s="509" t="str">
        <f>SUM(Y80:AA80)</f>
        <v>0</v>
      </c>
    </row>
    <row r="81" spans="1:30" customHeight="1" ht="12.75">
      <c r="G81" s="456"/>
      <c r="H81" s="456"/>
      <c r="I81" s="456"/>
      <c r="J81" s="456"/>
      <c r="K81" s="456"/>
      <c r="L81" s="456"/>
      <c r="M81" s="456"/>
      <c r="N81" s="456"/>
      <c r="O81" s="494" t="s">
        <v>91</v>
      </c>
      <c r="P81" s="495" t="s">
        <v>150</v>
      </c>
      <c r="Q81" s="497" t="str">
        <f>O81&amp;P81</f>
        <v>0</v>
      </c>
      <c r="R81" s="557">
        <v>2</v>
      </c>
      <c r="S81" s="500" t="str">
        <f>-R81*$F$15</f>
        <v>0</v>
      </c>
      <c r="T81" s="500">
        <v>1</v>
      </c>
      <c r="U81" s="500" t="str">
        <f>-T81*$F$16</f>
        <v>0</v>
      </c>
      <c r="V81" s="500">
        <v>0</v>
      </c>
      <c r="W81" s="526" t="str">
        <f>V81*-$F$17</f>
        <v>0</v>
      </c>
      <c r="X81" s="523" t="str">
        <f>W81+U81+S81</f>
        <v>0</v>
      </c>
      <c r="Y81" s="462" t="str">
        <f>-$F$19</f>
        <v>0</v>
      </c>
      <c r="Z81" s="463" t="str">
        <f>-$F$20</f>
        <v>0</v>
      </c>
      <c r="AA81" s="532" t="str">
        <f>-$F$21</f>
        <v>0</v>
      </c>
      <c r="AB81" s="510" t="str">
        <f>SUM(Y81:AA81)</f>
        <v>0</v>
      </c>
    </row>
    <row r="82" spans="1:30">
      <c r="G82" s="456"/>
      <c r="H82" s="456"/>
      <c r="I82" s="456"/>
      <c r="J82" s="456"/>
      <c r="K82" s="456"/>
      <c r="L82" s="456"/>
      <c r="M82" s="456"/>
      <c r="N82" s="456"/>
      <c r="O82" s="491" t="s">
        <v>92</v>
      </c>
      <c r="P82" s="492" t="s">
        <v>141</v>
      </c>
      <c r="Q82" s="489" t="str">
        <f>O82&amp;P82</f>
        <v>0</v>
      </c>
      <c r="R82" s="513">
        <v>1</v>
      </c>
      <c r="S82" s="490" t="str">
        <f>-R82*$F$15</f>
        <v>0</v>
      </c>
      <c r="T82" s="490">
        <v>0</v>
      </c>
      <c r="U82" s="490" t="str">
        <f>-T82*$F$16</f>
        <v>0</v>
      </c>
      <c r="V82" s="88">
        <v>1</v>
      </c>
      <c r="W82" s="517" t="str">
        <f>V82*-$F$17</f>
        <v>0</v>
      </c>
      <c r="X82" s="521" t="str">
        <f>W82+U82+S82</f>
        <v>0</v>
      </c>
      <c r="Y82" s="514" t="str">
        <f>-$F$19</f>
        <v>0</v>
      </c>
      <c r="Z82" s="365">
        <v>0</v>
      </c>
      <c r="AA82" s="478" t="str">
        <f>-$F$21</f>
        <v>0</v>
      </c>
      <c r="AB82" s="509" t="str">
        <f>SUM(Y82:AA82)</f>
        <v>0</v>
      </c>
    </row>
    <row r="83" spans="1:30">
      <c r="G83" s="456"/>
      <c r="H83" s="456"/>
      <c r="I83" s="456"/>
      <c r="J83" s="456"/>
      <c r="K83" s="456"/>
      <c r="L83" s="456"/>
      <c r="M83" s="456"/>
      <c r="N83" s="456"/>
      <c r="O83" s="493" t="s">
        <v>92</v>
      </c>
      <c r="P83" s="105" t="s">
        <v>142</v>
      </c>
      <c r="Q83" s="496" t="str">
        <f>O83&amp;P83</f>
        <v>0</v>
      </c>
      <c r="R83" s="514">
        <v>1</v>
      </c>
      <c r="S83" s="365" t="str">
        <f>-R83*$F$15</f>
        <v>0</v>
      </c>
      <c r="T83" s="365">
        <v>0</v>
      </c>
      <c r="U83" s="365" t="str">
        <f>-T83*$F$16</f>
        <v>0</v>
      </c>
      <c r="V83" s="89">
        <v>1</v>
      </c>
      <c r="W83" s="518" t="str">
        <f>V83*-$F$17</f>
        <v>0</v>
      </c>
      <c r="X83" s="522" t="str">
        <f>W83+U83+S83</f>
        <v>0</v>
      </c>
      <c r="Y83" s="514" t="str">
        <f>-$F$19</f>
        <v>0</v>
      </c>
      <c r="Z83" s="365">
        <v>0</v>
      </c>
      <c r="AA83" s="478" t="str">
        <f>-$F$21</f>
        <v>0</v>
      </c>
      <c r="AB83" s="509" t="str">
        <f>SUM(Y83:AA83)</f>
        <v>0</v>
      </c>
    </row>
    <row r="84" spans="1:30">
      <c r="O84" s="493" t="s">
        <v>92</v>
      </c>
      <c r="P84" s="105" t="s">
        <v>87</v>
      </c>
      <c r="Q84" s="496" t="str">
        <f>O84&amp;P84</f>
        <v>0</v>
      </c>
      <c r="R84" s="514">
        <v>2</v>
      </c>
      <c r="S84" s="365" t="str">
        <f>-R84*$F$15</f>
        <v>0</v>
      </c>
      <c r="T84" s="365">
        <v>1</v>
      </c>
      <c r="U84" s="365" t="str">
        <f>-T84*$F$16</f>
        <v>0</v>
      </c>
      <c r="V84" s="89">
        <v>0</v>
      </c>
      <c r="W84" s="518" t="str">
        <f>V84*-$F$17</f>
        <v>0</v>
      </c>
      <c r="X84" s="522" t="str">
        <f>W84+U84+S84</f>
        <v>0</v>
      </c>
      <c r="Y84" s="514" t="str">
        <f>-$F$19</f>
        <v>0</v>
      </c>
      <c r="Z84" s="365">
        <v>0</v>
      </c>
      <c r="AA84" s="478" t="str">
        <f>-$F$21</f>
        <v>0</v>
      </c>
      <c r="AB84" s="509" t="str">
        <f>SUM(Y84:AA84)</f>
        <v>0</v>
      </c>
    </row>
    <row r="85" spans="1:30">
      <c r="O85" s="493" t="s">
        <v>92</v>
      </c>
      <c r="P85" s="105" t="s">
        <v>143</v>
      </c>
      <c r="Q85" s="496" t="str">
        <f>O85&amp;P85</f>
        <v>0</v>
      </c>
      <c r="R85" s="514">
        <v>2</v>
      </c>
      <c r="S85" s="365" t="str">
        <f>-R85*$F$15</f>
        <v>0</v>
      </c>
      <c r="T85" s="365">
        <v>0</v>
      </c>
      <c r="U85" s="365" t="str">
        <f>-T85*$F$16</f>
        <v>0</v>
      </c>
      <c r="V85" s="89">
        <v>1</v>
      </c>
      <c r="W85" s="518" t="str">
        <f>V85*-$F$17</f>
        <v>0</v>
      </c>
      <c r="X85" s="522" t="str">
        <f>W85+U85+S85</f>
        <v>0</v>
      </c>
      <c r="Y85" s="514" t="str">
        <f>-$F$19</f>
        <v>0</v>
      </c>
      <c r="Z85" s="365">
        <v>0</v>
      </c>
      <c r="AA85" s="478" t="str">
        <f>-$F$21</f>
        <v>0</v>
      </c>
      <c r="AB85" s="509" t="str">
        <f>SUM(Y85:AA85)</f>
        <v>0</v>
      </c>
    </row>
    <row r="86" spans="1:30">
      <c r="O86" s="493" t="s">
        <v>92</v>
      </c>
      <c r="P86" s="105" t="s">
        <v>144</v>
      </c>
      <c r="Q86" s="496" t="str">
        <f>O86&amp;P86</f>
        <v>0</v>
      </c>
      <c r="R86" s="514">
        <v>2</v>
      </c>
      <c r="S86" s="365" t="str">
        <f>-R86*$F$15</f>
        <v>0</v>
      </c>
      <c r="T86" s="365">
        <v>0</v>
      </c>
      <c r="U86" s="365" t="str">
        <f>-T86*$F$16</f>
        <v>0</v>
      </c>
      <c r="V86" s="89">
        <v>1</v>
      </c>
      <c r="W86" s="518" t="str">
        <f>V86*-$F$17</f>
        <v>0</v>
      </c>
      <c r="X86" s="522" t="str">
        <f>W86+U86+S86</f>
        <v>0</v>
      </c>
      <c r="Y86" s="514" t="str">
        <f>-$F$19</f>
        <v>0</v>
      </c>
      <c r="Z86" s="365">
        <v>0</v>
      </c>
      <c r="AA86" s="478" t="str">
        <f>-$F$21</f>
        <v>0</v>
      </c>
      <c r="AB86" s="509" t="str">
        <f>SUM(Y86:AA86)</f>
        <v>0</v>
      </c>
    </row>
    <row r="87" spans="1:30">
      <c r="O87" s="493" t="s">
        <v>92</v>
      </c>
      <c r="P87" s="105" t="s">
        <v>145</v>
      </c>
      <c r="Q87" s="496" t="str">
        <f>O87&amp;P87</f>
        <v>0</v>
      </c>
      <c r="R87" s="514">
        <v>3</v>
      </c>
      <c r="S87" s="365" t="str">
        <f>-R87*$F$15</f>
        <v>0</v>
      </c>
      <c r="T87" s="365">
        <v>1</v>
      </c>
      <c r="U87" s="365" t="str">
        <f>-T87*$F$16</f>
        <v>0</v>
      </c>
      <c r="V87" s="89">
        <v>0</v>
      </c>
      <c r="W87" s="518" t="str">
        <f>V87*-$F$17</f>
        <v>0</v>
      </c>
      <c r="X87" s="522" t="str">
        <f>W87+U87+S87</f>
        <v>0</v>
      </c>
      <c r="Y87" s="514" t="str">
        <f>-$F$19</f>
        <v>0</v>
      </c>
      <c r="Z87" s="365">
        <v>0</v>
      </c>
      <c r="AA87" s="478" t="str">
        <f>-$F$21</f>
        <v>0</v>
      </c>
      <c r="AB87" s="509" t="str">
        <f>SUM(Y87:AA87)</f>
        <v>0</v>
      </c>
    </row>
    <row r="88" spans="1:30">
      <c r="O88" s="493" t="s">
        <v>92</v>
      </c>
      <c r="P88" s="105" t="s">
        <v>146</v>
      </c>
      <c r="Q88" s="496" t="str">
        <f>O88&amp;P88</f>
        <v>0</v>
      </c>
      <c r="R88" s="514">
        <v>3</v>
      </c>
      <c r="S88" s="365" t="str">
        <f>-R88*$F$15</f>
        <v>0</v>
      </c>
      <c r="T88" s="365">
        <v>1</v>
      </c>
      <c r="U88" s="365" t="str">
        <f>-T88*$F$16</f>
        <v>0</v>
      </c>
      <c r="V88" s="89">
        <v>0</v>
      </c>
      <c r="W88" s="518" t="str">
        <f>V88*-$F$17</f>
        <v>0</v>
      </c>
      <c r="X88" s="522" t="str">
        <f>W88+U88+S88</f>
        <v>0</v>
      </c>
      <c r="Y88" s="514" t="str">
        <f>-$F$19</f>
        <v>0</v>
      </c>
      <c r="Z88" s="365">
        <v>0</v>
      </c>
      <c r="AA88" s="478" t="str">
        <f>-$F$21</f>
        <v>0</v>
      </c>
      <c r="AB88" s="509" t="str">
        <f>SUM(Y88:AA88)</f>
        <v>0</v>
      </c>
    </row>
    <row r="89" spans="1:30">
      <c r="O89" s="493" t="s">
        <v>92</v>
      </c>
      <c r="P89" s="105" t="s">
        <v>147</v>
      </c>
      <c r="Q89" s="496" t="str">
        <f>O89&amp;P89</f>
        <v>0</v>
      </c>
      <c r="R89" s="514">
        <v>4</v>
      </c>
      <c r="S89" s="365" t="str">
        <f>-R89*$F$15</f>
        <v>0</v>
      </c>
      <c r="T89" s="365">
        <v>1</v>
      </c>
      <c r="U89" s="365" t="str">
        <f>-T89*$F$16</f>
        <v>0</v>
      </c>
      <c r="V89" s="89">
        <v>0</v>
      </c>
      <c r="W89" s="518" t="str">
        <f>V89*-$F$17</f>
        <v>0</v>
      </c>
      <c r="X89" s="522" t="str">
        <f>W89+U89+S89</f>
        <v>0</v>
      </c>
      <c r="Y89" s="514" t="str">
        <f>-$F$19</f>
        <v>0</v>
      </c>
      <c r="Z89" s="365">
        <v>0</v>
      </c>
      <c r="AA89" s="478" t="str">
        <f>-$F$21</f>
        <v>0</v>
      </c>
      <c r="AB89" s="509" t="str">
        <f>SUM(Y89:AA89)</f>
        <v>0</v>
      </c>
    </row>
    <row r="90" spans="1:30">
      <c r="O90" s="493" t="s">
        <v>92</v>
      </c>
      <c r="P90" s="105" t="s">
        <v>148</v>
      </c>
      <c r="Q90" s="496" t="str">
        <f>O90&amp;P90</f>
        <v>0</v>
      </c>
      <c r="R90" s="514">
        <v>1</v>
      </c>
      <c r="S90" s="365" t="str">
        <f>-R90*$F$15</f>
        <v>0</v>
      </c>
      <c r="T90" s="365">
        <v>0</v>
      </c>
      <c r="U90" s="365" t="str">
        <f>-T90*$F$16</f>
        <v>0</v>
      </c>
      <c r="V90" s="89">
        <v>1</v>
      </c>
      <c r="W90" s="518" t="str">
        <f>V90*-$F$17</f>
        <v>0</v>
      </c>
      <c r="X90" s="522" t="str">
        <f>W90+U90+S90</f>
        <v>0</v>
      </c>
      <c r="Y90" s="514" t="str">
        <f>-$F$19</f>
        <v>0</v>
      </c>
      <c r="Z90" s="365" t="str">
        <f>-$F$20</f>
        <v>0</v>
      </c>
      <c r="AA90" s="478" t="str">
        <f>-$F$21</f>
        <v>0</v>
      </c>
      <c r="AB90" s="509" t="str">
        <f>SUM(Y90:AA90)</f>
        <v>0</v>
      </c>
    </row>
    <row r="91" spans="1:30">
      <c r="O91" s="493" t="s">
        <v>92</v>
      </c>
      <c r="P91" s="105" t="s">
        <v>149</v>
      </c>
      <c r="Q91" s="496" t="str">
        <f>O91&amp;P91</f>
        <v>0</v>
      </c>
      <c r="R91" s="514">
        <v>1</v>
      </c>
      <c r="S91" s="365" t="str">
        <f>-R91*$F$15</f>
        <v>0</v>
      </c>
      <c r="T91" s="365">
        <v>0</v>
      </c>
      <c r="U91" s="365" t="str">
        <f>-T91*$F$16</f>
        <v>0</v>
      </c>
      <c r="V91" s="89">
        <v>1</v>
      </c>
      <c r="W91" s="518" t="str">
        <f>V91*-$F$17</f>
        <v>0</v>
      </c>
      <c r="X91" s="522" t="str">
        <f>W91+U91+S91</f>
        <v>0</v>
      </c>
      <c r="Y91" s="514" t="str">
        <f>-$F$19</f>
        <v>0</v>
      </c>
      <c r="Z91" s="365" t="str">
        <f>-$F$20</f>
        <v>0</v>
      </c>
      <c r="AA91" s="478" t="str">
        <f>-$F$21</f>
        <v>0</v>
      </c>
      <c r="AB91" s="509" t="str">
        <f>SUM(Y91:AA91)</f>
        <v>0</v>
      </c>
    </row>
    <row r="92" spans="1:30" customHeight="1" ht="12.75">
      <c r="O92" s="494" t="s">
        <v>92</v>
      </c>
      <c r="P92" s="495" t="s">
        <v>150</v>
      </c>
      <c r="Q92" s="497" t="str">
        <f>O92&amp;P92</f>
        <v>0</v>
      </c>
      <c r="R92" s="454">
        <v>2</v>
      </c>
      <c r="S92" s="455" t="str">
        <f>-R92*$F$15</f>
        <v>0</v>
      </c>
      <c r="T92" s="455">
        <v>1</v>
      </c>
      <c r="U92" s="455" t="str">
        <f>-T92*$F$16</f>
        <v>0</v>
      </c>
      <c r="V92" s="519">
        <v>0</v>
      </c>
      <c r="W92" s="520" t="str">
        <f>V92*-$F$17</f>
        <v>0</v>
      </c>
      <c r="X92" s="523" t="str">
        <f>W92+U92+S92</f>
        <v>0</v>
      </c>
      <c r="Y92" s="514" t="str">
        <f>-$F$19</f>
        <v>0</v>
      </c>
      <c r="Z92" s="365" t="str">
        <f>-$F$20</f>
        <v>0</v>
      </c>
      <c r="AA92" s="478" t="str">
        <f>-$F$21</f>
        <v>0</v>
      </c>
      <c r="AB92" s="509" t="str">
        <f>SUM(Y92:AA92)</f>
        <v>0</v>
      </c>
    </row>
    <row r="93" spans="1:30">
      <c r="O93" s="491" t="s">
        <v>93</v>
      </c>
      <c r="P93" s="492" t="s">
        <v>141</v>
      </c>
      <c r="Q93" s="489" t="str">
        <f>O93&amp;P93</f>
        <v>0</v>
      </c>
      <c r="R93" s="513">
        <v>1</v>
      </c>
      <c r="S93" s="490" t="str">
        <f>-R93*$F$15</f>
        <v>0</v>
      </c>
      <c r="T93" s="490">
        <v>0</v>
      </c>
      <c r="U93" s="490" t="str">
        <f>-T93*$F$16</f>
        <v>0</v>
      </c>
      <c r="V93" s="88">
        <v>1</v>
      </c>
      <c r="W93" s="517" t="str">
        <f>V93*-$F$17</f>
        <v>0</v>
      </c>
      <c r="X93" s="508" t="str">
        <f>W93+U93+S93</f>
        <v>0</v>
      </c>
      <c r="Y93" s="513" t="str">
        <f>-$F$19</f>
        <v>0</v>
      </c>
      <c r="Z93" s="490">
        <v>0</v>
      </c>
      <c r="AA93" s="560" t="str">
        <f>-$F$21</f>
        <v>0</v>
      </c>
      <c r="AB93" s="508" t="str">
        <f>SUM(Y93:AA93)</f>
        <v>0</v>
      </c>
    </row>
    <row r="94" spans="1:30">
      <c r="O94" s="493" t="s">
        <v>93</v>
      </c>
      <c r="P94" s="105" t="s">
        <v>142</v>
      </c>
      <c r="Q94" s="496" t="str">
        <f>O94&amp;P94</f>
        <v>0</v>
      </c>
      <c r="R94" s="514">
        <v>1</v>
      </c>
      <c r="S94" s="365" t="str">
        <f>-R94*$F$15</f>
        <v>0</v>
      </c>
      <c r="T94" s="365">
        <v>0</v>
      </c>
      <c r="U94" s="365" t="str">
        <f>-T94*$F$16</f>
        <v>0</v>
      </c>
      <c r="V94" s="89">
        <v>1</v>
      </c>
      <c r="W94" s="518" t="str">
        <f>V94*-$F$17</f>
        <v>0</v>
      </c>
      <c r="X94" s="509" t="str">
        <f>W94+U94+S94</f>
        <v>0</v>
      </c>
      <c r="Y94" s="514" t="str">
        <f>-$F$19</f>
        <v>0</v>
      </c>
      <c r="Z94" s="365">
        <v>0</v>
      </c>
      <c r="AA94" s="559" t="str">
        <f>-$F$21</f>
        <v>0</v>
      </c>
      <c r="AB94" s="509" t="str">
        <f>SUM(Y94:AA94)</f>
        <v>0</v>
      </c>
    </row>
    <row r="95" spans="1:30">
      <c r="O95" s="493" t="s">
        <v>93</v>
      </c>
      <c r="P95" s="105" t="s">
        <v>87</v>
      </c>
      <c r="Q95" s="496" t="str">
        <f>O95&amp;P95</f>
        <v>0</v>
      </c>
      <c r="R95" s="514">
        <v>2</v>
      </c>
      <c r="S95" s="365" t="str">
        <f>-R95*$F$15</f>
        <v>0</v>
      </c>
      <c r="T95" s="365">
        <v>1</v>
      </c>
      <c r="U95" s="365" t="str">
        <f>-T95*$F$16</f>
        <v>0</v>
      </c>
      <c r="V95" s="89">
        <v>0</v>
      </c>
      <c r="W95" s="518" t="str">
        <f>V95*-$F$17</f>
        <v>0</v>
      </c>
      <c r="X95" s="509" t="str">
        <f>W95+U95+S95</f>
        <v>0</v>
      </c>
      <c r="Y95" s="514" t="str">
        <f>-$F$19</f>
        <v>0</v>
      </c>
      <c r="Z95" s="365">
        <v>0</v>
      </c>
      <c r="AA95" s="559" t="str">
        <f>-$F$21</f>
        <v>0</v>
      </c>
      <c r="AB95" s="509" t="str">
        <f>SUM(Y95:AA95)</f>
        <v>0</v>
      </c>
    </row>
    <row r="96" spans="1:30">
      <c r="O96" s="493" t="s">
        <v>93</v>
      </c>
      <c r="P96" s="105" t="s">
        <v>143</v>
      </c>
      <c r="Q96" s="496" t="str">
        <f>O96&amp;P96</f>
        <v>0</v>
      </c>
      <c r="R96" s="514">
        <v>2</v>
      </c>
      <c r="S96" s="365" t="str">
        <f>-R96*$F$15</f>
        <v>0</v>
      </c>
      <c r="T96" s="365">
        <v>0</v>
      </c>
      <c r="U96" s="365" t="str">
        <f>-T96*$F$16</f>
        <v>0</v>
      </c>
      <c r="V96" s="89">
        <v>1</v>
      </c>
      <c r="W96" s="518" t="str">
        <f>V96*-$F$17</f>
        <v>0</v>
      </c>
      <c r="X96" s="509" t="str">
        <f>W96+U96+S96</f>
        <v>0</v>
      </c>
      <c r="Y96" s="514" t="str">
        <f>-$F$19</f>
        <v>0</v>
      </c>
      <c r="Z96" s="365">
        <v>0</v>
      </c>
      <c r="AA96" s="559" t="str">
        <f>-$F$21</f>
        <v>0</v>
      </c>
      <c r="AB96" s="509" t="str">
        <f>SUM(Y96:AA96)</f>
        <v>0</v>
      </c>
    </row>
    <row r="97" spans="1:30">
      <c r="O97" s="493" t="s">
        <v>93</v>
      </c>
      <c r="P97" s="105" t="s">
        <v>144</v>
      </c>
      <c r="Q97" s="496" t="str">
        <f>O97&amp;P97</f>
        <v>0</v>
      </c>
      <c r="R97" s="514">
        <v>2</v>
      </c>
      <c r="S97" s="365" t="str">
        <f>-R97*$F$15</f>
        <v>0</v>
      </c>
      <c r="T97" s="365">
        <v>0</v>
      </c>
      <c r="U97" s="365" t="str">
        <f>-T97*$F$16</f>
        <v>0</v>
      </c>
      <c r="V97" s="89">
        <v>1</v>
      </c>
      <c r="W97" s="518" t="str">
        <f>V97*-$F$17</f>
        <v>0</v>
      </c>
      <c r="X97" s="509" t="str">
        <f>W97+U97+S97</f>
        <v>0</v>
      </c>
      <c r="Y97" s="514" t="str">
        <f>-$F$19</f>
        <v>0</v>
      </c>
      <c r="Z97" s="365">
        <v>0</v>
      </c>
      <c r="AA97" s="559" t="str">
        <f>-$F$21</f>
        <v>0</v>
      </c>
      <c r="AB97" s="509" t="str">
        <f>SUM(Y97:AA97)</f>
        <v>0</v>
      </c>
    </row>
    <row r="98" spans="1:30">
      <c r="O98" s="493" t="s">
        <v>93</v>
      </c>
      <c r="P98" s="105" t="s">
        <v>145</v>
      </c>
      <c r="Q98" s="496" t="str">
        <f>O98&amp;P98</f>
        <v>0</v>
      </c>
      <c r="R98" s="514">
        <v>3</v>
      </c>
      <c r="S98" s="365" t="str">
        <f>-R98*$F$15</f>
        <v>0</v>
      </c>
      <c r="T98" s="365">
        <v>1</v>
      </c>
      <c r="U98" s="365" t="str">
        <f>-T98*$F$16</f>
        <v>0</v>
      </c>
      <c r="V98" s="89">
        <v>0</v>
      </c>
      <c r="W98" s="518" t="str">
        <f>V98*-$F$17</f>
        <v>0</v>
      </c>
      <c r="X98" s="509" t="str">
        <f>W98+U98+S98</f>
        <v>0</v>
      </c>
      <c r="Y98" s="514" t="str">
        <f>-$F$19</f>
        <v>0</v>
      </c>
      <c r="Z98" s="365">
        <v>0</v>
      </c>
      <c r="AA98" s="559" t="str">
        <f>-$F$21</f>
        <v>0</v>
      </c>
      <c r="AB98" s="509" t="str">
        <f>SUM(Y98:AA98)</f>
        <v>0</v>
      </c>
    </row>
    <row r="99" spans="1:30">
      <c r="O99" s="493" t="s">
        <v>93</v>
      </c>
      <c r="P99" s="105" t="s">
        <v>146</v>
      </c>
      <c r="Q99" s="496" t="str">
        <f>O99&amp;P99</f>
        <v>0</v>
      </c>
      <c r="R99" s="514">
        <v>3</v>
      </c>
      <c r="S99" s="365" t="str">
        <f>-R99*$F$15</f>
        <v>0</v>
      </c>
      <c r="T99" s="365">
        <v>1</v>
      </c>
      <c r="U99" s="365" t="str">
        <f>-T99*$F$16</f>
        <v>0</v>
      </c>
      <c r="V99" s="89">
        <v>0</v>
      </c>
      <c r="W99" s="518" t="str">
        <f>V99*-$F$17</f>
        <v>0</v>
      </c>
      <c r="X99" s="509" t="str">
        <f>W99+U99+S99</f>
        <v>0</v>
      </c>
      <c r="Y99" s="514" t="str">
        <f>-$F$19</f>
        <v>0</v>
      </c>
      <c r="Z99" s="365">
        <v>0</v>
      </c>
      <c r="AA99" s="559" t="str">
        <f>-$F$21</f>
        <v>0</v>
      </c>
      <c r="AB99" s="509" t="str">
        <f>SUM(Y99:AA99)</f>
        <v>0</v>
      </c>
    </row>
    <row r="100" spans="1:30">
      <c r="O100" s="493" t="s">
        <v>93</v>
      </c>
      <c r="P100" s="105" t="s">
        <v>147</v>
      </c>
      <c r="Q100" s="496" t="str">
        <f>O100&amp;P100</f>
        <v>0</v>
      </c>
      <c r="R100" s="514">
        <v>4</v>
      </c>
      <c r="S100" s="365" t="str">
        <f>-R100*$F$15</f>
        <v>0</v>
      </c>
      <c r="T100" s="365">
        <v>1</v>
      </c>
      <c r="U100" s="365" t="str">
        <f>-T100*$F$16</f>
        <v>0</v>
      </c>
      <c r="V100" s="89">
        <v>0</v>
      </c>
      <c r="W100" s="518" t="str">
        <f>V100*-$F$17</f>
        <v>0</v>
      </c>
      <c r="X100" s="509" t="str">
        <f>W100+U100+S100</f>
        <v>0</v>
      </c>
      <c r="Y100" s="514" t="str">
        <f>-$F$19</f>
        <v>0</v>
      </c>
      <c r="Z100" s="365">
        <v>0</v>
      </c>
      <c r="AA100" s="559" t="str">
        <f>-$F$21</f>
        <v>0</v>
      </c>
      <c r="AB100" s="509" t="str">
        <f>SUM(Y100:AA100)</f>
        <v>0</v>
      </c>
    </row>
    <row r="101" spans="1:30">
      <c r="O101" s="493" t="s">
        <v>93</v>
      </c>
      <c r="P101" s="105" t="s">
        <v>148</v>
      </c>
      <c r="Q101" s="496" t="str">
        <f>O101&amp;P101</f>
        <v>0</v>
      </c>
      <c r="R101" s="514">
        <v>1</v>
      </c>
      <c r="S101" s="365" t="str">
        <f>-R101*$F$15</f>
        <v>0</v>
      </c>
      <c r="T101" s="365">
        <v>0</v>
      </c>
      <c r="U101" s="365" t="str">
        <f>-T101*$F$16</f>
        <v>0</v>
      </c>
      <c r="V101" s="89">
        <v>1</v>
      </c>
      <c r="W101" s="518" t="str">
        <f>V101*-$F$17</f>
        <v>0</v>
      </c>
      <c r="X101" s="509" t="str">
        <f>W101+U101+S101</f>
        <v>0</v>
      </c>
      <c r="Y101" s="514" t="str">
        <f>-$F$19</f>
        <v>0</v>
      </c>
      <c r="Z101" s="365" t="str">
        <f>-$F$20</f>
        <v>0</v>
      </c>
      <c r="AA101" s="559" t="str">
        <f>-$F$21</f>
        <v>0</v>
      </c>
      <c r="AB101" s="509" t="str">
        <f>SUM(Y101:AA101)</f>
        <v>0</v>
      </c>
    </row>
    <row r="102" spans="1:30">
      <c r="O102" s="493" t="s">
        <v>93</v>
      </c>
      <c r="P102" s="105" t="s">
        <v>149</v>
      </c>
      <c r="Q102" s="496" t="str">
        <f>O102&amp;P102</f>
        <v>0</v>
      </c>
      <c r="R102" s="514">
        <v>1</v>
      </c>
      <c r="S102" s="365" t="str">
        <f>-R102*$F$15</f>
        <v>0</v>
      </c>
      <c r="T102" s="365">
        <v>0</v>
      </c>
      <c r="U102" s="365" t="str">
        <f>-T102*$F$16</f>
        <v>0</v>
      </c>
      <c r="V102" s="89">
        <v>1</v>
      </c>
      <c r="W102" s="518" t="str">
        <f>V102*-$F$17</f>
        <v>0</v>
      </c>
      <c r="X102" s="509" t="str">
        <f>W102+U102+S102</f>
        <v>0</v>
      </c>
      <c r="Y102" s="514" t="str">
        <f>-$F$19</f>
        <v>0</v>
      </c>
      <c r="Z102" s="365" t="str">
        <f>-$F$20</f>
        <v>0</v>
      </c>
      <c r="AA102" s="559" t="str">
        <f>-$F$21</f>
        <v>0</v>
      </c>
      <c r="AB102" s="509" t="str">
        <f>SUM(Y102:AA102)</f>
        <v>0</v>
      </c>
    </row>
    <row r="103" spans="1:30" customHeight="1" ht="12.75">
      <c r="O103" s="494" t="s">
        <v>93</v>
      </c>
      <c r="P103" s="495" t="s">
        <v>150</v>
      </c>
      <c r="Q103" s="497" t="str">
        <f>O103&amp;P103</f>
        <v>0</v>
      </c>
      <c r="R103" s="454">
        <v>2</v>
      </c>
      <c r="S103" s="455" t="str">
        <f>-R103*$F$15</f>
        <v>0</v>
      </c>
      <c r="T103" s="455">
        <v>1</v>
      </c>
      <c r="U103" s="455" t="str">
        <f>-T103*$F$16</f>
        <v>0</v>
      </c>
      <c r="V103" s="519">
        <v>0</v>
      </c>
      <c r="W103" s="520" t="str">
        <f>V103*-$F$17</f>
        <v>0</v>
      </c>
      <c r="X103" s="510" t="str">
        <f>W103+U103+S103</f>
        <v>0</v>
      </c>
      <c r="Y103" s="533" t="str">
        <f>-$F$19</f>
        <v>0</v>
      </c>
      <c r="Z103" s="534" t="str">
        <f>-$F$20</f>
        <v>0</v>
      </c>
      <c r="AA103" s="561" t="str">
        <f>-$F$21</f>
        <v>0</v>
      </c>
      <c r="AB103" s="510" t="str">
        <f>SUM(Y103:AA103)</f>
        <v>0</v>
      </c>
    </row>
    <row r="104" spans="1:30">
      <c r="O104" s="491" t="s">
        <v>94</v>
      </c>
      <c r="P104" s="492" t="s">
        <v>141</v>
      </c>
      <c r="Q104" s="489" t="str">
        <f>O104&amp;P104</f>
        <v>0</v>
      </c>
      <c r="R104" s="513">
        <v>1</v>
      </c>
      <c r="S104" s="490" t="str">
        <f>-R104*$F$15</f>
        <v>0</v>
      </c>
      <c r="T104" s="490">
        <v>0</v>
      </c>
      <c r="U104" s="490" t="str">
        <f>-T104*$F$16</f>
        <v>0</v>
      </c>
      <c r="V104" s="88">
        <v>1</v>
      </c>
      <c r="W104" s="517" t="str">
        <f>V104*-$F$17</f>
        <v>0</v>
      </c>
      <c r="X104" s="508" t="str">
        <f>W104+U104+S104</f>
        <v>0</v>
      </c>
      <c r="Y104" s="555" t="str">
        <f>-$F$19</f>
        <v>0</v>
      </c>
      <c r="Z104" s="365">
        <v>0</v>
      </c>
      <c r="AA104" s="478" t="str">
        <f>-$F$21</f>
        <v>0</v>
      </c>
      <c r="AB104" s="509" t="str">
        <f>SUM(Y104:AA104)</f>
        <v>0</v>
      </c>
    </row>
    <row r="105" spans="1:30">
      <c r="O105" s="493" t="s">
        <v>94</v>
      </c>
      <c r="P105" s="105" t="s">
        <v>142</v>
      </c>
      <c r="Q105" s="496" t="str">
        <f>O105&amp;P105</f>
        <v>0</v>
      </c>
      <c r="R105" s="514">
        <v>1</v>
      </c>
      <c r="S105" s="365" t="str">
        <f>-R105*$F$15</f>
        <v>0</v>
      </c>
      <c r="T105" s="365">
        <v>0</v>
      </c>
      <c r="U105" s="365" t="str">
        <f>-T105*$F$16</f>
        <v>0</v>
      </c>
      <c r="V105" s="89">
        <v>1</v>
      </c>
      <c r="W105" s="518" t="str">
        <f>V105*-$F$17</f>
        <v>0</v>
      </c>
      <c r="X105" s="509" t="str">
        <f>W105+U105+S105</f>
        <v>0</v>
      </c>
      <c r="Y105" s="555" t="str">
        <f>-$F$19</f>
        <v>0</v>
      </c>
      <c r="Z105" s="365">
        <v>0</v>
      </c>
      <c r="AA105" s="478" t="str">
        <f>-$F$21</f>
        <v>0</v>
      </c>
      <c r="AB105" s="509" t="str">
        <f>SUM(Y105:AA105)</f>
        <v>0</v>
      </c>
    </row>
    <row r="106" spans="1:30">
      <c r="O106" s="493" t="s">
        <v>94</v>
      </c>
      <c r="P106" s="105" t="s">
        <v>87</v>
      </c>
      <c r="Q106" s="496" t="str">
        <f>O106&amp;P106</f>
        <v>0</v>
      </c>
      <c r="R106" s="514">
        <v>2</v>
      </c>
      <c r="S106" s="365" t="str">
        <f>-R106*$F$15</f>
        <v>0</v>
      </c>
      <c r="T106" s="365">
        <v>1</v>
      </c>
      <c r="U106" s="365" t="str">
        <f>-T106*$F$16</f>
        <v>0</v>
      </c>
      <c r="V106" s="89">
        <v>0</v>
      </c>
      <c r="W106" s="518" t="str">
        <f>V106*-$F$17</f>
        <v>0</v>
      </c>
      <c r="X106" s="509" t="str">
        <f>W106+U106+S106</f>
        <v>0</v>
      </c>
      <c r="Y106" s="555" t="str">
        <f>-$F$19</f>
        <v>0</v>
      </c>
      <c r="Z106" s="365">
        <v>0</v>
      </c>
      <c r="AA106" s="478" t="str">
        <f>-$F$21</f>
        <v>0</v>
      </c>
      <c r="AB106" s="509" t="str">
        <f>SUM(Y106:AA106)</f>
        <v>0</v>
      </c>
    </row>
    <row r="107" spans="1:30">
      <c r="O107" s="493" t="s">
        <v>94</v>
      </c>
      <c r="P107" s="105" t="s">
        <v>143</v>
      </c>
      <c r="Q107" s="496" t="str">
        <f>O107&amp;P107</f>
        <v>0</v>
      </c>
      <c r="R107" s="514">
        <v>2</v>
      </c>
      <c r="S107" s="365" t="str">
        <f>-R107*$F$15</f>
        <v>0</v>
      </c>
      <c r="T107" s="365">
        <v>0</v>
      </c>
      <c r="U107" s="365" t="str">
        <f>-T107*$F$16</f>
        <v>0</v>
      </c>
      <c r="V107" s="89">
        <v>1</v>
      </c>
      <c r="W107" s="518" t="str">
        <f>V107*-$F$17</f>
        <v>0</v>
      </c>
      <c r="X107" s="509" t="str">
        <f>W107+U107+S107</f>
        <v>0</v>
      </c>
      <c r="Y107" s="555" t="str">
        <f>-$F$19</f>
        <v>0</v>
      </c>
      <c r="Z107" s="365">
        <v>0</v>
      </c>
      <c r="AA107" s="478" t="str">
        <f>-$F$21</f>
        <v>0</v>
      </c>
      <c r="AB107" s="509" t="str">
        <f>SUM(Y107:AA107)</f>
        <v>0</v>
      </c>
    </row>
    <row r="108" spans="1:30">
      <c r="O108" s="493" t="s">
        <v>94</v>
      </c>
      <c r="P108" s="105" t="s">
        <v>144</v>
      </c>
      <c r="Q108" s="496" t="str">
        <f>O108&amp;P108</f>
        <v>0</v>
      </c>
      <c r="R108" s="514">
        <v>2</v>
      </c>
      <c r="S108" s="365" t="str">
        <f>-R108*$F$15</f>
        <v>0</v>
      </c>
      <c r="T108" s="365">
        <v>0</v>
      </c>
      <c r="U108" s="365" t="str">
        <f>-T108*$F$16</f>
        <v>0</v>
      </c>
      <c r="V108" s="89">
        <v>1</v>
      </c>
      <c r="W108" s="518" t="str">
        <f>V108*-$F$17</f>
        <v>0</v>
      </c>
      <c r="X108" s="509" t="str">
        <f>W108+U108+S108</f>
        <v>0</v>
      </c>
      <c r="Y108" s="555" t="str">
        <f>-$F$19</f>
        <v>0</v>
      </c>
      <c r="Z108" s="365">
        <v>0</v>
      </c>
      <c r="AA108" s="478" t="str">
        <f>-$F$21</f>
        <v>0</v>
      </c>
      <c r="AB108" s="509" t="str">
        <f>SUM(Y108:AA108)</f>
        <v>0</v>
      </c>
    </row>
    <row r="109" spans="1:30">
      <c r="O109" s="493" t="s">
        <v>94</v>
      </c>
      <c r="P109" s="105" t="s">
        <v>145</v>
      </c>
      <c r="Q109" s="496" t="str">
        <f>O109&amp;P109</f>
        <v>0</v>
      </c>
      <c r="R109" s="514">
        <v>3</v>
      </c>
      <c r="S109" s="365" t="str">
        <f>-R109*$F$15</f>
        <v>0</v>
      </c>
      <c r="T109" s="365">
        <v>1</v>
      </c>
      <c r="U109" s="365" t="str">
        <f>-T109*$F$16</f>
        <v>0</v>
      </c>
      <c r="V109" s="89">
        <v>0</v>
      </c>
      <c r="W109" s="518" t="str">
        <f>V109*-$F$17</f>
        <v>0</v>
      </c>
      <c r="X109" s="509" t="str">
        <f>W109+U109+S109</f>
        <v>0</v>
      </c>
      <c r="Y109" s="555" t="str">
        <f>-$F$19</f>
        <v>0</v>
      </c>
      <c r="Z109" s="365">
        <v>0</v>
      </c>
      <c r="AA109" s="478" t="str">
        <f>-$F$21</f>
        <v>0</v>
      </c>
      <c r="AB109" s="509" t="str">
        <f>SUM(Y109:AA109)</f>
        <v>0</v>
      </c>
    </row>
    <row r="110" spans="1:30">
      <c r="O110" s="493" t="s">
        <v>94</v>
      </c>
      <c r="P110" s="105" t="s">
        <v>146</v>
      </c>
      <c r="Q110" s="496" t="str">
        <f>O110&amp;P110</f>
        <v>0</v>
      </c>
      <c r="R110" s="514">
        <v>3</v>
      </c>
      <c r="S110" s="365" t="str">
        <f>-R110*$F$15</f>
        <v>0</v>
      </c>
      <c r="T110" s="365">
        <v>1</v>
      </c>
      <c r="U110" s="365" t="str">
        <f>-T110*$F$16</f>
        <v>0</v>
      </c>
      <c r="V110" s="89">
        <v>0</v>
      </c>
      <c r="W110" s="518" t="str">
        <f>V110*-$F$17</f>
        <v>0</v>
      </c>
      <c r="X110" s="509" t="str">
        <f>W110+U110+S110</f>
        <v>0</v>
      </c>
      <c r="Y110" s="555" t="str">
        <f>-$F$19</f>
        <v>0</v>
      </c>
      <c r="Z110" s="365">
        <v>0</v>
      </c>
      <c r="AA110" s="478" t="str">
        <f>-$F$21</f>
        <v>0</v>
      </c>
      <c r="AB110" s="509" t="str">
        <f>SUM(Y110:AA110)</f>
        <v>0</v>
      </c>
    </row>
    <row r="111" spans="1:30">
      <c r="O111" s="493" t="s">
        <v>94</v>
      </c>
      <c r="P111" s="105" t="s">
        <v>147</v>
      </c>
      <c r="Q111" s="496" t="str">
        <f>O111&amp;P111</f>
        <v>0</v>
      </c>
      <c r="R111" s="514">
        <v>4</v>
      </c>
      <c r="S111" s="365" t="str">
        <f>-R111*$F$15</f>
        <v>0</v>
      </c>
      <c r="T111" s="365">
        <v>1</v>
      </c>
      <c r="U111" s="365" t="str">
        <f>-T111*$F$16</f>
        <v>0</v>
      </c>
      <c r="V111" s="89">
        <v>0</v>
      </c>
      <c r="W111" s="518" t="str">
        <f>V111*-$F$17</f>
        <v>0</v>
      </c>
      <c r="X111" s="509" t="str">
        <f>W111+U111+S111</f>
        <v>0</v>
      </c>
      <c r="Y111" s="555" t="str">
        <f>-$F$19</f>
        <v>0</v>
      </c>
      <c r="Z111" s="365">
        <v>0</v>
      </c>
      <c r="AA111" s="478" t="str">
        <f>-$F$21</f>
        <v>0</v>
      </c>
      <c r="AB111" s="509" t="str">
        <f>SUM(Y111:AA111)</f>
        <v>0</v>
      </c>
    </row>
    <row r="112" spans="1:30">
      <c r="O112" s="493" t="s">
        <v>94</v>
      </c>
      <c r="P112" s="105" t="s">
        <v>148</v>
      </c>
      <c r="Q112" s="496" t="str">
        <f>O112&amp;P112</f>
        <v>0</v>
      </c>
      <c r="R112" s="514">
        <v>1</v>
      </c>
      <c r="S112" s="365" t="str">
        <f>-R112*$F$15</f>
        <v>0</v>
      </c>
      <c r="T112" s="365">
        <v>0</v>
      </c>
      <c r="U112" s="365" t="str">
        <f>-T112*$F$16</f>
        <v>0</v>
      </c>
      <c r="V112" s="89">
        <v>1</v>
      </c>
      <c r="W112" s="518" t="str">
        <f>V112*-$F$17</f>
        <v>0</v>
      </c>
      <c r="X112" s="509" t="str">
        <f>W112+U112+S112</f>
        <v>0</v>
      </c>
      <c r="Y112" s="555" t="str">
        <f>-$F$19</f>
        <v>0</v>
      </c>
      <c r="Z112" s="365" t="str">
        <f>-$F$20</f>
        <v>0</v>
      </c>
      <c r="AA112" s="478" t="str">
        <f>-$F$21</f>
        <v>0</v>
      </c>
      <c r="AB112" s="509" t="str">
        <f>SUM(Y112:AA112)</f>
        <v>0</v>
      </c>
    </row>
    <row r="113" spans="1:30">
      <c r="O113" s="493" t="s">
        <v>94</v>
      </c>
      <c r="P113" s="105" t="s">
        <v>149</v>
      </c>
      <c r="Q113" s="496" t="str">
        <f>O113&amp;P113</f>
        <v>0</v>
      </c>
      <c r="R113" s="514">
        <v>1</v>
      </c>
      <c r="S113" s="365" t="str">
        <f>-R113*$F$15</f>
        <v>0</v>
      </c>
      <c r="T113" s="365">
        <v>0</v>
      </c>
      <c r="U113" s="365" t="str">
        <f>-T113*$F$16</f>
        <v>0</v>
      </c>
      <c r="V113" s="89">
        <v>1</v>
      </c>
      <c r="W113" s="518" t="str">
        <f>V113*-$F$17</f>
        <v>0</v>
      </c>
      <c r="X113" s="509" t="str">
        <f>W113+U113+S113</f>
        <v>0</v>
      </c>
      <c r="Y113" s="555" t="str">
        <f>-$F$19</f>
        <v>0</v>
      </c>
      <c r="Z113" s="365" t="str">
        <f>-$F$20</f>
        <v>0</v>
      </c>
      <c r="AA113" s="478" t="str">
        <f>-$F$21</f>
        <v>0</v>
      </c>
      <c r="AB113" s="509" t="str">
        <f>SUM(Y113:AA113)</f>
        <v>0</v>
      </c>
    </row>
    <row r="114" spans="1:30" customHeight="1" ht="12.75">
      <c r="O114" s="494" t="s">
        <v>94</v>
      </c>
      <c r="P114" s="495" t="s">
        <v>150</v>
      </c>
      <c r="Q114" s="497" t="str">
        <f>O114&amp;P114</f>
        <v>0</v>
      </c>
      <c r="R114" s="454">
        <v>2</v>
      </c>
      <c r="S114" s="455" t="str">
        <f>-R114*$F$15</f>
        <v>0</v>
      </c>
      <c r="T114" s="455">
        <v>1</v>
      </c>
      <c r="U114" s="455" t="str">
        <f>-T114*$F$16</f>
        <v>0</v>
      </c>
      <c r="V114" s="519">
        <v>0</v>
      </c>
      <c r="W114" s="520" t="str">
        <f>V114*-$F$17</f>
        <v>0</v>
      </c>
      <c r="X114" s="510" t="str">
        <f>W114+U114+S114</f>
        <v>0</v>
      </c>
      <c r="Y114" s="555" t="str">
        <f>-$F$19</f>
        <v>0</v>
      </c>
      <c r="Z114" s="365" t="str">
        <f>-$F$20</f>
        <v>0</v>
      </c>
      <c r="AA114" s="478" t="str">
        <f>-$F$21</f>
        <v>0</v>
      </c>
      <c r="AB114" s="509" t="str">
        <f>SUM(Y114:AA114)</f>
        <v>0</v>
      </c>
    </row>
    <row r="115" spans="1:30">
      <c r="O115" s="491" t="s">
        <v>95</v>
      </c>
      <c r="P115" s="492" t="s">
        <v>141</v>
      </c>
      <c r="Q115" s="489" t="str">
        <f>O115&amp;P115</f>
        <v>0</v>
      </c>
      <c r="R115" s="513">
        <v>1</v>
      </c>
      <c r="S115" s="490" t="str">
        <f>-R115*$F$15</f>
        <v>0</v>
      </c>
      <c r="T115" s="490">
        <v>0</v>
      </c>
      <c r="U115" s="490" t="str">
        <f>-T115*$F$16</f>
        <v>0</v>
      </c>
      <c r="V115" s="88">
        <v>1</v>
      </c>
      <c r="W115" s="517" t="str">
        <f>V115*-$F$17</f>
        <v>0</v>
      </c>
      <c r="X115" s="508" t="str">
        <f>W115+U115+S115</f>
        <v>0</v>
      </c>
      <c r="Y115" s="513" t="str">
        <f>-$F$19</f>
        <v>0</v>
      </c>
      <c r="Z115" s="490">
        <v>0</v>
      </c>
      <c r="AA115" s="531" t="str">
        <f>-$F$21</f>
        <v>0</v>
      </c>
      <c r="AB115" s="508" t="str">
        <f>SUM(Y115:AA115)</f>
        <v>0</v>
      </c>
    </row>
    <row r="116" spans="1:30">
      <c r="O116" s="493" t="s">
        <v>95</v>
      </c>
      <c r="P116" s="105" t="s">
        <v>142</v>
      </c>
      <c r="Q116" s="496" t="str">
        <f>O116&amp;P116</f>
        <v>0</v>
      </c>
      <c r="R116" s="514">
        <v>1</v>
      </c>
      <c r="S116" s="365" t="str">
        <f>-R116*$F$15</f>
        <v>0</v>
      </c>
      <c r="T116" s="365">
        <v>0</v>
      </c>
      <c r="U116" s="365" t="str">
        <f>-T116*$F$16</f>
        <v>0</v>
      </c>
      <c r="V116" s="89">
        <v>1</v>
      </c>
      <c r="W116" s="518" t="str">
        <f>V116*-$F$17</f>
        <v>0</v>
      </c>
      <c r="X116" s="509" t="str">
        <f>W116+U116+S116</f>
        <v>0</v>
      </c>
      <c r="Y116" s="514" t="str">
        <f>-$F$19</f>
        <v>0</v>
      </c>
      <c r="Z116" s="365">
        <v>0</v>
      </c>
      <c r="AA116" s="478" t="str">
        <f>-$F$21</f>
        <v>0</v>
      </c>
      <c r="AB116" s="509" t="str">
        <f>SUM(Y116:AA116)</f>
        <v>0</v>
      </c>
    </row>
    <row r="117" spans="1:30">
      <c r="O117" s="493" t="s">
        <v>95</v>
      </c>
      <c r="P117" s="105" t="s">
        <v>87</v>
      </c>
      <c r="Q117" s="496" t="str">
        <f>O117&amp;P117</f>
        <v>0</v>
      </c>
      <c r="R117" s="514">
        <v>2</v>
      </c>
      <c r="S117" s="365" t="str">
        <f>-R117*$F$15</f>
        <v>0</v>
      </c>
      <c r="T117" s="365">
        <v>1</v>
      </c>
      <c r="U117" s="365" t="str">
        <f>-T117*$F$16</f>
        <v>0</v>
      </c>
      <c r="V117" s="89">
        <v>0</v>
      </c>
      <c r="W117" s="518" t="str">
        <f>V117*-$F$17</f>
        <v>0</v>
      </c>
      <c r="X117" s="509" t="str">
        <f>W117+U117+S117</f>
        <v>0</v>
      </c>
      <c r="Y117" s="514" t="str">
        <f>-$F$19</f>
        <v>0</v>
      </c>
      <c r="Z117" s="365">
        <v>0</v>
      </c>
      <c r="AA117" s="478" t="str">
        <f>-$F$21</f>
        <v>0</v>
      </c>
      <c r="AB117" s="509" t="str">
        <f>SUM(Y117:AA117)</f>
        <v>0</v>
      </c>
    </row>
    <row r="118" spans="1:30">
      <c r="O118" s="493" t="s">
        <v>95</v>
      </c>
      <c r="P118" s="105" t="s">
        <v>143</v>
      </c>
      <c r="Q118" s="496" t="str">
        <f>O118&amp;P118</f>
        <v>0</v>
      </c>
      <c r="R118" s="514">
        <v>2</v>
      </c>
      <c r="S118" s="365" t="str">
        <f>-R118*$F$15</f>
        <v>0</v>
      </c>
      <c r="T118" s="365">
        <v>0</v>
      </c>
      <c r="U118" s="365" t="str">
        <f>-T118*$F$16</f>
        <v>0</v>
      </c>
      <c r="V118" s="89">
        <v>1</v>
      </c>
      <c r="W118" s="518" t="str">
        <f>V118*-$F$17</f>
        <v>0</v>
      </c>
      <c r="X118" s="509" t="str">
        <f>W118+U118+S118</f>
        <v>0</v>
      </c>
      <c r="Y118" s="514" t="str">
        <f>-$F$19</f>
        <v>0</v>
      </c>
      <c r="Z118" s="365">
        <v>0</v>
      </c>
      <c r="AA118" s="478" t="str">
        <f>-$F$21</f>
        <v>0</v>
      </c>
      <c r="AB118" s="509" t="str">
        <f>SUM(Y118:AA118)</f>
        <v>0</v>
      </c>
    </row>
    <row r="119" spans="1:30">
      <c r="O119" s="493" t="s">
        <v>95</v>
      </c>
      <c r="P119" s="105" t="s">
        <v>144</v>
      </c>
      <c r="Q119" s="496" t="str">
        <f>O119&amp;P119</f>
        <v>0</v>
      </c>
      <c r="R119" s="514">
        <v>2</v>
      </c>
      <c r="S119" s="365" t="str">
        <f>-R119*$F$15</f>
        <v>0</v>
      </c>
      <c r="T119" s="365">
        <v>0</v>
      </c>
      <c r="U119" s="365" t="str">
        <f>-T119*$F$16</f>
        <v>0</v>
      </c>
      <c r="V119" s="89">
        <v>1</v>
      </c>
      <c r="W119" s="518" t="str">
        <f>V119*-$F$17</f>
        <v>0</v>
      </c>
      <c r="X119" s="509" t="str">
        <f>W119+U119+S119</f>
        <v>0</v>
      </c>
      <c r="Y119" s="514" t="str">
        <f>-$F$19</f>
        <v>0</v>
      </c>
      <c r="Z119" s="365">
        <v>0</v>
      </c>
      <c r="AA119" s="478" t="str">
        <f>-$F$21</f>
        <v>0</v>
      </c>
      <c r="AB119" s="509" t="str">
        <f>SUM(Y119:AA119)</f>
        <v>0</v>
      </c>
    </row>
    <row r="120" spans="1:30">
      <c r="O120" s="493" t="s">
        <v>95</v>
      </c>
      <c r="P120" s="105" t="s">
        <v>145</v>
      </c>
      <c r="Q120" s="496" t="str">
        <f>O120&amp;P120</f>
        <v>0</v>
      </c>
      <c r="R120" s="514">
        <v>3</v>
      </c>
      <c r="S120" s="365" t="str">
        <f>-R120*$F$15</f>
        <v>0</v>
      </c>
      <c r="T120" s="365">
        <v>1</v>
      </c>
      <c r="U120" s="365" t="str">
        <f>-T120*$F$16</f>
        <v>0</v>
      </c>
      <c r="V120" s="89">
        <v>0</v>
      </c>
      <c r="W120" s="518" t="str">
        <f>V120*-$F$17</f>
        <v>0</v>
      </c>
      <c r="X120" s="509" t="str">
        <f>W120+U120+S120</f>
        <v>0</v>
      </c>
      <c r="Y120" s="514" t="str">
        <f>-$F$19</f>
        <v>0</v>
      </c>
      <c r="Z120" s="365">
        <v>0</v>
      </c>
      <c r="AA120" s="478" t="str">
        <f>-$F$21</f>
        <v>0</v>
      </c>
      <c r="AB120" s="509" t="str">
        <f>SUM(Y120:AA120)</f>
        <v>0</v>
      </c>
    </row>
    <row r="121" spans="1:30">
      <c r="O121" s="493" t="s">
        <v>95</v>
      </c>
      <c r="P121" s="105" t="s">
        <v>146</v>
      </c>
      <c r="Q121" s="496" t="str">
        <f>O121&amp;P121</f>
        <v>0</v>
      </c>
      <c r="R121" s="514">
        <v>3</v>
      </c>
      <c r="S121" s="365" t="str">
        <f>-R121*$F$15</f>
        <v>0</v>
      </c>
      <c r="T121" s="365">
        <v>1</v>
      </c>
      <c r="U121" s="365" t="str">
        <f>-T121*$F$16</f>
        <v>0</v>
      </c>
      <c r="V121" s="89">
        <v>0</v>
      </c>
      <c r="W121" s="518" t="str">
        <f>V121*-$F$17</f>
        <v>0</v>
      </c>
      <c r="X121" s="509" t="str">
        <f>W121+U121+S121</f>
        <v>0</v>
      </c>
      <c r="Y121" s="514" t="str">
        <f>-$F$19</f>
        <v>0</v>
      </c>
      <c r="Z121" s="365">
        <v>0</v>
      </c>
      <c r="AA121" s="478" t="str">
        <f>-$F$21</f>
        <v>0</v>
      </c>
      <c r="AB121" s="509" t="str">
        <f>SUM(Y121:AA121)</f>
        <v>0</v>
      </c>
    </row>
    <row r="122" spans="1:30">
      <c r="O122" s="493" t="s">
        <v>95</v>
      </c>
      <c r="P122" s="105" t="s">
        <v>147</v>
      </c>
      <c r="Q122" s="496" t="str">
        <f>O122&amp;P122</f>
        <v>0</v>
      </c>
      <c r="R122" s="514">
        <v>4</v>
      </c>
      <c r="S122" s="365" t="str">
        <f>-R122*$F$15</f>
        <v>0</v>
      </c>
      <c r="T122" s="365">
        <v>1</v>
      </c>
      <c r="U122" s="365" t="str">
        <f>-T122*$F$16</f>
        <v>0</v>
      </c>
      <c r="V122" s="89">
        <v>0</v>
      </c>
      <c r="W122" s="518" t="str">
        <f>V122*-$F$17</f>
        <v>0</v>
      </c>
      <c r="X122" s="509" t="str">
        <f>W122+U122+S122</f>
        <v>0</v>
      </c>
      <c r="Y122" s="514" t="str">
        <f>-$F$19</f>
        <v>0</v>
      </c>
      <c r="Z122" s="365">
        <v>0</v>
      </c>
      <c r="AA122" s="478" t="str">
        <f>-$F$21</f>
        <v>0</v>
      </c>
      <c r="AB122" s="509" t="str">
        <f>SUM(Y122:AA122)</f>
        <v>0</v>
      </c>
    </row>
    <row r="123" spans="1:30">
      <c r="O123" s="493" t="s">
        <v>95</v>
      </c>
      <c r="P123" s="105" t="s">
        <v>148</v>
      </c>
      <c r="Q123" s="496" t="str">
        <f>O123&amp;P123</f>
        <v>0</v>
      </c>
      <c r="R123" s="514">
        <v>1</v>
      </c>
      <c r="S123" s="365" t="str">
        <f>-R123*$F$15</f>
        <v>0</v>
      </c>
      <c r="T123" s="365">
        <v>0</v>
      </c>
      <c r="U123" s="365" t="str">
        <f>-T123*$F$16</f>
        <v>0</v>
      </c>
      <c r="V123" s="89">
        <v>1</v>
      </c>
      <c r="W123" s="518" t="str">
        <f>V123*-$F$17</f>
        <v>0</v>
      </c>
      <c r="X123" s="509" t="str">
        <f>W123+U123+S123</f>
        <v>0</v>
      </c>
      <c r="Y123" s="514" t="str">
        <f>-$F$19</f>
        <v>0</v>
      </c>
      <c r="Z123" s="365" t="str">
        <f>-$F$20</f>
        <v>0</v>
      </c>
      <c r="AA123" s="478" t="str">
        <f>-$F$21</f>
        <v>0</v>
      </c>
      <c r="AB123" s="509" t="str">
        <f>SUM(Y123:AA123)</f>
        <v>0</v>
      </c>
    </row>
    <row r="124" spans="1:30">
      <c r="O124" s="493" t="s">
        <v>95</v>
      </c>
      <c r="P124" s="105" t="s">
        <v>149</v>
      </c>
      <c r="Q124" s="496" t="str">
        <f>O124&amp;P124</f>
        <v>0</v>
      </c>
      <c r="R124" s="514">
        <v>1</v>
      </c>
      <c r="S124" s="365" t="str">
        <f>-R124*$F$15</f>
        <v>0</v>
      </c>
      <c r="T124" s="365">
        <v>0</v>
      </c>
      <c r="U124" s="365" t="str">
        <f>-T124*$F$16</f>
        <v>0</v>
      </c>
      <c r="V124" s="89">
        <v>1</v>
      </c>
      <c r="W124" s="518" t="str">
        <f>V124*-$F$17</f>
        <v>0</v>
      </c>
      <c r="X124" s="509" t="str">
        <f>W124+U124+S124</f>
        <v>0</v>
      </c>
      <c r="Y124" s="514" t="str">
        <f>-$F$19</f>
        <v>0</v>
      </c>
      <c r="Z124" s="365" t="str">
        <f>-$F$20</f>
        <v>0</v>
      </c>
      <c r="AA124" s="478" t="str">
        <f>-$F$21</f>
        <v>0</v>
      </c>
      <c r="AB124" s="509" t="str">
        <f>SUM(Y124:AA124)</f>
        <v>0</v>
      </c>
    </row>
    <row r="125" spans="1:30" customHeight="1" ht="12.75">
      <c r="O125" s="494" t="s">
        <v>95</v>
      </c>
      <c r="P125" s="495" t="s">
        <v>150</v>
      </c>
      <c r="Q125" s="497" t="str">
        <f>O125&amp;P125</f>
        <v>0</v>
      </c>
      <c r="R125" s="454">
        <v>2</v>
      </c>
      <c r="S125" s="455" t="str">
        <f>-R125*$F$15</f>
        <v>0</v>
      </c>
      <c r="T125" s="455">
        <v>1</v>
      </c>
      <c r="U125" s="455" t="str">
        <f>-T125*$F$16</f>
        <v>0</v>
      </c>
      <c r="V125" s="519">
        <v>0</v>
      </c>
      <c r="W125" s="520" t="str">
        <f>V125*-$F$17</f>
        <v>0</v>
      </c>
      <c r="X125" s="510" t="str">
        <f>W125+U125+S125</f>
        <v>0</v>
      </c>
      <c r="Y125" s="462" t="str">
        <f>-$F$19</f>
        <v>0</v>
      </c>
      <c r="Z125" s="463" t="str">
        <f>-$F$20</f>
        <v>0</v>
      </c>
      <c r="AA125" s="532" t="str">
        <f>-$F$21</f>
        <v>0</v>
      </c>
      <c r="AB125" s="510" t="str">
        <f>SUM(Y125:AA125)</f>
        <v>0</v>
      </c>
    </row>
    <row r="126" spans="1:30">
      <c r="O126" s="491" t="s">
        <v>96</v>
      </c>
      <c r="P126" s="492" t="s">
        <v>141</v>
      </c>
      <c r="Q126" s="489" t="str">
        <f>O126&amp;P126</f>
        <v>0</v>
      </c>
      <c r="R126" s="513">
        <v>1</v>
      </c>
      <c r="S126" s="490" t="str">
        <f>-R126*$F$15</f>
        <v>0</v>
      </c>
      <c r="T126" s="490">
        <v>0</v>
      </c>
      <c r="U126" s="490" t="str">
        <f>-T126*$F$16</f>
        <v>0</v>
      </c>
      <c r="V126" s="88">
        <v>1</v>
      </c>
      <c r="W126" s="517" t="str">
        <f>V126*-$F$17</f>
        <v>0</v>
      </c>
      <c r="X126" s="508" t="str">
        <f>W126+U126+S126</f>
        <v>0</v>
      </c>
      <c r="Y126" s="514" t="str">
        <f>-$F$19</f>
        <v>0</v>
      </c>
      <c r="Z126" s="365">
        <v>0</v>
      </c>
      <c r="AA126" s="478" t="str">
        <f>-$F$21</f>
        <v>0</v>
      </c>
      <c r="AB126" s="509" t="str">
        <f>SUM(Y126:AA126)</f>
        <v>0</v>
      </c>
    </row>
    <row r="127" spans="1:30">
      <c r="O127" s="493" t="s">
        <v>96</v>
      </c>
      <c r="P127" s="105" t="s">
        <v>142</v>
      </c>
      <c r="Q127" s="496" t="str">
        <f>O127&amp;P127</f>
        <v>0</v>
      </c>
      <c r="R127" s="514">
        <v>1</v>
      </c>
      <c r="S127" s="365" t="str">
        <f>-R127*$F$15</f>
        <v>0</v>
      </c>
      <c r="T127" s="365">
        <v>0</v>
      </c>
      <c r="U127" s="365" t="str">
        <f>-T127*$F$16</f>
        <v>0</v>
      </c>
      <c r="V127" s="89">
        <v>1</v>
      </c>
      <c r="W127" s="518" t="str">
        <f>V127*-$F$17</f>
        <v>0</v>
      </c>
      <c r="X127" s="509" t="str">
        <f>W127+U127+S127</f>
        <v>0</v>
      </c>
      <c r="Y127" s="514" t="str">
        <f>-$F$19</f>
        <v>0</v>
      </c>
      <c r="Z127" s="365">
        <v>0</v>
      </c>
      <c r="AA127" s="478" t="str">
        <f>-$F$21</f>
        <v>0</v>
      </c>
      <c r="AB127" s="509" t="str">
        <f>SUM(Y127:AA127)</f>
        <v>0</v>
      </c>
    </row>
    <row r="128" spans="1:30">
      <c r="O128" s="493" t="s">
        <v>96</v>
      </c>
      <c r="P128" s="105" t="s">
        <v>87</v>
      </c>
      <c r="Q128" s="496" t="str">
        <f>O128&amp;P128</f>
        <v>0</v>
      </c>
      <c r="R128" s="514">
        <v>2</v>
      </c>
      <c r="S128" s="365" t="str">
        <f>-R128*$F$15</f>
        <v>0</v>
      </c>
      <c r="T128" s="365">
        <v>1</v>
      </c>
      <c r="U128" s="365" t="str">
        <f>-T128*$F$16</f>
        <v>0</v>
      </c>
      <c r="V128" s="89">
        <v>0</v>
      </c>
      <c r="W128" s="518" t="str">
        <f>V128*-$F$17</f>
        <v>0</v>
      </c>
      <c r="X128" s="509" t="str">
        <f>W128+U128+S128</f>
        <v>0</v>
      </c>
      <c r="Y128" s="514" t="str">
        <f>-$F$19</f>
        <v>0</v>
      </c>
      <c r="Z128" s="365">
        <v>0</v>
      </c>
      <c r="AA128" s="478" t="str">
        <f>-$F$21</f>
        <v>0</v>
      </c>
      <c r="AB128" s="509" t="str">
        <f>SUM(Y128:AA128)</f>
        <v>0</v>
      </c>
    </row>
    <row r="129" spans="1:30">
      <c r="O129" s="493" t="s">
        <v>96</v>
      </c>
      <c r="P129" s="105" t="s">
        <v>143</v>
      </c>
      <c r="Q129" s="496" t="str">
        <f>O129&amp;P129</f>
        <v>0</v>
      </c>
      <c r="R129" s="514">
        <v>2</v>
      </c>
      <c r="S129" s="365" t="str">
        <f>-R129*$F$15</f>
        <v>0</v>
      </c>
      <c r="T129" s="365">
        <v>0</v>
      </c>
      <c r="U129" s="365" t="str">
        <f>-T129*$F$16</f>
        <v>0</v>
      </c>
      <c r="V129" s="89">
        <v>1</v>
      </c>
      <c r="W129" s="518" t="str">
        <f>V129*-$F$17</f>
        <v>0</v>
      </c>
      <c r="X129" s="509" t="str">
        <f>W129+U129+S129</f>
        <v>0</v>
      </c>
      <c r="Y129" s="514" t="str">
        <f>-$F$19</f>
        <v>0</v>
      </c>
      <c r="Z129" s="365">
        <v>0</v>
      </c>
      <c r="AA129" s="478" t="str">
        <f>-$F$21</f>
        <v>0</v>
      </c>
      <c r="AB129" s="509" t="str">
        <f>SUM(Y129:AA129)</f>
        <v>0</v>
      </c>
    </row>
    <row r="130" spans="1:30">
      <c r="O130" s="493" t="s">
        <v>96</v>
      </c>
      <c r="P130" s="105" t="s">
        <v>144</v>
      </c>
      <c r="Q130" s="496" t="str">
        <f>O130&amp;P130</f>
        <v>0</v>
      </c>
      <c r="R130" s="514">
        <v>2</v>
      </c>
      <c r="S130" s="365" t="str">
        <f>-R130*$F$15</f>
        <v>0</v>
      </c>
      <c r="T130" s="365">
        <v>0</v>
      </c>
      <c r="U130" s="365" t="str">
        <f>-T130*$F$16</f>
        <v>0</v>
      </c>
      <c r="V130" s="89">
        <v>1</v>
      </c>
      <c r="W130" s="518" t="str">
        <f>V130*-$F$17</f>
        <v>0</v>
      </c>
      <c r="X130" s="509" t="str">
        <f>W130+U130+S130</f>
        <v>0</v>
      </c>
      <c r="Y130" s="514" t="str">
        <f>-$F$19</f>
        <v>0</v>
      </c>
      <c r="Z130" s="365">
        <v>0</v>
      </c>
      <c r="AA130" s="478" t="str">
        <f>-$F$21</f>
        <v>0</v>
      </c>
      <c r="AB130" s="509" t="str">
        <f>SUM(Y130:AA130)</f>
        <v>0</v>
      </c>
    </row>
    <row r="131" spans="1:30">
      <c r="O131" s="493" t="s">
        <v>96</v>
      </c>
      <c r="P131" s="105" t="s">
        <v>145</v>
      </c>
      <c r="Q131" s="496" t="str">
        <f>O131&amp;P131</f>
        <v>0</v>
      </c>
      <c r="R131" s="514">
        <v>3</v>
      </c>
      <c r="S131" s="365" t="str">
        <f>-R131*$F$15</f>
        <v>0</v>
      </c>
      <c r="T131" s="365">
        <v>1</v>
      </c>
      <c r="U131" s="365" t="str">
        <f>-T131*$F$16</f>
        <v>0</v>
      </c>
      <c r="V131" s="89">
        <v>0</v>
      </c>
      <c r="W131" s="518" t="str">
        <f>V131*-$F$17</f>
        <v>0</v>
      </c>
      <c r="X131" s="509" t="str">
        <f>W131+U131+S131</f>
        <v>0</v>
      </c>
      <c r="Y131" s="514" t="str">
        <f>-$F$19</f>
        <v>0</v>
      </c>
      <c r="Z131" s="365">
        <v>0</v>
      </c>
      <c r="AA131" s="478" t="str">
        <f>-$F$21</f>
        <v>0</v>
      </c>
      <c r="AB131" s="509" t="str">
        <f>SUM(Y131:AA131)</f>
        <v>0</v>
      </c>
    </row>
    <row r="132" spans="1:30">
      <c r="O132" s="493" t="s">
        <v>96</v>
      </c>
      <c r="P132" s="105" t="s">
        <v>146</v>
      </c>
      <c r="Q132" s="496" t="str">
        <f>O132&amp;P132</f>
        <v>0</v>
      </c>
      <c r="R132" s="514">
        <v>3</v>
      </c>
      <c r="S132" s="365" t="str">
        <f>-R132*$F$15</f>
        <v>0</v>
      </c>
      <c r="T132" s="365">
        <v>1</v>
      </c>
      <c r="U132" s="365" t="str">
        <f>-T132*$F$16</f>
        <v>0</v>
      </c>
      <c r="V132" s="89">
        <v>0</v>
      </c>
      <c r="W132" s="518" t="str">
        <f>V132*-$F$17</f>
        <v>0</v>
      </c>
      <c r="X132" s="509" t="str">
        <f>W132+U132+S132</f>
        <v>0</v>
      </c>
      <c r="Y132" s="514" t="str">
        <f>-$F$19</f>
        <v>0</v>
      </c>
      <c r="Z132" s="365">
        <v>0</v>
      </c>
      <c r="AA132" s="478" t="str">
        <f>-$F$21</f>
        <v>0</v>
      </c>
      <c r="AB132" s="509" t="str">
        <f>SUM(Y132:AA132)</f>
        <v>0</v>
      </c>
    </row>
    <row r="133" spans="1:30">
      <c r="O133" s="493" t="s">
        <v>96</v>
      </c>
      <c r="P133" s="105" t="s">
        <v>147</v>
      </c>
      <c r="Q133" s="496" t="str">
        <f>O133&amp;P133</f>
        <v>0</v>
      </c>
      <c r="R133" s="514">
        <v>4</v>
      </c>
      <c r="S133" s="365" t="str">
        <f>-R133*$F$15</f>
        <v>0</v>
      </c>
      <c r="T133" s="365">
        <v>1</v>
      </c>
      <c r="U133" s="365" t="str">
        <f>-T133*$F$16</f>
        <v>0</v>
      </c>
      <c r="V133" s="89">
        <v>0</v>
      </c>
      <c r="W133" s="518" t="str">
        <f>V133*-$F$17</f>
        <v>0</v>
      </c>
      <c r="X133" s="509" t="str">
        <f>W133+U133+S133</f>
        <v>0</v>
      </c>
      <c r="Y133" s="514" t="str">
        <f>-$F$19</f>
        <v>0</v>
      </c>
      <c r="Z133" s="365">
        <v>0</v>
      </c>
      <c r="AA133" s="478" t="str">
        <f>-$F$21</f>
        <v>0</v>
      </c>
      <c r="AB133" s="509" t="str">
        <f>SUM(Y133:AA133)</f>
        <v>0</v>
      </c>
    </row>
    <row r="134" spans="1:30">
      <c r="O134" s="493" t="s">
        <v>96</v>
      </c>
      <c r="P134" s="105" t="s">
        <v>148</v>
      </c>
      <c r="Q134" s="496" t="str">
        <f>O134&amp;P134</f>
        <v>0</v>
      </c>
      <c r="R134" s="514">
        <v>1</v>
      </c>
      <c r="S134" s="365" t="str">
        <f>-R134*$F$15</f>
        <v>0</v>
      </c>
      <c r="T134" s="365">
        <v>0</v>
      </c>
      <c r="U134" s="365" t="str">
        <f>-T134*$F$16</f>
        <v>0</v>
      </c>
      <c r="V134" s="89">
        <v>1</v>
      </c>
      <c r="W134" s="518" t="str">
        <f>V134*-$F$17</f>
        <v>0</v>
      </c>
      <c r="X134" s="509" t="str">
        <f>W134+U134+S134</f>
        <v>0</v>
      </c>
      <c r="Y134" s="514" t="str">
        <f>-$F$19</f>
        <v>0</v>
      </c>
      <c r="Z134" s="365" t="str">
        <f>-$F$20</f>
        <v>0</v>
      </c>
      <c r="AA134" s="478" t="str">
        <f>-$F$21</f>
        <v>0</v>
      </c>
      <c r="AB134" s="509" t="str">
        <f>SUM(Y134:AA134)</f>
        <v>0</v>
      </c>
    </row>
    <row r="135" spans="1:30">
      <c r="O135" s="493" t="s">
        <v>96</v>
      </c>
      <c r="P135" s="105" t="s">
        <v>149</v>
      </c>
      <c r="Q135" s="496" t="str">
        <f>O135&amp;P135</f>
        <v>0</v>
      </c>
      <c r="R135" s="514">
        <v>1</v>
      </c>
      <c r="S135" s="365" t="str">
        <f>-R135*$F$15</f>
        <v>0</v>
      </c>
      <c r="T135" s="365">
        <v>0</v>
      </c>
      <c r="U135" s="365" t="str">
        <f>-T135*$F$16</f>
        <v>0</v>
      </c>
      <c r="V135" s="89">
        <v>1</v>
      </c>
      <c r="W135" s="518" t="str">
        <f>V135*-$F$17</f>
        <v>0</v>
      </c>
      <c r="X135" s="509" t="str">
        <f>W135+U135+S135</f>
        <v>0</v>
      </c>
      <c r="Y135" s="514" t="str">
        <f>-$F$19</f>
        <v>0</v>
      </c>
      <c r="Z135" s="365" t="str">
        <f>-$F$20</f>
        <v>0</v>
      </c>
      <c r="AA135" s="478" t="str">
        <f>-$F$21</f>
        <v>0</v>
      </c>
      <c r="AB135" s="509" t="str">
        <f>SUM(Y135:AA135)</f>
        <v>0</v>
      </c>
    </row>
    <row r="136" spans="1:30" customHeight="1" ht="12.75">
      <c r="O136" s="494" t="s">
        <v>96</v>
      </c>
      <c r="P136" s="495" t="s">
        <v>150</v>
      </c>
      <c r="Q136" s="497" t="str">
        <f>O136&amp;P136</f>
        <v>0</v>
      </c>
      <c r="R136" s="454">
        <v>2</v>
      </c>
      <c r="S136" s="455" t="str">
        <f>-R136*$F$15</f>
        <v>0</v>
      </c>
      <c r="T136" s="455">
        <v>1</v>
      </c>
      <c r="U136" s="455" t="str">
        <f>-T136*$F$16</f>
        <v>0</v>
      </c>
      <c r="V136" s="519">
        <v>0</v>
      </c>
      <c r="W136" s="520" t="str">
        <f>V136*-$F$17</f>
        <v>0</v>
      </c>
      <c r="X136" s="510" t="str">
        <f>W136+U136+S136</f>
        <v>0</v>
      </c>
      <c r="Y136" s="514" t="str">
        <f>-$F$19</f>
        <v>0</v>
      </c>
      <c r="Z136" s="365" t="str">
        <f>-$F$20</f>
        <v>0</v>
      </c>
      <c r="AA136" s="478" t="str">
        <f>-$F$21</f>
        <v>0</v>
      </c>
      <c r="AB136" s="509" t="str">
        <f>SUM(Y136:AA136)</f>
        <v>0</v>
      </c>
    </row>
    <row r="137" spans="1:30">
      <c r="O137" s="491" t="s">
        <v>97</v>
      </c>
      <c r="P137" s="492" t="s">
        <v>141</v>
      </c>
      <c r="Q137" s="489" t="str">
        <f>O137&amp;P137</f>
        <v>0</v>
      </c>
      <c r="R137" s="513">
        <v>1</v>
      </c>
      <c r="S137" s="490" t="str">
        <f>-R137*$F$15</f>
        <v>0</v>
      </c>
      <c r="T137" s="490">
        <v>0</v>
      </c>
      <c r="U137" s="490" t="str">
        <f>-T137*$F$16</f>
        <v>0</v>
      </c>
      <c r="V137" s="88">
        <v>1</v>
      </c>
      <c r="W137" s="517" t="str">
        <f>V137*-$F$17</f>
        <v>0</v>
      </c>
      <c r="X137" s="508" t="str">
        <f>W137+U137+S137</f>
        <v>0</v>
      </c>
      <c r="Y137" s="513" t="str">
        <f>-$F$19</f>
        <v>0</v>
      </c>
      <c r="Z137" s="490">
        <v>0</v>
      </c>
      <c r="AA137" s="531" t="str">
        <f>-$F$21</f>
        <v>0</v>
      </c>
      <c r="AB137" s="508" t="str">
        <f>SUM(Y137:AA137)</f>
        <v>0</v>
      </c>
    </row>
    <row r="138" spans="1:30">
      <c r="O138" s="493" t="s">
        <v>97</v>
      </c>
      <c r="P138" s="105" t="s">
        <v>142</v>
      </c>
      <c r="Q138" s="496" t="str">
        <f>O138&amp;P138</f>
        <v>0</v>
      </c>
      <c r="R138" s="514">
        <v>1</v>
      </c>
      <c r="S138" s="365" t="str">
        <f>-R138*$F$15</f>
        <v>0</v>
      </c>
      <c r="T138" s="365">
        <v>0</v>
      </c>
      <c r="U138" s="365" t="str">
        <f>-T138*$F$16</f>
        <v>0</v>
      </c>
      <c r="V138" s="89">
        <v>1</v>
      </c>
      <c r="W138" s="518" t="str">
        <f>V138*-$F$17</f>
        <v>0</v>
      </c>
      <c r="X138" s="509" t="str">
        <f>W138+U138+S138</f>
        <v>0</v>
      </c>
      <c r="Y138" s="514" t="str">
        <f>-$F$19</f>
        <v>0</v>
      </c>
      <c r="Z138" s="365">
        <v>0</v>
      </c>
      <c r="AA138" s="478" t="str">
        <f>-$F$21</f>
        <v>0</v>
      </c>
      <c r="AB138" s="509" t="str">
        <f>SUM(Y138:AA138)</f>
        <v>0</v>
      </c>
    </row>
    <row r="139" spans="1:30">
      <c r="O139" s="493" t="s">
        <v>97</v>
      </c>
      <c r="P139" s="105" t="s">
        <v>87</v>
      </c>
      <c r="Q139" s="496" t="str">
        <f>O139&amp;P139</f>
        <v>0</v>
      </c>
      <c r="R139" s="514">
        <v>2</v>
      </c>
      <c r="S139" s="365" t="str">
        <f>-R139*$F$15</f>
        <v>0</v>
      </c>
      <c r="T139" s="365">
        <v>1</v>
      </c>
      <c r="U139" s="365" t="str">
        <f>-T139*$F$16</f>
        <v>0</v>
      </c>
      <c r="V139" s="89">
        <v>0</v>
      </c>
      <c r="W139" s="518" t="str">
        <f>V139*-$F$17</f>
        <v>0</v>
      </c>
      <c r="X139" s="509" t="str">
        <f>W139+U139+S139</f>
        <v>0</v>
      </c>
      <c r="Y139" s="514" t="str">
        <f>-$F$19</f>
        <v>0</v>
      </c>
      <c r="Z139" s="365">
        <v>0</v>
      </c>
      <c r="AA139" s="478" t="str">
        <f>-$F$21</f>
        <v>0</v>
      </c>
      <c r="AB139" s="509" t="str">
        <f>SUM(Y139:AA139)</f>
        <v>0</v>
      </c>
    </row>
    <row r="140" spans="1:30">
      <c r="O140" s="493" t="s">
        <v>97</v>
      </c>
      <c r="P140" s="105" t="s">
        <v>143</v>
      </c>
      <c r="Q140" s="496" t="str">
        <f>O140&amp;P140</f>
        <v>0</v>
      </c>
      <c r="R140" s="514">
        <v>2</v>
      </c>
      <c r="S140" s="365" t="str">
        <f>-R140*$F$15</f>
        <v>0</v>
      </c>
      <c r="T140" s="365">
        <v>0</v>
      </c>
      <c r="U140" s="365" t="str">
        <f>-T140*$F$16</f>
        <v>0</v>
      </c>
      <c r="V140" s="89">
        <v>1</v>
      </c>
      <c r="W140" s="518" t="str">
        <f>V140*-$F$17</f>
        <v>0</v>
      </c>
      <c r="X140" s="509" t="str">
        <f>W140+U140+S140</f>
        <v>0</v>
      </c>
      <c r="Y140" s="514" t="str">
        <f>-$F$19</f>
        <v>0</v>
      </c>
      <c r="Z140" s="365">
        <v>0</v>
      </c>
      <c r="AA140" s="478" t="str">
        <f>-$F$21</f>
        <v>0</v>
      </c>
      <c r="AB140" s="509" t="str">
        <f>SUM(Y140:AA140)</f>
        <v>0</v>
      </c>
    </row>
    <row r="141" spans="1:30">
      <c r="O141" s="493" t="s">
        <v>97</v>
      </c>
      <c r="P141" s="105" t="s">
        <v>144</v>
      </c>
      <c r="Q141" s="496" t="str">
        <f>O141&amp;P141</f>
        <v>0</v>
      </c>
      <c r="R141" s="514">
        <v>2</v>
      </c>
      <c r="S141" s="365" t="str">
        <f>-R141*$F$15</f>
        <v>0</v>
      </c>
      <c r="T141" s="365">
        <v>0</v>
      </c>
      <c r="U141" s="365" t="str">
        <f>-T141*$F$16</f>
        <v>0</v>
      </c>
      <c r="V141" s="89">
        <v>1</v>
      </c>
      <c r="W141" s="518" t="str">
        <f>V141*-$F$17</f>
        <v>0</v>
      </c>
      <c r="X141" s="509" t="str">
        <f>W141+U141+S141</f>
        <v>0</v>
      </c>
      <c r="Y141" s="514" t="str">
        <f>-$F$19</f>
        <v>0</v>
      </c>
      <c r="Z141" s="365">
        <v>0</v>
      </c>
      <c r="AA141" s="478" t="str">
        <f>-$F$21</f>
        <v>0</v>
      </c>
      <c r="AB141" s="509" t="str">
        <f>SUM(Y141:AA141)</f>
        <v>0</v>
      </c>
    </row>
    <row r="142" spans="1:30">
      <c r="O142" s="493" t="s">
        <v>97</v>
      </c>
      <c r="P142" s="105" t="s">
        <v>145</v>
      </c>
      <c r="Q142" s="496" t="str">
        <f>O142&amp;P142</f>
        <v>0</v>
      </c>
      <c r="R142" s="514">
        <v>3</v>
      </c>
      <c r="S142" s="365" t="str">
        <f>-R142*$F$15</f>
        <v>0</v>
      </c>
      <c r="T142" s="365">
        <v>1</v>
      </c>
      <c r="U142" s="365" t="str">
        <f>-T142*$F$16</f>
        <v>0</v>
      </c>
      <c r="V142" s="89">
        <v>0</v>
      </c>
      <c r="W142" s="518" t="str">
        <f>V142*-$F$17</f>
        <v>0</v>
      </c>
      <c r="X142" s="509" t="str">
        <f>W142+U142+S142</f>
        <v>0</v>
      </c>
      <c r="Y142" s="514" t="str">
        <f>-$F$19</f>
        <v>0</v>
      </c>
      <c r="Z142" s="365">
        <v>0</v>
      </c>
      <c r="AA142" s="478" t="str">
        <f>-$F$21</f>
        <v>0</v>
      </c>
      <c r="AB142" s="509" t="str">
        <f>SUM(Y142:AA142)</f>
        <v>0</v>
      </c>
    </row>
    <row r="143" spans="1:30">
      <c r="O143" s="493" t="s">
        <v>97</v>
      </c>
      <c r="P143" s="105" t="s">
        <v>146</v>
      </c>
      <c r="Q143" s="496" t="str">
        <f>O143&amp;P143</f>
        <v>0</v>
      </c>
      <c r="R143" s="514">
        <v>3</v>
      </c>
      <c r="S143" s="365" t="str">
        <f>-R143*$F$15</f>
        <v>0</v>
      </c>
      <c r="T143" s="365">
        <v>1</v>
      </c>
      <c r="U143" s="365" t="str">
        <f>-T143*$F$16</f>
        <v>0</v>
      </c>
      <c r="V143" s="89">
        <v>0</v>
      </c>
      <c r="W143" s="518" t="str">
        <f>V143*-$F$17</f>
        <v>0</v>
      </c>
      <c r="X143" s="509" t="str">
        <f>W143+U143+S143</f>
        <v>0</v>
      </c>
      <c r="Y143" s="514" t="str">
        <f>-$F$19</f>
        <v>0</v>
      </c>
      <c r="Z143" s="365">
        <v>0</v>
      </c>
      <c r="AA143" s="478" t="str">
        <f>-$F$21</f>
        <v>0</v>
      </c>
      <c r="AB143" s="509" t="str">
        <f>SUM(Y143:AA143)</f>
        <v>0</v>
      </c>
    </row>
    <row r="144" spans="1:30">
      <c r="O144" s="493" t="s">
        <v>97</v>
      </c>
      <c r="P144" s="105" t="s">
        <v>147</v>
      </c>
      <c r="Q144" s="496" t="str">
        <f>O144&amp;P144</f>
        <v>0</v>
      </c>
      <c r="R144" s="514">
        <v>4</v>
      </c>
      <c r="S144" s="365" t="str">
        <f>-R144*$F$15</f>
        <v>0</v>
      </c>
      <c r="T144" s="365">
        <v>1</v>
      </c>
      <c r="U144" s="365" t="str">
        <f>-T144*$F$16</f>
        <v>0</v>
      </c>
      <c r="V144" s="89">
        <v>0</v>
      </c>
      <c r="W144" s="518" t="str">
        <f>V144*-$F$17</f>
        <v>0</v>
      </c>
      <c r="X144" s="509" t="str">
        <f>W144+U144+S144</f>
        <v>0</v>
      </c>
      <c r="Y144" s="514" t="str">
        <f>-$F$19</f>
        <v>0</v>
      </c>
      <c r="Z144" s="365">
        <v>0</v>
      </c>
      <c r="AA144" s="478" t="str">
        <f>-$F$21</f>
        <v>0</v>
      </c>
      <c r="AB144" s="509" t="str">
        <f>SUM(Y144:AA144)</f>
        <v>0</v>
      </c>
    </row>
    <row r="145" spans="1:30">
      <c r="O145" s="493" t="s">
        <v>97</v>
      </c>
      <c r="P145" s="105" t="s">
        <v>148</v>
      </c>
      <c r="Q145" s="496" t="str">
        <f>O145&amp;P145</f>
        <v>0</v>
      </c>
      <c r="R145" s="514">
        <v>1</v>
      </c>
      <c r="S145" s="365" t="str">
        <f>-R145*$F$15</f>
        <v>0</v>
      </c>
      <c r="T145" s="365">
        <v>0</v>
      </c>
      <c r="U145" s="365" t="str">
        <f>-T145*$F$16</f>
        <v>0</v>
      </c>
      <c r="V145" s="89">
        <v>1</v>
      </c>
      <c r="W145" s="518" t="str">
        <f>V145*-$F$17</f>
        <v>0</v>
      </c>
      <c r="X145" s="509" t="str">
        <f>W145+U145+S145</f>
        <v>0</v>
      </c>
      <c r="Y145" s="514" t="str">
        <f>-$F$19</f>
        <v>0</v>
      </c>
      <c r="Z145" s="365" t="str">
        <f>-$F$20</f>
        <v>0</v>
      </c>
      <c r="AA145" s="478" t="str">
        <f>-$F$21</f>
        <v>0</v>
      </c>
      <c r="AB145" s="509" t="str">
        <f>SUM(Y145:AA145)</f>
        <v>0</v>
      </c>
    </row>
    <row r="146" spans="1:30">
      <c r="O146" s="493" t="s">
        <v>97</v>
      </c>
      <c r="P146" s="105" t="s">
        <v>149</v>
      </c>
      <c r="Q146" s="496" t="str">
        <f>O146&amp;P146</f>
        <v>0</v>
      </c>
      <c r="R146" s="514">
        <v>1</v>
      </c>
      <c r="S146" s="365" t="str">
        <f>-R146*$F$15</f>
        <v>0</v>
      </c>
      <c r="T146" s="365">
        <v>0</v>
      </c>
      <c r="U146" s="365" t="str">
        <f>-T146*$F$16</f>
        <v>0</v>
      </c>
      <c r="V146" s="89">
        <v>1</v>
      </c>
      <c r="W146" s="518" t="str">
        <f>V146*-$F$17</f>
        <v>0</v>
      </c>
      <c r="X146" s="509" t="str">
        <f>W146+U146+S146</f>
        <v>0</v>
      </c>
      <c r="Y146" s="514" t="str">
        <f>-$F$19</f>
        <v>0</v>
      </c>
      <c r="Z146" s="365" t="str">
        <f>-$F$20</f>
        <v>0</v>
      </c>
      <c r="AA146" s="478" t="str">
        <f>-$F$21</f>
        <v>0</v>
      </c>
      <c r="AB146" s="509" t="str">
        <f>SUM(Y146:AA146)</f>
        <v>0</v>
      </c>
    </row>
    <row r="147" spans="1:30" customHeight="1" ht="12.75">
      <c r="O147" s="494" t="s">
        <v>97</v>
      </c>
      <c r="P147" s="495" t="s">
        <v>150</v>
      </c>
      <c r="Q147" s="497" t="str">
        <f>O147&amp;P147</f>
        <v>0</v>
      </c>
      <c r="R147" s="454">
        <v>2</v>
      </c>
      <c r="S147" s="455" t="str">
        <f>-R147*$F$15</f>
        <v>0</v>
      </c>
      <c r="T147" s="455">
        <v>1</v>
      </c>
      <c r="U147" s="455" t="str">
        <f>-T147*$F$16</f>
        <v>0</v>
      </c>
      <c r="V147" s="519">
        <v>0</v>
      </c>
      <c r="W147" s="520" t="str">
        <f>V147*-$F$17</f>
        <v>0</v>
      </c>
      <c r="X147" s="510" t="str">
        <f>W147+U147+S147</f>
        <v>0</v>
      </c>
      <c r="Y147" s="462" t="str">
        <f>-$F$19</f>
        <v>0</v>
      </c>
      <c r="Z147" s="463" t="str">
        <f>-$F$20</f>
        <v>0</v>
      </c>
      <c r="AA147" s="532" t="str">
        <f>-$F$21</f>
        <v>0</v>
      </c>
      <c r="AB147" s="510" t="str">
        <f>SUM(Y147:AA147)</f>
        <v>0</v>
      </c>
    </row>
    <row r="148" spans="1:30">
      <c r="O148" s="491" t="s">
        <v>98</v>
      </c>
      <c r="P148" s="492" t="s">
        <v>141</v>
      </c>
      <c r="Q148" s="489" t="str">
        <f>O148&amp;P148</f>
        <v>0</v>
      </c>
      <c r="R148" s="513">
        <v>1</v>
      </c>
      <c r="S148" s="490" t="str">
        <f>-R148*$F$15</f>
        <v>0</v>
      </c>
      <c r="T148" s="490">
        <v>0</v>
      </c>
      <c r="U148" s="490" t="str">
        <f>-T148*$F$16</f>
        <v>0</v>
      </c>
      <c r="V148" s="88">
        <v>1</v>
      </c>
      <c r="W148" s="517" t="str">
        <f>V148*-$F$17</f>
        <v>0</v>
      </c>
      <c r="X148" s="508" t="str">
        <f>W148+U148+S148</f>
        <v>0</v>
      </c>
      <c r="Y148" s="514" t="str">
        <f>-$F$19</f>
        <v>0</v>
      </c>
      <c r="Z148" s="365">
        <v>0</v>
      </c>
      <c r="AA148" s="478" t="str">
        <f>-$F$21</f>
        <v>0</v>
      </c>
      <c r="AB148" s="509" t="str">
        <f>SUM(Y148:AA148)</f>
        <v>0</v>
      </c>
    </row>
    <row r="149" spans="1:30">
      <c r="O149" s="493" t="s">
        <v>98</v>
      </c>
      <c r="P149" s="105" t="s">
        <v>142</v>
      </c>
      <c r="Q149" s="496" t="str">
        <f>O149&amp;P149</f>
        <v>0</v>
      </c>
      <c r="R149" s="514">
        <v>1</v>
      </c>
      <c r="S149" s="365" t="str">
        <f>-R149*$F$15</f>
        <v>0</v>
      </c>
      <c r="T149" s="365">
        <v>0</v>
      </c>
      <c r="U149" s="365" t="str">
        <f>-T149*$F$16</f>
        <v>0</v>
      </c>
      <c r="V149" s="89">
        <v>1</v>
      </c>
      <c r="W149" s="518" t="str">
        <f>V149*-$F$17</f>
        <v>0</v>
      </c>
      <c r="X149" s="509" t="str">
        <f>W149+U149+S149</f>
        <v>0</v>
      </c>
      <c r="Y149" s="514" t="str">
        <f>-$F$19</f>
        <v>0</v>
      </c>
      <c r="Z149" s="365">
        <v>0</v>
      </c>
      <c r="AA149" s="478" t="str">
        <f>-$F$21</f>
        <v>0</v>
      </c>
      <c r="AB149" s="509" t="str">
        <f>SUM(Y149:AA149)</f>
        <v>0</v>
      </c>
    </row>
    <row r="150" spans="1:30">
      <c r="O150" s="493" t="s">
        <v>98</v>
      </c>
      <c r="P150" s="105" t="s">
        <v>87</v>
      </c>
      <c r="Q150" s="496" t="str">
        <f>O150&amp;P150</f>
        <v>0</v>
      </c>
      <c r="R150" s="514">
        <v>2</v>
      </c>
      <c r="S150" s="365" t="str">
        <f>-R150*$F$15</f>
        <v>0</v>
      </c>
      <c r="T150" s="365">
        <v>1</v>
      </c>
      <c r="U150" s="365" t="str">
        <f>-T150*$F$16</f>
        <v>0</v>
      </c>
      <c r="V150" s="89">
        <v>0</v>
      </c>
      <c r="W150" s="518" t="str">
        <f>V150*-$F$17</f>
        <v>0</v>
      </c>
      <c r="X150" s="509" t="str">
        <f>W150+U150+S150</f>
        <v>0</v>
      </c>
      <c r="Y150" s="514" t="str">
        <f>-$F$19</f>
        <v>0</v>
      </c>
      <c r="Z150" s="365">
        <v>0</v>
      </c>
      <c r="AA150" s="478" t="str">
        <f>-$F$21</f>
        <v>0</v>
      </c>
      <c r="AB150" s="509" t="str">
        <f>SUM(Y150:AA150)</f>
        <v>0</v>
      </c>
    </row>
    <row r="151" spans="1:30">
      <c r="O151" s="493" t="s">
        <v>98</v>
      </c>
      <c r="P151" s="105" t="s">
        <v>143</v>
      </c>
      <c r="Q151" s="496" t="str">
        <f>O151&amp;P151</f>
        <v>0</v>
      </c>
      <c r="R151" s="514">
        <v>2</v>
      </c>
      <c r="S151" s="365" t="str">
        <f>-R151*$F$15</f>
        <v>0</v>
      </c>
      <c r="T151" s="365">
        <v>0</v>
      </c>
      <c r="U151" s="365" t="str">
        <f>-T151*$F$16</f>
        <v>0</v>
      </c>
      <c r="V151" s="89">
        <v>1</v>
      </c>
      <c r="W151" s="518" t="str">
        <f>V151*-$F$17</f>
        <v>0</v>
      </c>
      <c r="X151" s="509" t="str">
        <f>W151+U151+S151</f>
        <v>0</v>
      </c>
      <c r="Y151" s="514" t="str">
        <f>-$F$19</f>
        <v>0</v>
      </c>
      <c r="Z151" s="365">
        <v>0</v>
      </c>
      <c r="AA151" s="478" t="str">
        <f>-$F$21</f>
        <v>0</v>
      </c>
      <c r="AB151" s="509" t="str">
        <f>SUM(Y151:AA151)</f>
        <v>0</v>
      </c>
    </row>
    <row r="152" spans="1:30">
      <c r="O152" s="493" t="s">
        <v>98</v>
      </c>
      <c r="P152" s="105" t="s">
        <v>144</v>
      </c>
      <c r="Q152" s="496" t="str">
        <f>O152&amp;P152</f>
        <v>0</v>
      </c>
      <c r="R152" s="514">
        <v>2</v>
      </c>
      <c r="S152" s="365" t="str">
        <f>-R152*$F$15</f>
        <v>0</v>
      </c>
      <c r="T152" s="365">
        <v>0</v>
      </c>
      <c r="U152" s="365" t="str">
        <f>-T152*$F$16</f>
        <v>0</v>
      </c>
      <c r="V152" s="89">
        <v>1</v>
      </c>
      <c r="W152" s="518" t="str">
        <f>V152*-$F$17</f>
        <v>0</v>
      </c>
      <c r="X152" s="509" t="str">
        <f>W152+U152+S152</f>
        <v>0</v>
      </c>
      <c r="Y152" s="514" t="str">
        <f>-$F$19</f>
        <v>0</v>
      </c>
      <c r="Z152" s="365">
        <v>0</v>
      </c>
      <c r="AA152" s="478" t="str">
        <f>-$F$21</f>
        <v>0</v>
      </c>
      <c r="AB152" s="509" t="str">
        <f>SUM(Y152:AA152)</f>
        <v>0</v>
      </c>
    </row>
    <row r="153" spans="1:30">
      <c r="O153" s="493" t="s">
        <v>98</v>
      </c>
      <c r="P153" s="105" t="s">
        <v>145</v>
      </c>
      <c r="Q153" s="496" t="str">
        <f>O153&amp;P153</f>
        <v>0</v>
      </c>
      <c r="R153" s="514">
        <v>3</v>
      </c>
      <c r="S153" s="365" t="str">
        <f>-R153*$F$15</f>
        <v>0</v>
      </c>
      <c r="T153" s="365">
        <v>1</v>
      </c>
      <c r="U153" s="365" t="str">
        <f>-T153*$F$16</f>
        <v>0</v>
      </c>
      <c r="V153" s="89">
        <v>0</v>
      </c>
      <c r="W153" s="518" t="str">
        <f>V153*-$F$17</f>
        <v>0</v>
      </c>
      <c r="X153" s="509" t="str">
        <f>W153+U153+S153</f>
        <v>0</v>
      </c>
      <c r="Y153" s="514" t="str">
        <f>-$F$19</f>
        <v>0</v>
      </c>
      <c r="Z153" s="365">
        <v>0</v>
      </c>
      <c r="AA153" s="478" t="str">
        <f>-$F$21</f>
        <v>0</v>
      </c>
      <c r="AB153" s="509" t="str">
        <f>SUM(Y153:AA153)</f>
        <v>0</v>
      </c>
    </row>
    <row r="154" spans="1:30">
      <c r="O154" s="493" t="s">
        <v>98</v>
      </c>
      <c r="P154" s="105" t="s">
        <v>146</v>
      </c>
      <c r="Q154" s="496" t="str">
        <f>O154&amp;P154</f>
        <v>0</v>
      </c>
      <c r="R154" s="514">
        <v>3</v>
      </c>
      <c r="S154" s="365" t="str">
        <f>-R154*$F$15</f>
        <v>0</v>
      </c>
      <c r="T154" s="365">
        <v>1</v>
      </c>
      <c r="U154" s="365" t="str">
        <f>-T154*$F$16</f>
        <v>0</v>
      </c>
      <c r="V154" s="89">
        <v>0</v>
      </c>
      <c r="W154" s="518" t="str">
        <f>V154*-$F$17</f>
        <v>0</v>
      </c>
      <c r="X154" s="509" t="str">
        <f>W154+U154+S154</f>
        <v>0</v>
      </c>
      <c r="Y154" s="514" t="str">
        <f>-$F$19</f>
        <v>0</v>
      </c>
      <c r="Z154" s="365">
        <v>0</v>
      </c>
      <c r="AA154" s="478" t="str">
        <f>-$F$21</f>
        <v>0</v>
      </c>
      <c r="AB154" s="509" t="str">
        <f>SUM(Y154:AA154)</f>
        <v>0</v>
      </c>
    </row>
    <row r="155" spans="1:30">
      <c r="O155" s="493" t="s">
        <v>98</v>
      </c>
      <c r="P155" s="105" t="s">
        <v>147</v>
      </c>
      <c r="Q155" s="496" t="str">
        <f>O155&amp;P155</f>
        <v>0</v>
      </c>
      <c r="R155" s="514">
        <v>4</v>
      </c>
      <c r="S155" s="365" t="str">
        <f>-R155*$F$15</f>
        <v>0</v>
      </c>
      <c r="T155" s="365">
        <v>1</v>
      </c>
      <c r="U155" s="365" t="str">
        <f>-T155*$F$16</f>
        <v>0</v>
      </c>
      <c r="V155" s="89">
        <v>0</v>
      </c>
      <c r="W155" s="518" t="str">
        <f>V155*-$F$17</f>
        <v>0</v>
      </c>
      <c r="X155" s="509" t="str">
        <f>W155+U155+S155</f>
        <v>0</v>
      </c>
      <c r="Y155" s="514" t="str">
        <f>-$F$19</f>
        <v>0</v>
      </c>
      <c r="Z155" s="365">
        <v>0</v>
      </c>
      <c r="AA155" s="478" t="str">
        <f>-$F$21</f>
        <v>0</v>
      </c>
      <c r="AB155" s="509" t="str">
        <f>SUM(Y155:AA155)</f>
        <v>0</v>
      </c>
    </row>
    <row r="156" spans="1:30">
      <c r="O156" s="493" t="s">
        <v>98</v>
      </c>
      <c r="P156" s="105" t="s">
        <v>148</v>
      </c>
      <c r="Q156" s="496" t="str">
        <f>O156&amp;P156</f>
        <v>0</v>
      </c>
      <c r="R156" s="514">
        <v>1</v>
      </c>
      <c r="S156" s="365" t="str">
        <f>-R156*$F$15</f>
        <v>0</v>
      </c>
      <c r="T156" s="365">
        <v>0</v>
      </c>
      <c r="U156" s="365" t="str">
        <f>-T156*$F$16</f>
        <v>0</v>
      </c>
      <c r="V156" s="89">
        <v>1</v>
      </c>
      <c r="W156" s="518" t="str">
        <f>V156*-$F$17</f>
        <v>0</v>
      </c>
      <c r="X156" s="509" t="str">
        <f>W156+U156+S156</f>
        <v>0</v>
      </c>
      <c r="Y156" s="514" t="str">
        <f>-$F$19</f>
        <v>0</v>
      </c>
      <c r="Z156" s="365" t="str">
        <f>-$F$20</f>
        <v>0</v>
      </c>
      <c r="AA156" s="478" t="str">
        <f>-$F$21</f>
        <v>0</v>
      </c>
      <c r="AB156" s="509" t="str">
        <f>SUM(Y156:AA156)</f>
        <v>0</v>
      </c>
    </row>
    <row r="157" spans="1:30">
      <c r="O157" s="493" t="s">
        <v>98</v>
      </c>
      <c r="P157" s="105" t="s">
        <v>149</v>
      </c>
      <c r="Q157" s="496" t="str">
        <f>O157&amp;P157</f>
        <v>0</v>
      </c>
      <c r="R157" s="514">
        <v>1</v>
      </c>
      <c r="S157" s="365" t="str">
        <f>-R157*$F$15</f>
        <v>0</v>
      </c>
      <c r="T157" s="365">
        <v>0</v>
      </c>
      <c r="U157" s="365" t="str">
        <f>-T157*$F$16</f>
        <v>0</v>
      </c>
      <c r="V157" s="89">
        <v>1</v>
      </c>
      <c r="W157" s="518" t="str">
        <f>V157*-$F$17</f>
        <v>0</v>
      </c>
      <c r="X157" s="509" t="str">
        <f>W157+U157+S157</f>
        <v>0</v>
      </c>
      <c r="Y157" s="514" t="str">
        <f>-$F$19</f>
        <v>0</v>
      </c>
      <c r="Z157" s="365" t="str">
        <f>-$F$20</f>
        <v>0</v>
      </c>
      <c r="AA157" s="478" t="str">
        <f>-$F$21</f>
        <v>0</v>
      </c>
      <c r="AB157" s="509" t="str">
        <f>SUM(Y157:AA157)</f>
        <v>0</v>
      </c>
    </row>
    <row r="158" spans="1:30" customHeight="1" ht="12.75">
      <c r="O158" s="494" t="s">
        <v>98</v>
      </c>
      <c r="P158" s="495" t="s">
        <v>150</v>
      </c>
      <c r="Q158" s="497" t="str">
        <f>O158&amp;P158</f>
        <v>0</v>
      </c>
      <c r="R158" s="454">
        <v>2</v>
      </c>
      <c r="S158" s="455" t="str">
        <f>-R158*$F$15</f>
        <v>0</v>
      </c>
      <c r="T158" s="455">
        <v>1</v>
      </c>
      <c r="U158" s="455" t="str">
        <f>-T158*$F$16</f>
        <v>0</v>
      </c>
      <c r="V158" s="519">
        <v>0</v>
      </c>
      <c r="W158" s="520" t="str">
        <f>V158*-$F$17</f>
        <v>0</v>
      </c>
      <c r="X158" s="510" t="str">
        <f>W158+U158+S158</f>
        <v>0</v>
      </c>
      <c r="Y158" s="514" t="str">
        <f>-$F$19</f>
        <v>0</v>
      </c>
      <c r="Z158" s="365" t="str">
        <f>-$F$20</f>
        <v>0</v>
      </c>
      <c r="AA158" s="478" t="str">
        <f>-$F$21</f>
        <v>0</v>
      </c>
      <c r="AB158" s="509" t="str">
        <f>SUM(Y158:AA158)</f>
        <v>0</v>
      </c>
    </row>
    <row r="159" spans="1:30">
      <c r="O159" s="491" t="s">
        <v>99</v>
      </c>
      <c r="P159" s="492" t="s">
        <v>141</v>
      </c>
      <c r="Q159" s="489" t="str">
        <f>O159&amp;P159</f>
        <v>0</v>
      </c>
      <c r="R159" s="513">
        <v>1</v>
      </c>
      <c r="S159" s="490" t="str">
        <f>-R159*$F$15</f>
        <v>0</v>
      </c>
      <c r="T159" s="490">
        <v>0</v>
      </c>
      <c r="U159" s="490" t="str">
        <f>-T159*$F$16</f>
        <v>0</v>
      </c>
      <c r="V159" s="88">
        <v>1</v>
      </c>
      <c r="W159" s="517" t="str">
        <f>V159*-$F$17</f>
        <v>0</v>
      </c>
      <c r="X159" s="508" t="str">
        <f>W159+U159+S159</f>
        <v>0</v>
      </c>
      <c r="Y159" s="513" t="str">
        <f>-$F$19</f>
        <v>0</v>
      </c>
      <c r="Z159" s="490">
        <v>0</v>
      </c>
      <c r="AA159" s="531" t="str">
        <f>-$F$21</f>
        <v>0</v>
      </c>
      <c r="AB159" s="508" t="str">
        <f>SUM(Y159:AA159)</f>
        <v>0</v>
      </c>
    </row>
    <row r="160" spans="1:30">
      <c r="O160" s="493" t="s">
        <v>99</v>
      </c>
      <c r="P160" s="105" t="s">
        <v>142</v>
      </c>
      <c r="Q160" s="496" t="str">
        <f>O160&amp;P160</f>
        <v>0</v>
      </c>
      <c r="R160" s="514">
        <v>1</v>
      </c>
      <c r="S160" s="365" t="str">
        <f>-R160*$F$15</f>
        <v>0</v>
      </c>
      <c r="T160" s="365">
        <v>0</v>
      </c>
      <c r="U160" s="365" t="str">
        <f>-T160*$F$16</f>
        <v>0</v>
      </c>
      <c r="V160" s="89">
        <v>1</v>
      </c>
      <c r="W160" s="518" t="str">
        <f>V160*-$F$17</f>
        <v>0</v>
      </c>
      <c r="X160" s="509" t="str">
        <f>W160+U160+S160</f>
        <v>0</v>
      </c>
      <c r="Y160" s="514" t="str">
        <f>-$F$19</f>
        <v>0</v>
      </c>
      <c r="Z160" s="365">
        <v>0</v>
      </c>
      <c r="AA160" s="478" t="str">
        <f>-$F$21</f>
        <v>0</v>
      </c>
      <c r="AB160" s="509" t="str">
        <f>SUM(Y160:AA160)</f>
        <v>0</v>
      </c>
    </row>
    <row r="161" spans="1:30">
      <c r="O161" s="493" t="s">
        <v>99</v>
      </c>
      <c r="P161" s="105" t="s">
        <v>87</v>
      </c>
      <c r="Q161" s="496" t="str">
        <f>O161&amp;P161</f>
        <v>0</v>
      </c>
      <c r="R161" s="514">
        <v>2</v>
      </c>
      <c r="S161" s="365" t="str">
        <f>-R161*$F$15</f>
        <v>0</v>
      </c>
      <c r="T161" s="365">
        <v>1</v>
      </c>
      <c r="U161" s="365" t="str">
        <f>-T161*$F$16</f>
        <v>0</v>
      </c>
      <c r="V161" s="89">
        <v>0</v>
      </c>
      <c r="W161" s="518" t="str">
        <f>V161*-$F$17</f>
        <v>0</v>
      </c>
      <c r="X161" s="509" t="str">
        <f>W161+U161+S161</f>
        <v>0</v>
      </c>
      <c r="Y161" s="514" t="str">
        <f>-$F$19</f>
        <v>0</v>
      </c>
      <c r="Z161" s="365">
        <v>0</v>
      </c>
      <c r="AA161" s="478" t="str">
        <f>-$F$21</f>
        <v>0</v>
      </c>
      <c r="AB161" s="509" t="str">
        <f>SUM(Y161:AA161)</f>
        <v>0</v>
      </c>
    </row>
    <row r="162" spans="1:30">
      <c r="O162" s="493" t="s">
        <v>99</v>
      </c>
      <c r="P162" s="105" t="s">
        <v>143</v>
      </c>
      <c r="Q162" s="496" t="str">
        <f>O162&amp;P162</f>
        <v>0</v>
      </c>
      <c r="R162" s="514">
        <v>2</v>
      </c>
      <c r="S162" s="365" t="str">
        <f>-R162*$F$15</f>
        <v>0</v>
      </c>
      <c r="T162" s="365">
        <v>0</v>
      </c>
      <c r="U162" s="365" t="str">
        <f>-T162*$F$16</f>
        <v>0</v>
      </c>
      <c r="V162" s="89">
        <v>1</v>
      </c>
      <c r="W162" s="518" t="str">
        <f>V162*-$F$17</f>
        <v>0</v>
      </c>
      <c r="X162" s="509" t="str">
        <f>W162+U162+S162</f>
        <v>0</v>
      </c>
      <c r="Y162" s="514" t="str">
        <f>-$F$19</f>
        <v>0</v>
      </c>
      <c r="Z162" s="365">
        <v>0</v>
      </c>
      <c r="AA162" s="478" t="str">
        <f>-$F$21</f>
        <v>0</v>
      </c>
      <c r="AB162" s="509" t="str">
        <f>SUM(Y162:AA162)</f>
        <v>0</v>
      </c>
    </row>
    <row r="163" spans="1:30">
      <c r="O163" s="493" t="s">
        <v>99</v>
      </c>
      <c r="P163" s="105" t="s">
        <v>144</v>
      </c>
      <c r="Q163" s="496" t="str">
        <f>O163&amp;P163</f>
        <v>0</v>
      </c>
      <c r="R163" s="514">
        <v>2</v>
      </c>
      <c r="S163" s="365" t="str">
        <f>-R163*$F$15</f>
        <v>0</v>
      </c>
      <c r="T163" s="365">
        <v>0</v>
      </c>
      <c r="U163" s="365" t="str">
        <f>-T163*$F$16</f>
        <v>0</v>
      </c>
      <c r="V163" s="89">
        <v>1</v>
      </c>
      <c r="W163" s="518" t="str">
        <f>V163*-$F$17</f>
        <v>0</v>
      </c>
      <c r="X163" s="509" t="str">
        <f>W163+U163+S163</f>
        <v>0</v>
      </c>
      <c r="Y163" s="514" t="str">
        <f>-$F$19</f>
        <v>0</v>
      </c>
      <c r="Z163" s="365">
        <v>0</v>
      </c>
      <c r="AA163" s="478" t="str">
        <f>-$F$21</f>
        <v>0</v>
      </c>
      <c r="AB163" s="509" t="str">
        <f>SUM(Y163:AA163)</f>
        <v>0</v>
      </c>
    </row>
    <row r="164" spans="1:30">
      <c r="O164" s="493" t="s">
        <v>99</v>
      </c>
      <c r="P164" s="105" t="s">
        <v>145</v>
      </c>
      <c r="Q164" s="496" t="str">
        <f>O164&amp;P164</f>
        <v>0</v>
      </c>
      <c r="R164" s="514">
        <v>3</v>
      </c>
      <c r="S164" s="365" t="str">
        <f>-R164*$F$15</f>
        <v>0</v>
      </c>
      <c r="T164" s="365">
        <v>1</v>
      </c>
      <c r="U164" s="365" t="str">
        <f>-T164*$F$16</f>
        <v>0</v>
      </c>
      <c r="V164" s="89">
        <v>0</v>
      </c>
      <c r="W164" s="518" t="str">
        <f>V164*-$F$17</f>
        <v>0</v>
      </c>
      <c r="X164" s="509" t="str">
        <f>W164+U164+S164</f>
        <v>0</v>
      </c>
      <c r="Y164" s="514" t="str">
        <f>-$F$19</f>
        <v>0</v>
      </c>
      <c r="Z164" s="365">
        <v>0</v>
      </c>
      <c r="AA164" s="478" t="str">
        <f>-$F$21</f>
        <v>0</v>
      </c>
      <c r="AB164" s="509" t="str">
        <f>SUM(Y164:AA164)</f>
        <v>0</v>
      </c>
    </row>
    <row r="165" spans="1:30">
      <c r="O165" s="493" t="s">
        <v>99</v>
      </c>
      <c r="P165" s="105" t="s">
        <v>146</v>
      </c>
      <c r="Q165" s="496" t="str">
        <f>O165&amp;P165</f>
        <v>0</v>
      </c>
      <c r="R165" s="514">
        <v>3</v>
      </c>
      <c r="S165" s="365" t="str">
        <f>-R165*$F$15</f>
        <v>0</v>
      </c>
      <c r="T165" s="365">
        <v>1</v>
      </c>
      <c r="U165" s="365" t="str">
        <f>-T165*$F$16</f>
        <v>0</v>
      </c>
      <c r="V165" s="89">
        <v>0</v>
      </c>
      <c r="W165" s="518" t="str">
        <f>V165*-$F$17</f>
        <v>0</v>
      </c>
      <c r="X165" s="509" t="str">
        <f>W165+U165+S165</f>
        <v>0</v>
      </c>
      <c r="Y165" s="514" t="str">
        <f>-$F$19</f>
        <v>0</v>
      </c>
      <c r="Z165" s="365">
        <v>0</v>
      </c>
      <c r="AA165" s="478" t="str">
        <f>-$F$21</f>
        <v>0</v>
      </c>
      <c r="AB165" s="509" t="str">
        <f>SUM(Y165:AA165)</f>
        <v>0</v>
      </c>
    </row>
    <row r="166" spans="1:30">
      <c r="O166" s="493" t="s">
        <v>99</v>
      </c>
      <c r="P166" s="105" t="s">
        <v>147</v>
      </c>
      <c r="Q166" s="496" t="str">
        <f>O166&amp;P166</f>
        <v>0</v>
      </c>
      <c r="R166" s="514">
        <v>4</v>
      </c>
      <c r="S166" s="365" t="str">
        <f>-R166*$F$15</f>
        <v>0</v>
      </c>
      <c r="T166" s="365">
        <v>1</v>
      </c>
      <c r="U166" s="365" t="str">
        <f>-T166*$F$16</f>
        <v>0</v>
      </c>
      <c r="V166" s="89">
        <v>0</v>
      </c>
      <c r="W166" s="518" t="str">
        <f>V166*-$F$17</f>
        <v>0</v>
      </c>
      <c r="X166" s="509" t="str">
        <f>W166+U166+S166</f>
        <v>0</v>
      </c>
      <c r="Y166" s="514" t="str">
        <f>-$F$19</f>
        <v>0</v>
      </c>
      <c r="Z166" s="365">
        <v>0</v>
      </c>
      <c r="AA166" s="478" t="str">
        <f>-$F$21</f>
        <v>0</v>
      </c>
      <c r="AB166" s="509" t="str">
        <f>SUM(Y166:AA166)</f>
        <v>0</v>
      </c>
    </row>
    <row r="167" spans="1:30">
      <c r="O167" s="493" t="s">
        <v>99</v>
      </c>
      <c r="P167" s="105" t="s">
        <v>148</v>
      </c>
      <c r="Q167" s="496" t="str">
        <f>O167&amp;P167</f>
        <v>0</v>
      </c>
      <c r="R167" s="514">
        <v>1</v>
      </c>
      <c r="S167" s="365" t="str">
        <f>-R167*$F$15</f>
        <v>0</v>
      </c>
      <c r="T167" s="365">
        <v>0</v>
      </c>
      <c r="U167" s="365" t="str">
        <f>-T167*$F$16</f>
        <v>0</v>
      </c>
      <c r="V167" s="89">
        <v>1</v>
      </c>
      <c r="W167" s="518" t="str">
        <f>V167*-$F$17</f>
        <v>0</v>
      </c>
      <c r="X167" s="509" t="str">
        <f>W167+U167+S167</f>
        <v>0</v>
      </c>
      <c r="Y167" s="514" t="str">
        <f>-$F$19</f>
        <v>0</v>
      </c>
      <c r="Z167" s="365" t="str">
        <f>-$F$20</f>
        <v>0</v>
      </c>
      <c r="AA167" s="478" t="str">
        <f>-$F$21</f>
        <v>0</v>
      </c>
      <c r="AB167" s="509" t="str">
        <f>SUM(Y167:AA167)</f>
        <v>0</v>
      </c>
    </row>
    <row r="168" spans="1:30">
      <c r="O168" s="493" t="s">
        <v>99</v>
      </c>
      <c r="P168" s="105" t="s">
        <v>149</v>
      </c>
      <c r="Q168" s="496" t="str">
        <f>O168&amp;P168</f>
        <v>0</v>
      </c>
      <c r="R168" s="514">
        <v>1</v>
      </c>
      <c r="S168" s="365" t="str">
        <f>-R168*$F$15</f>
        <v>0</v>
      </c>
      <c r="T168" s="365">
        <v>0</v>
      </c>
      <c r="U168" s="365" t="str">
        <f>-T168*$F$16</f>
        <v>0</v>
      </c>
      <c r="V168" s="89">
        <v>1</v>
      </c>
      <c r="W168" s="518" t="str">
        <f>V168*-$F$17</f>
        <v>0</v>
      </c>
      <c r="X168" s="509" t="str">
        <f>W168+U168+S168</f>
        <v>0</v>
      </c>
      <c r="Y168" s="514" t="str">
        <f>-$F$19</f>
        <v>0</v>
      </c>
      <c r="Z168" s="365" t="str">
        <f>-$F$20</f>
        <v>0</v>
      </c>
      <c r="AA168" s="478" t="str">
        <f>-$F$21</f>
        <v>0</v>
      </c>
      <c r="AB168" s="509" t="str">
        <f>SUM(Y168:AA168)</f>
        <v>0</v>
      </c>
    </row>
    <row r="169" spans="1:30" customHeight="1" ht="12.75">
      <c r="O169" s="494" t="s">
        <v>99</v>
      </c>
      <c r="P169" s="495" t="s">
        <v>150</v>
      </c>
      <c r="Q169" s="497" t="str">
        <f>O169&amp;P169</f>
        <v>0</v>
      </c>
      <c r="R169" s="454">
        <v>2</v>
      </c>
      <c r="S169" s="455" t="str">
        <f>-R169*$F$15</f>
        <v>0</v>
      </c>
      <c r="T169" s="455">
        <v>1</v>
      </c>
      <c r="U169" s="455" t="str">
        <f>-T169*$F$16</f>
        <v>0</v>
      </c>
      <c r="V169" s="519">
        <v>0</v>
      </c>
      <c r="W169" s="520" t="str">
        <f>V169*-$F$17</f>
        <v>0</v>
      </c>
      <c r="X169" s="510" t="str">
        <f>W169+U169+S169</f>
        <v>0</v>
      </c>
      <c r="Y169" s="462" t="str">
        <f>-$F$19</f>
        <v>0</v>
      </c>
      <c r="Z169" s="463" t="str">
        <f>-$F$20</f>
        <v>0</v>
      </c>
      <c r="AA169" s="532" t="str">
        <f>-$F$21</f>
        <v>0</v>
      </c>
      <c r="AB169" s="510" t="str">
        <f>SUM(Y169:AA169)</f>
        <v>0</v>
      </c>
    </row>
    <row r="170" spans="1:30">
      <c r="O170" s="491" t="s">
        <v>100</v>
      </c>
      <c r="P170" s="492" t="s">
        <v>141</v>
      </c>
      <c r="Q170" s="489" t="str">
        <f>O170&amp;P170</f>
        <v>0</v>
      </c>
      <c r="R170" s="513">
        <v>1</v>
      </c>
      <c r="S170" s="490" t="str">
        <f>-R170*$F$15</f>
        <v>0</v>
      </c>
      <c r="T170" s="490">
        <v>0</v>
      </c>
      <c r="U170" s="490" t="str">
        <f>-T170*$F$16</f>
        <v>0</v>
      </c>
      <c r="V170" s="88">
        <v>1</v>
      </c>
      <c r="W170" s="517" t="str">
        <f>V170*-$F$17</f>
        <v>0</v>
      </c>
      <c r="X170" s="508" t="str">
        <f>W170+U170+S170</f>
        <v>0</v>
      </c>
      <c r="Y170" s="514" t="str">
        <f>-$F$19</f>
        <v>0</v>
      </c>
      <c r="Z170" s="365">
        <v>0</v>
      </c>
      <c r="AA170" s="478" t="str">
        <f>-$F$21</f>
        <v>0</v>
      </c>
      <c r="AB170" s="509" t="str">
        <f>SUM(Y170:AA170)</f>
        <v>0</v>
      </c>
    </row>
    <row r="171" spans="1:30">
      <c r="O171" s="493" t="s">
        <v>100</v>
      </c>
      <c r="P171" s="105" t="s">
        <v>142</v>
      </c>
      <c r="Q171" s="496" t="str">
        <f>O171&amp;P171</f>
        <v>0</v>
      </c>
      <c r="R171" s="514">
        <v>1</v>
      </c>
      <c r="S171" s="365" t="str">
        <f>-R171*$F$15</f>
        <v>0</v>
      </c>
      <c r="T171" s="365">
        <v>0</v>
      </c>
      <c r="U171" s="365" t="str">
        <f>-T171*$F$16</f>
        <v>0</v>
      </c>
      <c r="V171" s="89">
        <v>1</v>
      </c>
      <c r="W171" s="518" t="str">
        <f>V171*-$F$17</f>
        <v>0</v>
      </c>
      <c r="X171" s="509" t="str">
        <f>W171+U171+S171</f>
        <v>0</v>
      </c>
      <c r="Y171" s="514" t="str">
        <f>-$F$19</f>
        <v>0</v>
      </c>
      <c r="Z171" s="365">
        <v>0</v>
      </c>
      <c r="AA171" s="478" t="str">
        <f>-$F$21</f>
        <v>0</v>
      </c>
      <c r="AB171" s="509" t="str">
        <f>SUM(Y171:AA171)</f>
        <v>0</v>
      </c>
    </row>
    <row r="172" spans="1:30">
      <c r="O172" s="493" t="s">
        <v>100</v>
      </c>
      <c r="P172" s="105" t="s">
        <v>87</v>
      </c>
      <c r="Q172" s="496" t="str">
        <f>O172&amp;P172</f>
        <v>0</v>
      </c>
      <c r="R172" s="514">
        <v>2</v>
      </c>
      <c r="S172" s="365" t="str">
        <f>-R172*$F$15</f>
        <v>0</v>
      </c>
      <c r="T172" s="365">
        <v>1</v>
      </c>
      <c r="U172" s="365" t="str">
        <f>-T172*$F$16</f>
        <v>0</v>
      </c>
      <c r="V172" s="89">
        <v>0</v>
      </c>
      <c r="W172" s="518" t="str">
        <f>V172*-$F$17</f>
        <v>0</v>
      </c>
      <c r="X172" s="509" t="str">
        <f>W172+U172+S172</f>
        <v>0</v>
      </c>
      <c r="Y172" s="514" t="str">
        <f>-$F$19</f>
        <v>0</v>
      </c>
      <c r="Z172" s="365">
        <v>0</v>
      </c>
      <c r="AA172" s="478" t="str">
        <f>-$F$21</f>
        <v>0</v>
      </c>
      <c r="AB172" s="509" t="str">
        <f>SUM(Y172:AA172)</f>
        <v>0</v>
      </c>
    </row>
    <row r="173" spans="1:30">
      <c r="O173" s="493" t="s">
        <v>100</v>
      </c>
      <c r="P173" s="105" t="s">
        <v>143</v>
      </c>
      <c r="Q173" s="496" t="str">
        <f>O173&amp;P173</f>
        <v>0</v>
      </c>
      <c r="R173" s="514">
        <v>2</v>
      </c>
      <c r="S173" s="365" t="str">
        <f>-R173*$F$15</f>
        <v>0</v>
      </c>
      <c r="T173" s="365">
        <v>0</v>
      </c>
      <c r="U173" s="365" t="str">
        <f>-T173*$F$16</f>
        <v>0</v>
      </c>
      <c r="V173" s="89">
        <v>1</v>
      </c>
      <c r="W173" s="518" t="str">
        <f>V173*-$F$17</f>
        <v>0</v>
      </c>
      <c r="X173" s="509" t="str">
        <f>W173+U173+S173</f>
        <v>0</v>
      </c>
      <c r="Y173" s="514" t="str">
        <f>-$F$19</f>
        <v>0</v>
      </c>
      <c r="Z173" s="365">
        <v>0</v>
      </c>
      <c r="AA173" s="478" t="str">
        <f>-$F$21</f>
        <v>0</v>
      </c>
      <c r="AB173" s="509" t="str">
        <f>SUM(Y173:AA173)</f>
        <v>0</v>
      </c>
    </row>
    <row r="174" spans="1:30">
      <c r="O174" s="493" t="s">
        <v>100</v>
      </c>
      <c r="P174" s="105" t="s">
        <v>144</v>
      </c>
      <c r="Q174" s="496" t="str">
        <f>O174&amp;P174</f>
        <v>0</v>
      </c>
      <c r="R174" s="514">
        <v>2</v>
      </c>
      <c r="S174" s="365" t="str">
        <f>-R174*$F$15</f>
        <v>0</v>
      </c>
      <c r="T174" s="365">
        <v>0</v>
      </c>
      <c r="U174" s="365" t="str">
        <f>-T174*$F$16</f>
        <v>0</v>
      </c>
      <c r="V174" s="89">
        <v>1</v>
      </c>
      <c r="W174" s="518" t="str">
        <f>V174*-$F$17</f>
        <v>0</v>
      </c>
      <c r="X174" s="509" t="str">
        <f>W174+U174+S174</f>
        <v>0</v>
      </c>
      <c r="Y174" s="514" t="str">
        <f>-$F$19</f>
        <v>0</v>
      </c>
      <c r="Z174" s="365">
        <v>0</v>
      </c>
      <c r="AA174" s="478" t="str">
        <f>-$F$21</f>
        <v>0</v>
      </c>
      <c r="AB174" s="509" t="str">
        <f>SUM(Y174:AA174)</f>
        <v>0</v>
      </c>
    </row>
    <row r="175" spans="1:30">
      <c r="O175" s="493" t="s">
        <v>100</v>
      </c>
      <c r="P175" s="105" t="s">
        <v>145</v>
      </c>
      <c r="Q175" s="496" t="str">
        <f>O175&amp;P175</f>
        <v>0</v>
      </c>
      <c r="R175" s="514">
        <v>3</v>
      </c>
      <c r="S175" s="365" t="str">
        <f>-R175*$F$15</f>
        <v>0</v>
      </c>
      <c r="T175" s="365">
        <v>1</v>
      </c>
      <c r="U175" s="365" t="str">
        <f>-T175*$F$16</f>
        <v>0</v>
      </c>
      <c r="V175" s="89">
        <v>0</v>
      </c>
      <c r="W175" s="518" t="str">
        <f>V175*-$F$17</f>
        <v>0</v>
      </c>
      <c r="X175" s="509" t="str">
        <f>W175+U175+S175</f>
        <v>0</v>
      </c>
      <c r="Y175" s="514" t="str">
        <f>-$F$19</f>
        <v>0</v>
      </c>
      <c r="Z175" s="365">
        <v>0</v>
      </c>
      <c r="AA175" s="478" t="str">
        <f>-$F$21</f>
        <v>0</v>
      </c>
      <c r="AB175" s="509" t="str">
        <f>SUM(Y175:AA175)</f>
        <v>0</v>
      </c>
    </row>
    <row r="176" spans="1:30">
      <c r="O176" s="493" t="s">
        <v>100</v>
      </c>
      <c r="P176" s="105" t="s">
        <v>146</v>
      </c>
      <c r="Q176" s="496" t="str">
        <f>O176&amp;P176</f>
        <v>0</v>
      </c>
      <c r="R176" s="514">
        <v>3</v>
      </c>
      <c r="S176" s="365" t="str">
        <f>-R176*$F$15</f>
        <v>0</v>
      </c>
      <c r="T176" s="365">
        <v>1</v>
      </c>
      <c r="U176" s="365" t="str">
        <f>-T176*$F$16</f>
        <v>0</v>
      </c>
      <c r="V176" s="89">
        <v>0</v>
      </c>
      <c r="W176" s="518" t="str">
        <f>V176*-$F$17</f>
        <v>0</v>
      </c>
      <c r="X176" s="509" t="str">
        <f>W176+U176+S176</f>
        <v>0</v>
      </c>
      <c r="Y176" s="514" t="str">
        <f>-$F$19</f>
        <v>0</v>
      </c>
      <c r="Z176" s="365">
        <v>0</v>
      </c>
      <c r="AA176" s="478" t="str">
        <f>-$F$21</f>
        <v>0</v>
      </c>
      <c r="AB176" s="509" t="str">
        <f>SUM(Y176:AA176)</f>
        <v>0</v>
      </c>
    </row>
    <row r="177" spans="1:30">
      <c r="O177" s="493" t="s">
        <v>100</v>
      </c>
      <c r="P177" s="105" t="s">
        <v>147</v>
      </c>
      <c r="Q177" s="496" t="str">
        <f>O177&amp;P177</f>
        <v>0</v>
      </c>
      <c r="R177" s="514">
        <v>4</v>
      </c>
      <c r="S177" s="365" t="str">
        <f>-R177*$F$15</f>
        <v>0</v>
      </c>
      <c r="T177" s="365">
        <v>1</v>
      </c>
      <c r="U177" s="365" t="str">
        <f>-T177*$F$16</f>
        <v>0</v>
      </c>
      <c r="V177" s="89">
        <v>0</v>
      </c>
      <c r="W177" s="518" t="str">
        <f>V177*-$F$17</f>
        <v>0</v>
      </c>
      <c r="X177" s="509" t="str">
        <f>W177+U177+S177</f>
        <v>0</v>
      </c>
      <c r="Y177" s="514" t="str">
        <f>-$F$19</f>
        <v>0</v>
      </c>
      <c r="Z177" s="365">
        <v>0</v>
      </c>
      <c r="AA177" s="478" t="str">
        <f>-$F$21</f>
        <v>0</v>
      </c>
      <c r="AB177" s="509" t="str">
        <f>SUM(Y177:AA177)</f>
        <v>0</v>
      </c>
    </row>
    <row r="178" spans="1:30">
      <c r="O178" s="493" t="s">
        <v>100</v>
      </c>
      <c r="P178" s="105" t="s">
        <v>148</v>
      </c>
      <c r="Q178" s="496" t="str">
        <f>O178&amp;P178</f>
        <v>0</v>
      </c>
      <c r="R178" s="514">
        <v>1</v>
      </c>
      <c r="S178" s="365" t="str">
        <f>-R178*$F$15</f>
        <v>0</v>
      </c>
      <c r="T178" s="365">
        <v>0</v>
      </c>
      <c r="U178" s="365" t="str">
        <f>-T178*$F$16</f>
        <v>0</v>
      </c>
      <c r="V178" s="89">
        <v>1</v>
      </c>
      <c r="W178" s="518" t="str">
        <f>V178*-$F$17</f>
        <v>0</v>
      </c>
      <c r="X178" s="509" t="str">
        <f>W178+U178+S178</f>
        <v>0</v>
      </c>
      <c r="Y178" s="514" t="str">
        <f>-$F$19</f>
        <v>0</v>
      </c>
      <c r="Z178" s="365" t="str">
        <f>-$F$20</f>
        <v>0</v>
      </c>
      <c r="AA178" s="478" t="str">
        <f>-$F$21</f>
        <v>0</v>
      </c>
      <c r="AB178" s="509" t="str">
        <f>SUM(Y178:AA178)</f>
        <v>0</v>
      </c>
    </row>
    <row r="179" spans="1:30">
      <c r="O179" s="493" t="s">
        <v>100</v>
      </c>
      <c r="P179" s="105" t="s">
        <v>149</v>
      </c>
      <c r="Q179" s="496" t="str">
        <f>O179&amp;P179</f>
        <v>0</v>
      </c>
      <c r="R179" s="514">
        <v>1</v>
      </c>
      <c r="S179" s="365" t="str">
        <f>-R179*$F$15</f>
        <v>0</v>
      </c>
      <c r="T179" s="365">
        <v>0</v>
      </c>
      <c r="U179" s="365" t="str">
        <f>-T179*$F$16</f>
        <v>0</v>
      </c>
      <c r="V179" s="89">
        <v>1</v>
      </c>
      <c r="W179" s="518" t="str">
        <f>V179*-$F$17</f>
        <v>0</v>
      </c>
      <c r="X179" s="509" t="str">
        <f>W179+U179+S179</f>
        <v>0</v>
      </c>
      <c r="Y179" s="514" t="str">
        <f>-$F$19</f>
        <v>0</v>
      </c>
      <c r="Z179" s="365" t="str">
        <f>-$F$20</f>
        <v>0</v>
      </c>
      <c r="AA179" s="478" t="str">
        <f>-$F$21</f>
        <v>0</v>
      </c>
      <c r="AB179" s="509" t="str">
        <f>SUM(Y179:AA179)</f>
        <v>0</v>
      </c>
    </row>
    <row r="180" spans="1:30" customHeight="1" ht="12.75">
      <c r="O180" s="494" t="s">
        <v>100</v>
      </c>
      <c r="P180" s="495" t="s">
        <v>150</v>
      </c>
      <c r="Q180" s="497" t="str">
        <f>O180&amp;P180</f>
        <v>0</v>
      </c>
      <c r="R180" s="454">
        <v>2</v>
      </c>
      <c r="S180" s="455" t="str">
        <f>-R180*$F$15</f>
        <v>0</v>
      </c>
      <c r="T180" s="455">
        <v>1</v>
      </c>
      <c r="U180" s="455" t="str">
        <f>-T180*$F$16</f>
        <v>0</v>
      </c>
      <c r="V180" s="519">
        <v>0</v>
      </c>
      <c r="W180" s="520" t="str">
        <f>V180*-$F$17</f>
        <v>0</v>
      </c>
      <c r="X180" s="510" t="str">
        <f>W180+U180+S180</f>
        <v>0</v>
      </c>
      <c r="Y180" s="514" t="str">
        <f>-$F$19</f>
        <v>0</v>
      </c>
      <c r="Z180" s="365" t="str">
        <f>-$F$20</f>
        <v>0</v>
      </c>
      <c r="AA180" s="478" t="str">
        <f>-$F$21</f>
        <v>0</v>
      </c>
      <c r="AB180" s="509" t="str">
        <f>SUM(Y180:AA180)</f>
        <v>0</v>
      </c>
    </row>
    <row r="181" spans="1:30">
      <c r="O181" s="491" t="s">
        <v>101</v>
      </c>
      <c r="P181" s="492" t="s">
        <v>141</v>
      </c>
      <c r="Q181" s="489" t="str">
        <f>O181&amp;P181</f>
        <v>0</v>
      </c>
      <c r="R181" s="513">
        <v>1</v>
      </c>
      <c r="S181" s="490" t="str">
        <f>-R181*$F$15</f>
        <v>0</v>
      </c>
      <c r="T181" s="490">
        <v>0</v>
      </c>
      <c r="U181" s="490" t="str">
        <f>-T181*$F$16</f>
        <v>0</v>
      </c>
      <c r="V181" s="88">
        <v>1</v>
      </c>
      <c r="W181" s="517" t="str">
        <f>V181*-$F$17</f>
        <v>0</v>
      </c>
      <c r="X181" s="508" t="str">
        <f>W181+U181+S181</f>
        <v>0</v>
      </c>
      <c r="Y181" s="513" t="str">
        <f>-$F$19</f>
        <v>0</v>
      </c>
      <c r="Z181" s="490">
        <v>0</v>
      </c>
      <c r="AA181" s="531" t="str">
        <f>-$F$21</f>
        <v>0</v>
      </c>
      <c r="AB181" s="508" t="str">
        <f>SUM(Y181:AA181)</f>
        <v>0</v>
      </c>
    </row>
    <row r="182" spans="1:30">
      <c r="O182" s="493" t="s">
        <v>101</v>
      </c>
      <c r="P182" s="105" t="s">
        <v>142</v>
      </c>
      <c r="Q182" s="496" t="str">
        <f>O182&amp;P182</f>
        <v>0</v>
      </c>
      <c r="R182" s="514">
        <v>1</v>
      </c>
      <c r="S182" s="365" t="str">
        <f>-R182*$F$15</f>
        <v>0</v>
      </c>
      <c r="T182" s="365">
        <v>0</v>
      </c>
      <c r="U182" s="365" t="str">
        <f>-T182*$F$16</f>
        <v>0</v>
      </c>
      <c r="V182" s="89">
        <v>1</v>
      </c>
      <c r="W182" s="518" t="str">
        <f>V182*-$F$17</f>
        <v>0</v>
      </c>
      <c r="X182" s="509" t="str">
        <f>W182+U182+S182</f>
        <v>0</v>
      </c>
      <c r="Y182" s="514" t="str">
        <f>-$F$19</f>
        <v>0</v>
      </c>
      <c r="Z182" s="365">
        <v>0</v>
      </c>
      <c r="AA182" s="478" t="str">
        <f>-$F$21</f>
        <v>0</v>
      </c>
      <c r="AB182" s="509" t="str">
        <f>SUM(Y182:AA182)</f>
        <v>0</v>
      </c>
    </row>
    <row r="183" spans="1:30">
      <c r="O183" s="493" t="s">
        <v>101</v>
      </c>
      <c r="P183" s="105" t="s">
        <v>87</v>
      </c>
      <c r="Q183" s="496" t="str">
        <f>O183&amp;P183</f>
        <v>0</v>
      </c>
      <c r="R183" s="514">
        <v>2</v>
      </c>
      <c r="S183" s="365" t="str">
        <f>-R183*$F$15</f>
        <v>0</v>
      </c>
      <c r="T183" s="365">
        <v>1</v>
      </c>
      <c r="U183" s="365" t="str">
        <f>-T183*$F$16</f>
        <v>0</v>
      </c>
      <c r="V183" s="89">
        <v>0</v>
      </c>
      <c r="W183" s="518" t="str">
        <f>V183*-$F$17</f>
        <v>0</v>
      </c>
      <c r="X183" s="509" t="str">
        <f>W183+U183+S183</f>
        <v>0</v>
      </c>
      <c r="Y183" s="514" t="str">
        <f>-$F$19</f>
        <v>0</v>
      </c>
      <c r="Z183" s="365">
        <v>0</v>
      </c>
      <c r="AA183" s="478" t="str">
        <f>-$F$21</f>
        <v>0</v>
      </c>
      <c r="AB183" s="509" t="str">
        <f>SUM(Y183:AA183)</f>
        <v>0</v>
      </c>
    </row>
    <row r="184" spans="1:30">
      <c r="O184" s="493" t="s">
        <v>101</v>
      </c>
      <c r="P184" s="105" t="s">
        <v>143</v>
      </c>
      <c r="Q184" s="496" t="str">
        <f>O184&amp;P184</f>
        <v>0</v>
      </c>
      <c r="R184" s="514">
        <v>2</v>
      </c>
      <c r="S184" s="365" t="str">
        <f>-R184*$F$15</f>
        <v>0</v>
      </c>
      <c r="T184" s="365">
        <v>0</v>
      </c>
      <c r="U184" s="365" t="str">
        <f>-T184*$F$16</f>
        <v>0</v>
      </c>
      <c r="V184" s="89">
        <v>1</v>
      </c>
      <c r="W184" s="518" t="str">
        <f>V184*-$F$17</f>
        <v>0</v>
      </c>
      <c r="X184" s="509" t="str">
        <f>W184+U184+S184</f>
        <v>0</v>
      </c>
      <c r="Y184" s="514" t="str">
        <f>-$F$19</f>
        <v>0</v>
      </c>
      <c r="Z184" s="365">
        <v>0</v>
      </c>
      <c r="AA184" s="478" t="str">
        <f>-$F$21</f>
        <v>0</v>
      </c>
      <c r="AB184" s="509" t="str">
        <f>SUM(Y184:AA184)</f>
        <v>0</v>
      </c>
    </row>
    <row r="185" spans="1:30">
      <c r="O185" s="493" t="s">
        <v>101</v>
      </c>
      <c r="P185" s="105" t="s">
        <v>144</v>
      </c>
      <c r="Q185" s="496" t="str">
        <f>O185&amp;P185</f>
        <v>0</v>
      </c>
      <c r="R185" s="514">
        <v>2</v>
      </c>
      <c r="S185" s="365" t="str">
        <f>-R185*$F$15</f>
        <v>0</v>
      </c>
      <c r="T185" s="365">
        <v>0</v>
      </c>
      <c r="U185" s="365" t="str">
        <f>-T185*$F$16</f>
        <v>0</v>
      </c>
      <c r="V185" s="89">
        <v>1</v>
      </c>
      <c r="W185" s="518" t="str">
        <f>V185*-$F$17</f>
        <v>0</v>
      </c>
      <c r="X185" s="509" t="str">
        <f>W185+U185+S185</f>
        <v>0</v>
      </c>
      <c r="Y185" s="514" t="str">
        <f>-$F$19</f>
        <v>0</v>
      </c>
      <c r="Z185" s="365">
        <v>0</v>
      </c>
      <c r="AA185" s="478" t="str">
        <f>-$F$21</f>
        <v>0</v>
      </c>
      <c r="AB185" s="509" t="str">
        <f>SUM(Y185:AA185)</f>
        <v>0</v>
      </c>
    </row>
    <row r="186" spans="1:30">
      <c r="O186" s="493" t="s">
        <v>101</v>
      </c>
      <c r="P186" s="105" t="s">
        <v>145</v>
      </c>
      <c r="Q186" s="496" t="str">
        <f>O186&amp;P186</f>
        <v>0</v>
      </c>
      <c r="R186" s="514">
        <v>3</v>
      </c>
      <c r="S186" s="365" t="str">
        <f>-R186*$F$15</f>
        <v>0</v>
      </c>
      <c r="T186" s="365">
        <v>1</v>
      </c>
      <c r="U186" s="365" t="str">
        <f>-T186*$F$16</f>
        <v>0</v>
      </c>
      <c r="V186" s="89">
        <v>0</v>
      </c>
      <c r="W186" s="518" t="str">
        <f>V186*-$F$17</f>
        <v>0</v>
      </c>
      <c r="X186" s="509" t="str">
        <f>W186+U186+S186</f>
        <v>0</v>
      </c>
      <c r="Y186" s="514" t="str">
        <f>-$F$19</f>
        <v>0</v>
      </c>
      <c r="Z186" s="365">
        <v>0</v>
      </c>
      <c r="AA186" s="478" t="str">
        <f>-$F$21</f>
        <v>0</v>
      </c>
      <c r="AB186" s="509" t="str">
        <f>SUM(Y186:AA186)</f>
        <v>0</v>
      </c>
    </row>
    <row r="187" spans="1:30">
      <c r="O187" s="493" t="s">
        <v>101</v>
      </c>
      <c r="P187" s="105" t="s">
        <v>146</v>
      </c>
      <c r="Q187" s="496" t="str">
        <f>O187&amp;P187</f>
        <v>0</v>
      </c>
      <c r="R187" s="514">
        <v>3</v>
      </c>
      <c r="S187" s="365" t="str">
        <f>-R187*$F$15</f>
        <v>0</v>
      </c>
      <c r="T187" s="365">
        <v>1</v>
      </c>
      <c r="U187" s="365" t="str">
        <f>-T187*$F$16</f>
        <v>0</v>
      </c>
      <c r="V187" s="89">
        <v>0</v>
      </c>
      <c r="W187" s="518" t="str">
        <f>V187*-$F$17</f>
        <v>0</v>
      </c>
      <c r="X187" s="509" t="str">
        <f>W187+U187+S187</f>
        <v>0</v>
      </c>
      <c r="Y187" s="514" t="str">
        <f>-$F$19</f>
        <v>0</v>
      </c>
      <c r="Z187" s="365">
        <v>0</v>
      </c>
      <c r="AA187" s="478" t="str">
        <f>-$F$21</f>
        <v>0</v>
      </c>
      <c r="AB187" s="509" t="str">
        <f>SUM(Y187:AA187)</f>
        <v>0</v>
      </c>
    </row>
    <row r="188" spans="1:30">
      <c r="O188" s="493" t="s">
        <v>101</v>
      </c>
      <c r="P188" s="105" t="s">
        <v>147</v>
      </c>
      <c r="Q188" s="496" t="str">
        <f>O188&amp;P188</f>
        <v>0</v>
      </c>
      <c r="R188" s="514">
        <v>4</v>
      </c>
      <c r="S188" s="365" t="str">
        <f>-R188*$F$15</f>
        <v>0</v>
      </c>
      <c r="T188" s="365">
        <v>1</v>
      </c>
      <c r="U188" s="365" t="str">
        <f>-T188*$F$16</f>
        <v>0</v>
      </c>
      <c r="V188" s="89">
        <v>0</v>
      </c>
      <c r="W188" s="518" t="str">
        <f>V188*-$F$17</f>
        <v>0</v>
      </c>
      <c r="X188" s="509" t="str">
        <f>W188+U188+S188</f>
        <v>0</v>
      </c>
      <c r="Y188" s="514" t="str">
        <f>-$F$19</f>
        <v>0</v>
      </c>
      <c r="Z188" s="365">
        <v>0</v>
      </c>
      <c r="AA188" s="478" t="str">
        <f>-$F$21</f>
        <v>0</v>
      </c>
      <c r="AB188" s="509" t="str">
        <f>SUM(Y188:AA188)</f>
        <v>0</v>
      </c>
    </row>
    <row r="189" spans="1:30">
      <c r="O189" s="493" t="s">
        <v>101</v>
      </c>
      <c r="P189" s="105" t="s">
        <v>148</v>
      </c>
      <c r="Q189" s="496" t="str">
        <f>O189&amp;P189</f>
        <v>0</v>
      </c>
      <c r="R189" s="514">
        <v>1</v>
      </c>
      <c r="S189" s="365" t="str">
        <f>-R189*$F$15</f>
        <v>0</v>
      </c>
      <c r="T189" s="365">
        <v>0</v>
      </c>
      <c r="U189" s="365" t="str">
        <f>-T189*$F$16</f>
        <v>0</v>
      </c>
      <c r="V189" s="89">
        <v>1</v>
      </c>
      <c r="W189" s="518" t="str">
        <f>V189*-$F$17</f>
        <v>0</v>
      </c>
      <c r="X189" s="509" t="str">
        <f>W189+U189+S189</f>
        <v>0</v>
      </c>
      <c r="Y189" s="514" t="str">
        <f>-$F$19</f>
        <v>0</v>
      </c>
      <c r="Z189" s="365" t="str">
        <f>-$F$20</f>
        <v>0</v>
      </c>
      <c r="AA189" s="478" t="str">
        <f>-$F$21</f>
        <v>0</v>
      </c>
      <c r="AB189" s="509" t="str">
        <f>SUM(Y189:AA189)</f>
        <v>0</v>
      </c>
    </row>
    <row r="190" spans="1:30">
      <c r="O190" s="493" t="s">
        <v>101</v>
      </c>
      <c r="P190" s="105" t="s">
        <v>149</v>
      </c>
      <c r="Q190" s="496" t="str">
        <f>O190&amp;P190</f>
        <v>0</v>
      </c>
      <c r="R190" s="514">
        <v>1</v>
      </c>
      <c r="S190" s="365" t="str">
        <f>-R190*$F$15</f>
        <v>0</v>
      </c>
      <c r="T190" s="365">
        <v>0</v>
      </c>
      <c r="U190" s="365" t="str">
        <f>-T190*$F$16</f>
        <v>0</v>
      </c>
      <c r="V190" s="89">
        <v>1</v>
      </c>
      <c r="W190" s="518" t="str">
        <f>V190*-$F$17</f>
        <v>0</v>
      </c>
      <c r="X190" s="509" t="str">
        <f>W190+U190+S190</f>
        <v>0</v>
      </c>
      <c r="Y190" s="514" t="str">
        <f>-$F$19</f>
        <v>0</v>
      </c>
      <c r="Z190" s="365" t="str">
        <f>-$F$20</f>
        <v>0</v>
      </c>
      <c r="AA190" s="478" t="str">
        <f>-$F$21</f>
        <v>0</v>
      </c>
      <c r="AB190" s="509" t="str">
        <f>SUM(Y190:AA190)</f>
        <v>0</v>
      </c>
    </row>
    <row r="191" spans="1:30" customHeight="1" ht="12.75">
      <c r="O191" s="494" t="s">
        <v>101</v>
      </c>
      <c r="P191" s="495" t="s">
        <v>150</v>
      </c>
      <c r="Q191" s="497" t="str">
        <f>O191&amp;P191</f>
        <v>0</v>
      </c>
      <c r="R191" s="454">
        <v>2</v>
      </c>
      <c r="S191" s="455" t="str">
        <f>-R191*$F$15</f>
        <v>0</v>
      </c>
      <c r="T191" s="455">
        <v>1</v>
      </c>
      <c r="U191" s="455" t="str">
        <f>-T191*$F$16</f>
        <v>0</v>
      </c>
      <c r="V191" s="519">
        <v>0</v>
      </c>
      <c r="W191" s="520" t="str">
        <f>V191*-$F$17</f>
        <v>0</v>
      </c>
      <c r="X191" s="510" t="str">
        <f>W191+U191+S191</f>
        <v>0</v>
      </c>
      <c r="Y191" s="462" t="str">
        <f>-$F$19</f>
        <v>0</v>
      </c>
      <c r="Z191" s="463" t="str">
        <f>-$F$20</f>
        <v>0</v>
      </c>
      <c r="AA191" s="532" t="str">
        <f>-$F$21</f>
        <v>0</v>
      </c>
      <c r="AB191" s="510" t="str">
        <f>SUM(Y191:AA191)</f>
        <v>0</v>
      </c>
    </row>
    <row r="192" spans="1:30">
      <c r="O192" s="491" t="s">
        <v>102</v>
      </c>
      <c r="P192" s="492" t="s">
        <v>141</v>
      </c>
      <c r="Q192" s="489" t="str">
        <f>O192&amp;P192</f>
        <v>0</v>
      </c>
      <c r="R192" s="513">
        <v>1</v>
      </c>
      <c r="S192" s="490" t="str">
        <f>-R192*$F$15</f>
        <v>0</v>
      </c>
      <c r="T192" s="490">
        <v>0</v>
      </c>
      <c r="U192" s="490" t="str">
        <f>-T192*$F$16</f>
        <v>0</v>
      </c>
      <c r="V192" s="88">
        <v>1</v>
      </c>
      <c r="W192" s="517" t="str">
        <f>V192*-$F$17</f>
        <v>0</v>
      </c>
      <c r="X192" s="508" t="str">
        <f>W192+U192+S192</f>
        <v>0</v>
      </c>
      <c r="Y192" s="514" t="str">
        <f>-$F$19</f>
        <v>0</v>
      </c>
      <c r="Z192" s="365">
        <v>0</v>
      </c>
      <c r="AA192" s="478" t="str">
        <f>-$F$21</f>
        <v>0</v>
      </c>
      <c r="AB192" s="509" t="str">
        <f>SUM(Y192:AA192)</f>
        <v>0</v>
      </c>
    </row>
    <row r="193" spans="1:30">
      <c r="O193" s="493" t="s">
        <v>102</v>
      </c>
      <c r="P193" s="105" t="s">
        <v>142</v>
      </c>
      <c r="Q193" s="496" t="str">
        <f>O193&amp;P193</f>
        <v>0</v>
      </c>
      <c r="R193" s="514">
        <v>1</v>
      </c>
      <c r="S193" s="365" t="str">
        <f>-R193*$F$15</f>
        <v>0</v>
      </c>
      <c r="T193" s="365">
        <v>0</v>
      </c>
      <c r="U193" s="365" t="str">
        <f>-T193*$F$16</f>
        <v>0</v>
      </c>
      <c r="V193" s="89">
        <v>1</v>
      </c>
      <c r="W193" s="518" t="str">
        <f>V193*-$F$17</f>
        <v>0</v>
      </c>
      <c r="X193" s="509" t="str">
        <f>W193+U193+S193</f>
        <v>0</v>
      </c>
      <c r="Y193" s="514" t="str">
        <f>-$F$19</f>
        <v>0</v>
      </c>
      <c r="Z193" s="365">
        <v>0</v>
      </c>
      <c r="AA193" s="478" t="str">
        <f>-$F$21</f>
        <v>0</v>
      </c>
      <c r="AB193" s="509" t="str">
        <f>SUM(Y193:AA193)</f>
        <v>0</v>
      </c>
    </row>
    <row r="194" spans="1:30">
      <c r="O194" s="493" t="s">
        <v>102</v>
      </c>
      <c r="P194" s="105" t="s">
        <v>87</v>
      </c>
      <c r="Q194" s="496" t="str">
        <f>O194&amp;P194</f>
        <v>0</v>
      </c>
      <c r="R194" s="514">
        <v>2</v>
      </c>
      <c r="S194" s="365" t="str">
        <f>-R194*$F$15</f>
        <v>0</v>
      </c>
      <c r="T194" s="365">
        <v>1</v>
      </c>
      <c r="U194" s="365" t="str">
        <f>-T194*$F$16</f>
        <v>0</v>
      </c>
      <c r="V194" s="89">
        <v>0</v>
      </c>
      <c r="W194" s="518" t="str">
        <f>V194*-$F$17</f>
        <v>0</v>
      </c>
      <c r="X194" s="509" t="str">
        <f>W194+U194+S194</f>
        <v>0</v>
      </c>
      <c r="Y194" s="514" t="str">
        <f>-$F$19</f>
        <v>0</v>
      </c>
      <c r="Z194" s="365">
        <v>0</v>
      </c>
      <c r="AA194" s="478" t="str">
        <f>-$F$21</f>
        <v>0</v>
      </c>
      <c r="AB194" s="509" t="str">
        <f>SUM(Y194:AA194)</f>
        <v>0</v>
      </c>
    </row>
    <row r="195" spans="1:30">
      <c r="O195" s="493" t="s">
        <v>102</v>
      </c>
      <c r="P195" s="105" t="s">
        <v>143</v>
      </c>
      <c r="Q195" s="496" t="str">
        <f>O195&amp;P195</f>
        <v>0</v>
      </c>
      <c r="R195" s="514">
        <v>2</v>
      </c>
      <c r="S195" s="365" t="str">
        <f>-R195*$F$15</f>
        <v>0</v>
      </c>
      <c r="T195" s="365">
        <v>0</v>
      </c>
      <c r="U195" s="365" t="str">
        <f>-T195*$F$16</f>
        <v>0</v>
      </c>
      <c r="V195" s="89">
        <v>1</v>
      </c>
      <c r="W195" s="518" t="str">
        <f>V195*-$F$17</f>
        <v>0</v>
      </c>
      <c r="X195" s="509" t="str">
        <f>W195+U195+S195</f>
        <v>0</v>
      </c>
      <c r="Y195" s="514" t="str">
        <f>-$F$19</f>
        <v>0</v>
      </c>
      <c r="Z195" s="365">
        <v>0</v>
      </c>
      <c r="AA195" s="478" t="str">
        <f>-$F$21</f>
        <v>0</v>
      </c>
      <c r="AB195" s="509" t="str">
        <f>SUM(Y195:AA195)</f>
        <v>0</v>
      </c>
    </row>
    <row r="196" spans="1:30">
      <c r="O196" s="493" t="s">
        <v>102</v>
      </c>
      <c r="P196" s="105" t="s">
        <v>144</v>
      </c>
      <c r="Q196" s="496" t="str">
        <f>O196&amp;P196</f>
        <v>0</v>
      </c>
      <c r="R196" s="514">
        <v>2</v>
      </c>
      <c r="S196" s="365" t="str">
        <f>-R196*$F$15</f>
        <v>0</v>
      </c>
      <c r="T196" s="365">
        <v>0</v>
      </c>
      <c r="U196" s="365" t="str">
        <f>-T196*$F$16</f>
        <v>0</v>
      </c>
      <c r="V196" s="89">
        <v>1</v>
      </c>
      <c r="W196" s="518" t="str">
        <f>V196*-$F$17</f>
        <v>0</v>
      </c>
      <c r="X196" s="509" t="str">
        <f>W196+U196+S196</f>
        <v>0</v>
      </c>
      <c r="Y196" s="514" t="str">
        <f>-$F$19</f>
        <v>0</v>
      </c>
      <c r="Z196" s="365">
        <v>0</v>
      </c>
      <c r="AA196" s="478" t="str">
        <f>-$F$21</f>
        <v>0</v>
      </c>
      <c r="AB196" s="509" t="str">
        <f>SUM(Y196:AA196)</f>
        <v>0</v>
      </c>
    </row>
    <row r="197" spans="1:30">
      <c r="O197" s="493" t="s">
        <v>102</v>
      </c>
      <c r="P197" s="105" t="s">
        <v>145</v>
      </c>
      <c r="Q197" s="496" t="str">
        <f>O197&amp;P197</f>
        <v>0</v>
      </c>
      <c r="R197" s="514">
        <v>3</v>
      </c>
      <c r="S197" s="365" t="str">
        <f>-R197*$F$15</f>
        <v>0</v>
      </c>
      <c r="T197" s="365">
        <v>1</v>
      </c>
      <c r="U197" s="365" t="str">
        <f>-T197*$F$16</f>
        <v>0</v>
      </c>
      <c r="V197" s="89">
        <v>0</v>
      </c>
      <c r="W197" s="518" t="str">
        <f>V197*-$F$17</f>
        <v>0</v>
      </c>
      <c r="X197" s="509" t="str">
        <f>W197+U197+S197</f>
        <v>0</v>
      </c>
      <c r="Y197" s="514" t="str">
        <f>-$F$19</f>
        <v>0</v>
      </c>
      <c r="Z197" s="365">
        <v>0</v>
      </c>
      <c r="AA197" s="478" t="str">
        <f>-$F$21</f>
        <v>0</v>
      </c>
      <c r="AB197" s="509" t="str">
        <f>SUM(Y197:AA197)</f>
        <v>0</v>
      </c>
    </row>
    <row r="198" spans="1:30">
      <c r="O198" s="493" t="s">
        <v>102</v>
      </c>
      <c r="P198" s="105" t="s">
        <v>146</v>
      </c>
      <c r="Q198" s="496" t="str">
        <f>O198&amp;P198</f>
        <v>0</v>
      </c>
      <c r="R198" s="514">
        <v>3</v>
      </c>
      <c r="S198" s="365" t="str">
        <f>-R198*$F$15</f>
        <v>0</v>
      </c>
      <c r="T198" s="365">
        <v>1</v>
      </c>
      <c r="U198" s="365" t="str">
        <f>-T198*$F$16</f>
        <v>0</v>
      </c>
      <c r="V198" s="89">
        <v>0</v>
      </c>
      <c r="W198" s="518" t="str">
        <f>V198*-$F$17</f>
        <v>0</v>
      </c>
      <c r="X198" s="509" t="str">
        <f>W198+U198+S198</f>
        <v>0</v>
      </c>
      <c r="Y198" s="514" t="str">
        <f>-$F$19</f>
        <v>0</v>
      </c>
      <c r="Z198" s="365">
        <v>0</v>
      </c>
      <c r="AA198" s="478" t="str">
        <f>-$F$21</f>
        <v>0</v>
      </c>
      <c r="AB198" s="509" t="str">
        <f>SUM(Y198:AA198)</f>
        <v>0</v>
      </c>
    </row>
    <row r="199" spans="1:30">
      <c r="O199" s="493" t="s">
        <v>102</v>
      </c>
      <c r="P199" s="105" t="s">
        <v>147</v>
      </c>
      <c r="Q199" s="496" t="str">
        <f>O199&amp;P199</f>
        <v>0</v>
      </c>
      <c r="R199" s="514">
        <v>4</v>
      </c>
      <c r="S199" s="365" t="str">
        <f>-R199*$F$15</f>
        <v>0</v>
      </c>
      <c r="T199" s="365">
        <v>1</v>
      </c>
      <c r="U199" s="365" t="str">
        <f>-T199*$F$16</f>
        <v>0</v>
      </c>
      <c r="V199" s="89">
        <v>0</v>
      </c>
      <c r="W199" s="518" t="str">
        <f>V199*-$F$17</f>
        <v>0</v>
      </c>
      <c r="X199" s="509" t="str">
        <f>W199+U199+S199</f>
        <v>0</v>
      </c>
      <c r="Y199" s="514" t="str">
        <f>-$F$19</f>
        <v>0</v>
      </c>
      <c r="Z199" s="365">
        <v>0</v>
      </c>
      <c r="AA199" s="478" t="str">
        <f>-$F$21</f>
        <v>0</v>
      </c>
      <c r="AB199" s="509" t="str">
        <f>SUM(Y199:AA199)</f>
        <v>0</v>
      </c>
    </row>
    <row r="200" spans="1:30">
      <c r="O200" s="493" t="s">
        <v>102</v>
      </c>
      <c r="P200" s="105" t="s">
        <v>148</v>
      </c>
      <c r="Q200" s="496" t="str">
        <f>O200&amp;P200</f>
        <v>0</v>
      </c>
      <c r="R200" s="514">
        <v>1</v>
      </c>
      <c r="S200" s="365" t="str">
        <f>-R200*$F$15</f>
        <v>0</v>
      </c>
      <c r="T200" s="365">
        <v>0</v>
      </c>
      <c r="U200" s="365" t="str">
        <f>-T200*$F$16</f>
        <v>0</v>
      </c>
      <c r="V200" s="89">
        <v>1</v>
      </c>
      <c r="W200" s="518" t="str">
        <f>V200*-$F$17</f>
        <v>0</v>
      </c>
      <c r="X200" s="509" t="str">
        <f>W200+U200+S200</f>
        <v>0</v>
      </c>
      <c r="Y200" s="514" t="str">
        <f>-$F$19</f>
        <v>0</v>
      </c>
      <c r="Z200" s="365" t="str">
        <f>-$F$20</f>
        <v>0</v>
      </c>
      <c r="AA200" s="478" t="str">
        <f>-$F$21</f>
        <v>0</v>
      </c>
      <c r="AB200" s="509" t="str">
        <f>SUM(Y200:AA200)</f>
        <v>0</v>
      </c>
    </row>
    <row r="201" spans="1:30">
      <c r="O201" s="493" t="s">
        <v>102</v>
      </c>
      <c r="P201" s="105" t="s">
        <v>149</v>
      </c>
      <c r="Q201" s="496" t="str">
        <f>O201&amp;P201</f>
        <v>0</v>
      </c>
      <c r="R201" s="514">
        <v>1</v>
      </c>
      <c r="S201" s="365" t="str">
        <f>-R201*$F$15</f>
        <v>0</v>
      </c>
      <c r="T201" s="365">
        <v>0</v>
      </c>
      <c r="U201" s="365" t="str">
        <f>-T201*$F$16</f>
        <v>0</v>
      </c>
      <c r="V201" s="89">
        <v>1</v>
      </c>
      <c r="W201" s="518" t="str">
        <f>V201*-$F$17</f>
        <v>0</v>
      </c>
      <c r="X201" s="509" t="str">
        <f>W201+U201+S201</f>
        <v>0</v>
      </c>
      <c r="Y201" s="514" t="str">
        <f>-$F$19</f>
        <v>0</v>
      </c>
      <c r="Z201" s="365" t="str">
        <f>-$F$20</f>
        <v>0</v>
      </c>
      <c r="AA201" s="478" t="str">
        <f>-$F$21</f>
        <v>0</v>
      </c>
      <c r="AB201" s="509" t="str">
        <f>SUM(Y201:AA201)</f>
        <v>0</v>
      </c>
    </row>
    <row r="202" spans="1:30" customHeight="1" ht="12.75">
      <c r="O202" s="494" t="s">
        <v>102</v>
      </c>
      <c r="P202" s="495" t="s">
        <v>150</v>
      </c>
      <c r="Q202" s="497" t="str">
        <f>O202&amp;P202</f>
        <v>0</v>
      </c>
      <c r="R202" s="454">
        <v>2</v>
      </c>
      <c r="S202" s="455" t="str">
        <f>-R202*$F$15</f>
        <v>0</v>
      </c>
      <c r="T202" s="455">
        <v>1</v>
      </c>
      <c r="U202" s="455" t="str">
        <f>-T202*$F$16</f>
        <v>0</v>
      </c>
      <c r="V202" s="519">
        <v>0</v>
      </c>
      <c r="W202" s="520" t="str">
        <f>V202*-$F$17</f>
        <v>0</v>
      </c>
      <c r="X202" s="510" t="str">
        <f>W202+U202+S202</f>
        <v>0</v>
      </c>
      <c r="Y202" s="514" t="str">
        <f>-$F$19</f>
        <v>0</v>
      </c>
      <c r="Z202" s="365" t="str">
        <f>-$F$20</f>
        <v>0</v>
      </c>
      <c r="AA202" s="478" t="str">
        <f>-$F$21</f>
        <v>0</v>
      </c>
      <c r="AB202" s="509" t="str">
        <f>SUM(Y202:AA202)</f>
        <v>0</v>
      </c>
    </row>
    <row r="203" spans="1:30">
      <c r="O203" s="491" t="s">
        <v>103</v>
      </c>
      <c r="P203" s="492" t="s">
        <v>141</v>
      </c>
      <c r="Q203" s="489" t="str">
        <f>O203&amp;P203</f>
        <v>0</v>
      </c>
      <c r="R203" s="513">
        <v>1</v>
      </c>
      <c r="S203" s="490" t="str">
        <f>-R203*$F$15</f>
        <v>0</v>
      </c>
      <c r="T203" s="490">
        <v>0</v>
      </c>
      <c r="U203" s="490" t="str">
        <f>-T203*$F$16</f>
        <v>0</v>
      </c>
      <c r="V203" s="88">
        <v>1</v>
      </c>
      <c r="W203" s="517" t="str">
        <f>V203*-$F$17</f>
        <v>0</v>
      </c>
      <c r="X203" s="508" t="str">
        <f>W203+U203+S203</f>
        <v>0</v>
      </c>
      <c r="Y203" s="513" t="str">
        <f>-$F$19</f>
        <v>0</v>
      </c>
      <c r="Z203" s="490">
        <v>0</v>
      </c>
      <c r="AA203" s="531" t="str">
        <f>-$F$21</f>
        <v>0</v>
      </c>
      <c r="AB203" s="508" t="str">
        <f>SUM(Y203:AA203)</f>
        <v>0</v>
      </c>
    </row>
    <row r="204" spans="1:30">
      <c r="O204" s="493" t="s">
        <v>103</v>
      </c>
      <c r="P204" s="105" t="s">
        <v>142</v>
      </c>
      <c r="Q204" s="496" t="str">
        <f>O204&amp;P204</f>
        <v>0</v>
      </c>
      <c r="R204" s="514">
        <v>1</v>
      </c>
      <c r="S204" s="365" t="str">
        <f>-R204*$F$15</f>
        <v>0</v>
      </c>
      <c r="T204" s="365">
        <v>0</v>
      </c>
      <c r="U204" s="365" t="str">
        <f>-T204*$F$16</f>
        <v>0</v>
      </c>
      <c r="V204" s="89">
        <v>1</v>
      </c>
      <c r="W204" s="518" t="str">
        <f>V204*-$F$17</f>
        <v>0</v>
      </c>
      <c r="X204" s="509" t="str">
        <f>W204+U204+S204</f>
        <v>0</v>
      </c>
      <c r="Y204" s="514" t="str">
        <f>-$F$19</f>
        <v>0</v>
      </c>
      <c r="Z204" s="365">
        <v>0</v>
      </c>
      <c r="AA204" s="478" t="str">
        <f>-$F$21</f>
        <v>0</v>
      </c>
      <c r="AB204" s="509" t="str">
        <f>SUM(Y204:AA204)</f>
        <v>0</v>
      </c>
    </row>
    <row r="205" spans="1:30">
      <c r="O205" s="493" t="s">
        <v>103</v>
      </c>
      <c r="P205" s="105" t="s">
        <v>87</v>
      </c>
      <c r="Q205" s="496" t="str">
        <f>O205&amp;P205</f>
        <v>0</v>
      </c>
      <c r="R205" s="514">
        <v>2</v>
      </c>
      <c r="S205" s="365" t="str">
        <f>-R205*$F$15</f>
        <v>0</v>
      </c>
      <c r="T205" s="365">
        <v>1</v>
      </c>
      <c r="U205" s="365" t="str">
        <f>-T205*$F$16</f>
        <v>0</v>
      </c>
      <c r="V205" s="89">
        <v>0</v>
      </c>
      <c r="W205" s="518" t="str">
        <f>V205*-$F$17</f>
        <v>0</v>
      </c>
      <c r="X205" s="509" t="str">
        <f>W205+U205+S205</f>
        <v>0</v>
      </c>
      <c r="Y205" s="514" t="str">
        <f>-$F$19</f>
        <v>0</v>
      </c>
      <c r="Z205" s="365">
        <v>0</v>
      </c>
      <c r="AA205" s="478" t="str">
        <f>-$F$21</f>
        <v>0</v>
      </c>
      <c r="AB205" s="509" t="str">
        <f>SUM(Y205:AA205)</f>
        <v>0</v>
      </c>
    </row>
    <row r="206" spans="1:30">
      <c r="O206" s="493" t="s">
        <v>103</v>
      </c>
      <c r="P206" s="105" t="s">
        <v>143</v>
      </c>
      <c r="Q206" s="496" t="str">
        <f>O206&amp;P206</f>
        <v>0</v>
      </c>
      <c r="R206" s="514">
        <v>2</v>
      </c>
      <c r="S206" s="365" t="str">
        <f>-R206*$F$15</f>
        <v>0</v>
      </c>
      <c r="T206" s="365">
        <v>0</v>
      </c>
      <c r="U206" s="365" t="str">
        <f>-T206*$F$16</f>
        <v>0</v>
      </c>
      <c r="V206" s="89">
        <v>1</v>
      </c>
      <c r="W206" s="518" t="str">
        <f>V206*-$F$17</f>
        <v>0</v>
      </c>
      <c r="X206" s="509" t="str">
        <f>W206+U206+S206</f>
        <v>0</v>
      </c>
      <c r="Y206" s="514" t="str">
        <f>-$F$19</f>
        <v>0</v>
      </c>
      <c r="Z206" s="365">
        <v>0</v>
      </c>
      <c r="AA206" s="478" t="str">
        <f>-$F$21</f>
        <v>0</v>
      </c>
      <c r="AB206" s="509" t="str">
        <f>SUM(Y206:AA206)</f>
        <v>0</v>
      </c>
    </row>
    <row r="207" spans="1:30">
      <c r="O207" s="493" t="s">
        <v>103</v>
      </c>
      <c r="P207" s="105" t="s">
        <v>144</v>
      </c>
      <c r="Q207" s="496" t="str">
        <f>O207&amp;P207</f>
        <v>0</v>
      </c>
      <c r="R207" s="514">
        <v>2</v>
      </c>
      <c r="S207" s="365" t="str">
        <f>-R207*$F$15</f>
        <v>0</v>
      </c>
      <c r="T207" s="365">
        <v>0</v>
      </c>
      <c r="U207" s="365" t="str">
        <f>-T207*$F$16</f>
        <v>0</v>
      </c>
      <c r="V207" s="89">
        <v>1</v>
      </c>
      <c r="W207" s="518" t="str">
        <f>V207*-$F$17</f>
        <v>0</v>
      </c>
      <c r="X207" s="509" t="str">
        <f>W207+U207+S207</f>
        <v>0</v>
      </c>
      <c r="Y207" s="514" t="str">
        <f>-$F$19</f>
        <v>0</v>
      </c>
      <c r="Z207" s="365">
        <v>0</v>
      </c>
      <c r="AA207" s="478" t="str">
        <f>-$F$21</f>
        <v>0</v>
      </c>
      <c r="AB207" s="509" t="str">
        <f>SUM(Y207:AA207)</f>
        <v>0</v>
      </c>
    </row>
    <row r="208" spans="1:30">
      <c r="O208" s="493" t="s">
        <v>103</v>
      </c>
      <c r="P208" s="105" t="s">
        <v>145</v>
      </c>
      <c r="Q208" s="496" t="str">
        <f>O208&amp;P208</f>
        <v>0</v>
      </c>
      <c r="R208" s="514">
        <v>3</v>
      </c>
      <c r="S208" s="365" t="str">
        <f>-R208*$F$15</f>
        <v>0</v>
      </c>
      <c r="T208" s="365">
        <v>1</v>
      </c>
      <c r="U208" s="365" t="str">
        <f>-T208*$F$16</f>
        <v>0</v>
      </c>
      <c r="V208" s="89">
        <v>0</v>
      </c>
      <c r="W208" s="518" t="str">
        <f>V208*-$F$17</f>
        <v>0</v>
      </c>
      <c r="X208" s="509" t="str">
        <f>W208+U208+S208</f>
        <v>0</v>
      </c>
      <c r="Y208" s="514" t="str">
        <f>-$F$19</f>
        <v>0</v>
      </c>
      <c r="Z208" s="365">
        <v>0</v>
      </c>
      <c r="AA208" s="478" t="str">
        <f>-$F$21</f>
        <v>0</v>
      </c>
      <c r="AB208" s="509" t="str">
        <f>SUM(Y208:AA208)</f>
        <v>0</v>
      </c>
    </row>
    <row r="209" spans="1:30">
      <c r="O209" s="493" t="s">
        <v>103</v>
      </c>
      <c r="P209" s="105" t="s">
        <v>146</v>
      </c>
      <c r="Q209" s="496" t="str">
        <f>O209&amp;P209</f>
        <v>0</v>
      </c>
      <c r="R209" s="514">
        <v>3</v>
      </c>
      <c r="S209" s="365" t="str">
        <f>-R209*$F$15</f>
        <v>0</v>
      </c>
      <c r="T209" s="365">
        <v>1</v>
      </c>
      <c r="U209" s="365" t="str">
        <f>-T209*$F$16</f>
        <v>0</v>
      </c>
      <c r="V209" s="89">
        <v>0</v>
      </c>
      <c r="W209" s="518" t="str">
        <f>V209*-$F$17</f>
        <v>0</v>
      </c>
      <c r="X209" s="509" t="str">
        <f>W209+U209+S209</f>
        <v>0</v>
      </c>
      <c r="Y209" s="514" t="str">
        <f>-$F$19</f>
        <v>0</v>
      </c>
      <c r="Z209" s="365">
        <v>0</v>
      </c>
      <c r="AA209" s="478" t="str">
        <f>-$F$21</f>
        <v>0</v>
      </c>
      <c r="AB209" s="509" t="str">
        <f>SUM(Y209:AA209)</f>
        <v>0</v>
      </c>
    </row>
    <row r="210" spans="1:30">
      <c r="O210" s="493" t="s">
        <v>103</v>
      </c>
      <c r="P210" s="105" t="s">
        <v>147</v>
      </c>
      <c r="Q210" s="496" t="str">
        <f>O210&amp;P210</f>
        <v>0</v>
      </c>
      <c r="R210" s="514">
        <v>4</v>
      </c>
      <c r="S210" s="365" t="str">
        <f>-R210*$F$15</f>
        <v>0</v>
      </c>
      <c r="T210" s="365">
        <v>1</v>
      </c>
      <c r="U210" s="365" t="str">
        <f>-T210*$F$16</f>
        <v>0</v>
      </c>
      <c r="V210" s="89">
        <v>0</v>
      </c>
      <c r="W210" s="518" t="str">
        <f>V210*-$F$17</f>
        <v>0</v>
      </c>
      <c r="X210" s="509" t="str">
        <f>W210+U210+S210</f>
        <v>0</v>
      </c>
      <c r="Y210" s="514" t="str">
        <f>-$F$19</f>
        <v>0</v>
      </c>
      <c r="Z210" s="365">
        <v>0</v>
      </c>
      <c r="AA210" s="478" t="str">
        <f>-$F$21</f>
        <v>0</v>
      </c>
      <c r="AB210" s="509" t="str">
        <f>SUM(Y210:AA210)</f>
        <v>0</v>
      </c>
    </row>
    <row r="211" spans="1:30">
      <c r="O211" s="493" t="s">
        <v>103</v>
      </c>
      <c r="P211" s="105" t="s">
        <v>148</v>
      </c>
      <c r="Q211" s="496" t="str">
        <f>O211&amp;P211</f>
        <v>0</v>
      </c>
      <c r="R211" s="514">
        <v>1</v>
      </c>
      <c r="S211" s="365" t="str">
        <f>-R211*$F$15</f>
        <v>0</v>
      </c>
      <c r="T211" s="365">
        <v>0</v>
      </c>
      <c r="U211" s="365" t="str">
        <f>-T211*$F$16</f>
        <v>0</v>
      </c>
      <c r="V211" s="89">
        <v>1</v>
      </c>
      <c r="W211" s="518" t="str">
        <f>V211*-$F$17</f>
        <v>0</v>
      </c>
      <c r="X211" s="509" t="str">
        <f>W211+U211+S211</f>
        <v>0</v>
      </c>
      <c r="Y211" s="514" t="str">
        <f>-$F$19</f>
        <v>0</v>
      </c>
      <c r="Z211" s="365" t="str">
        <f>-$F$20</f>
        <v>0</v>
      </c>
      <c r="AA211" s="478" t="str">
        <f>-$F$21</f>
        <v>0</v>
      </c>
      <c r="AB211" s="509" t="str">
        <f>SUM(Y211:AA211)</f>
        <v>0</v>
      </c>
    </row>
    <row r="212" spans="1:30">
      <c r="O212" s="493" t="s">
        <v>103</v>
      </c>
      <c r="P212" s="105" t="s">
        <v>149</v>
      </c>
      <c r="Q212" s="496" t="str">
        <f>O212&amp;P212</f>
        <v>0</v>
      </c>
      <c r="R212" s="514">
        <v>1</v>
      </c>
      <c r="S212" s="365" t="str">
        <f>-R212*$F$15</f>
        <v>0</v>
      </c>
      <c r="T212" s="365">
        <v>0</v>
      </c>
      <c r="U212" s="365" t="str">
        <f>-T212*$F$16</f>
        <v>0</v>
      </c>
      <c r="V212" s="89">
        <v>1</v>
      </c>
      <c r="W212" s="518" t="str">
        <f>V212*-$F$17</f>
        <v>0</v>
      </c>
      <c r="X212" s="509" t="str">
        <f>W212+U212+S212</f>
        <v>0</v>
      </c>
      <c r="Y212" s="514" t="str">
        <f>-$F$19</f>
        <v>0</v>
      </c>
      <c r="Z212" s="365" t="str">
        <f>-$F$20</f>
        <v>0</v>
      </c>
      <c r="AA212" s="478" t="str">
        <f>-$F$21</f>
        <v>0</v>
      </c>
      <c r="AB212" s="509" t="str">
        <f>SUM(Y212:AA212)</f>
        <v>0</v>
      </c>
    </row>
    <row r="213" spans="1:30" customHeight="1" ht="12.75">
      <c r="O213" s="494" t="s">
        <v>103</v>
      </c>
      <c r="P213" s="495" t="s">
        <v>150</v>
      </c>
      <c r="Q213" s="497" t="str">
        <f>O213&amp;P213</f>
        <v>0</v>
      </c>
      <c r="R213" s="454">
        <v>2</v>
      </c>
      <c r="S213" s="455" t="str">
        <f>-R213*$F$15</f>
        <v>0</v>
      </c>
      <c r="T213" s="455">
        <v>1</v>
      </c>
      <c r="U213" s="455" t="str">
        <f>-T213*$F$16</f>
        <v>0</v>
      </c>
      <c r="V213" s="519">
        <v>0</v>
      </c>
      <c r="W213" s="520" t="str">
        <f>V213*-$F$17</f>
        <v>0</v>
      </c>
      <c r="X213" s="510" t="str">
        <f>W213+U213+S213</f>
        <v>0</v>
      </c>
      <c r="Y213" s="462" t="str">
        <f>-$F$19</f>
        <v>0</v>
      </c>
      <c r="Z213" s="463" t="str">
        <f>-$F$20</f>
        <v>0</v>
      </c>
      <c r="AA213" s="532" t="str">
        <f>-$F$21</f>
        <v>0</v>
      </c>
      <c r="AB213" s="510" t="str">
        <f>SUM(Y213:AA213)</f>
        <v>0</v>
      </c>
    </row>
    <row r="214" spans="1:30">
      <c r="O214" s="491" t="s">
        <v>104</v>
      </c>
      <c r="P214" s="492" t="s">
        <v>141</v>
      </c>
      <c r="Q214" s="489" t="str">
        <f>O214&amp;P214</f>
        <v>0</v>
      </c>
      <c r="R214" s="513">
        <v>1</v>
      </c>
      <c r="S214" s="490" t="str">
        <f>-R214*$F$15</f>
        <v>0</v>
      </c>
      <c r="T214" s="490">
        <v>0</v>
      </c>
      <c r="U214" s="490" t="str">
        <f>-T214*$F$16</f>
        <v>0</v>
      </c>
      <c r="V214" s="88">
        <v>1</v>
      </c>
      <c r="W214" s="517" t="str">
        <f>V214*-$F$17</f>
        <v>0</v>
      </c>
      <c r="X214" s="508" t="str">
        <f>W214+U214+S214</f>
        <v>0</v>
      </c>
      <c r="Y214" s="514" t="str">
        <f>-$F$19</f>
        <v>0</v>
      </c>
      <c r="Z214" s="365">
        <v>0</v>
      </c>
      <c r="AA214" s="478" t="str">
        <f>-$F$21</f>
        <v>0</v>
      </c>
      <c r="AB214" s="509" t="str">
        <f>SUM(Y214:AA214)</f>
        <v>0</v>
      </c>
    </row>
    <row r="215" spans="1:30">
      <c r="O215" s="493" t="s">
        <v>104</v>
      </c>
      <c r="P215" s="105" t="s">
        <v>142</v>
      </c>
      <c r="Q215" s="496" t="str">
        <f>O215&amp;P215</f>
        <v>0</v>
      </c>
      <c r="R215" s="514">
        <v>1</v>
      </c>
      <c r="S215" s="365" t="str">
        <f>-R215*$F$15</f>
        <v>0</v>
      </c>
      <c r="T215" s="365">
        <v>0</v>
      </c>
      <c r="U215" s="365" t="str">
        <f>-T215*$F$16</f>
        <v>0</v>
      </c>
      <c r="V215" s="89">
        <v>1</v>
      </c>
      <c r="W215" s="518" t="str">
        <f>V215*-$F$17</f>
        <v>0</v>
      </c>
      <c r="X215" s="509" t="str">
        <f>W215+U215+S215</f>
        <v>0</v>
      </c>
      <c r="Y215" s="514" t="str">
        <f>-$F$19</f>
        <v>0</v>
      </c>
      <c r="Z215" s="365">
        <v>0</v>
      </c>
      <c r="AA215" s="478" t="str">
        <f>-$F$21</f>
        <v>0</v>
      </c>
      <c r="AB215" s="509" t="str">
        <f>SUM(Y215:AA215)</f>
        <v>0</v>
      </c>
    </row>
    <row r="216" spans="1:30">
      <c r="O216" s="493" t="s">
        <v>104</v>
      </c>
      <c r="P216" s="105" t="s">
        <v>87</v>
      </c>
      <c r="Q216" s="496" t="str">
        <f>O216&amp;P216</f>
        <v>0</v>
      </c>
      <c r="R216" s="514">
        <v>2</v>
      </c>
      <c r="S216" s="365" t="str">
        <f>-R216*$F$15</f>
        <v>0</v>
      </c>
      <c r="T216" s="365">
        <v>1</v>
      </c>
      <c r="U216" s="365" t="str">
        <f>-T216*$F$16</f>
        <v>0</v>
      </c>
      <c r="V216" s="89">
        <v>0</v>
      </c>
      <c r="W216" s="518" t="str">
        <f>V216*-$F$17</f>
        <v>0</v>
      </c>
      <c r="X216" s="509" t="str">
        <f>W216+U216+S216</f>
        <v>0</v>
      </c>
      <c r="Y216" s="514" t="str">
        <f>-$F$19</f>
        <v>0</v>
      </c>
      <c r="Z216" s="365">
        <v>0</v>
      </c>
      <c r="AA216" s="478" t="str">
        <f>-$F$21</f>
        <v>0</v>
      </c>
      <c r="AB216" s="509" t="str">
        <f>SUM(Y216:AA216)</f>
        <v>0</v>
      </c>
    </row>
    <row r="217" spans="1:30">
      <c r="O217" s="493" t="s">
        <v>104</v>
      </c>
      <c r="P217" s="105" t="s">
        <v>143</v>
      </c>
      <c r="Q217" s="496" t="str">
        <f>O217&amp;P217</f>
        <v>0</v>
      </c>
      <c r="R217" s="514">
        <v>2</v>
      </c>
      <c r="S217" s="365" t="str">
        <f>-R217*$F$15</f>
        <v>0</v>
      </c>
      <c r="T217" s="365">
        <v>0</v>
      </c>
      <c r="U217" s="365" t="str">
        <f>-T217*$F$16</f>
        <v>0</v>
      </c>
      <c r="V217" s="89">
        <v>1</v>
      </c>
      <c r="W217" s="518" t="str">
        <f>V217*-$F$17</f>
        <v>0</v>
      </c>
      <c r="X217" s="509" t="str">
        <f>W217+U217+S217</f>
        <v>0</v>
      </c>
      <c r="Y217" s="514" t="str">
        <f>-$F$19</f>
        <v>0</v>
      </c>
      <c r="Z217" s="365">
        <v>0</v>
      </c>
      <c r="AA217" s="478" t="str">
        <f>-$F$21</f>
        <v>0</v>
      </c>
      <c r="AB217" s="509" t="str">
        <f>SUM(Y217:AA217)</f>
        <v>0</v>
      </c>
    </row>
    <row r="218" spans="1:30">
      <c r="O218" s="493" t="s">
        <v>104</v>
      </c>
      <c r="P218" s="105" t="s">
        <v>144</v>
      </c>
      <c r="Q218" s="496" t="str">
        <f>O218&amp;P218</f>
        <v>0</v>
      </c>
      <c r="R218" s="514">
        <v>2</v>
      </c>
      <c r="S218" s="365" t="str">
        <f>-R218*$F$15</f>
        <v>0</v>
      </c>
      <c r="T218" s="365">
        <v>0</v>
      </c>
      <c r="U218" s="365" t="str">
        <f>-T218*$F$16</f>
        <v>0</v>
      </c>
      <c r="V218" s="89">
        <v>1</v>
      </c>
      <c r="W218" s="518" t="str">
        <f>V218*-$F$17</f>
        <v>0</v>
      </c>
      <c r="X218" s="509" t="str">
        <f>W218+U218+S218</f>
        <v>0</v>
      </c>
      <c r="Y218" s="514" t="str">
        <f>-$F$19</f>
        <v>0</v>
      </c>
      <c r="Z218" s="365">
        <v>0</v>
      </c>
      <c r="AA218" s="478" t="str">
        <f>-$F$21</f>
        <v>0</v>
      </c>
      <c r="AB218" s="509" t="str">
        <f>SUM(Y218:AA218)</f>
        <v>0</v>
      </c>
    </row>
    <row r="219" spans="1:30">
      <c r="O219" s="493" t="s">
        <v>104</v>
      </c>
      <c r="P219" s="105" t="s">
        <v>145</v>
      </c>
      <c r="Q219" s="496" t="str">
        <f>O219&amp;P219</f>
        <v>0</v>
      </c>
      <c r="R219" s="514">
        <v>3</v>
      </c>
      <c r="S219" s="365" t="str">
        <f>-R219*$F$15</f>
        <v>0</v>
      </c>
      <c r="T219" s="365">
        <v>1</v>
      </c>
      <c r="U219" s="365" t="str">
        <f>-T219*$F$16</f>
        <v>0</v>
      </c>
      <c r="V219" s="89">
        <v>0</v>
      </c>
      <c r="W219" s="518" t="str">
        <f>V219*-$F$17</f>
        <v>0</v>
      </c>
      <c r="X219" s="509" t="str">
        <f>W219+U219+S219</f>
        <v>0</v>
      </c>
      <c r="Y219" s="514" t="str">
        <f>-$F$19</f>
        <v>0</v>
      </c>
      <c r="Z219" s="365">
        <v>0</v>
      </c>
      <c r="AA219" s="478" t="str">
        <f>-$F$21</f>
        <v>0</v>
      </c>
      <c r="AB219" s="509" t="str">
        <f>SUM(Y219:AA219)</f>
        <v>0</v>
      </c>
    </row>
    <row r="220" spans="1:30">
      <c r="O220" s="493" t="s">
        <v>104</v>
      </c>
      <c r="P220" s="105" t="s">
        <v>146</v>
      </c>
      <c r="Q220" s="496" t="str">
        <f>O220&amp;P220</f>
        <v>0</v>
      </c>
      <c r="R220" s="514">
        <v>3</v>
      </c>
      <c r="S220" s="365" t="str">
        <f>-R220*$F$15</f>
        <v>0</v>
      </c>
      <c r="T220" s="365">
        <v>1</v>
      </c>
      <c r="U220" s="365" t="str">
        <f>-T220*$F$16</f>
        <v>0</v>
      </c>
      <c r="V220" s="89">
        <v>0</v>
      </c>
      <c r="W220" s="518" t="str">
        <f>V220*-$F$17</f>
        <v>0</v>
      </c>
      <c r="X220" s="509" t="str">
        <f>W220+U220+S220</f>
        <v>0</v>
      </c>
      <c r="Y220" s="514" t="str">
        <f>-$F$19</f>
        <v>0</v>
      </c>
      <c r="Z220" s="365">
        <v>0</v>
      </c>
      <c r="AA220" s="478" t="str">
        <f>-$F$21</f>
        <v>0</v>
      </c>
      <c r="AB220" s="509" t="str">
        <f>SUM(Y220:AA220)</f>
        <v>0</v>
      </c>
    </row>
    <row r="221" spans="1:30">
      <c r="O221" s="493" t="s">
        <v>104</v>
      </c>
      <c r="P221" s="105" t="s">
        <v>147</v>
      </c>
      <c r="Q221" s="496" t="str">
        <f>O221&amp;P221</f>
        <v>0</v>
      </c>
      <c r="R221" s="514">
        <v>4</v>
      </c>
      <c r="S221" s="365" t="str">
        <f>-R221*$F$15</f>
        <v>0</v>
      </c>
      <c r="T221" s="365">
        <v>1</v>
      </c>
      <c r="U221" s="365" t="str">
        <f>-T221*$F$16</f>
        <v>0</v>
      </c>
      <c r="V221" s="89">
        <v>0</v>
      </c>
      <c r="W221" s="518" t="str">
        <f>V221*-$F$17</f>
        <v>0</v>
      </c>
      <c r="X221" s="509" t="str">
        <f>W221+U221+S221</f>
        <v>0</v>
      </c>
      <c r="Y221" s="514" t="str">
        <f>-$F$19</f>
        <v>0</v>
      </c>
      <c r="Z221" s="365">
        <v>0</v>
      </c>
      <c r="AA221" s="478" t="str">
        <f>-$F$21</f>
        <v>0</v>
      </c>
      <c r="AB221" s="509" t="str">
        <f>SUM(Y221:AA221)</f>
        <v>0</v>
      </c>
    </row>
    <row r="222" spans="1:30">
      <c r="O222" s="493" t="s">
        <v>104</v>
      </c>
      <c r="P222" s="105" t="s">
        <v>148</v>
      </c>
      <c r="Q222" s="496" t="str">
        <f>O222&amp;P222</f>
        <v>0</v>
      </c>
      <c r="R222" s="514">
        <v>1</v>
      </c>
      <c r="S222" s="365" t="str">
        <f>-R222*$F$15</f>
        <v>0</v>
      </c>
      <c r="T222" s="365">
        <v>0</v>
      </c>
      <c r="U222" s="365" t="str">
        <f>-T222*$F$16</f>
        <v>0</v>
      </c>
      <c r="V222" s="89">
        <v>1</v>
      </c>
      <c r="W222" s="518" t="str">
        <f>V222*-$F$17</f>
        <v>0</v>
      </c>
      <c r="X222" s="509" t="str">
        <f>W222+U222+S222</f>
        <v>0</v>
      </c>
      <c r="Y222" s="514" t="str">
        <f>-$F$19</f>
        <v>0</v>
      </c>
      <c r="Z222" s="365" t="str">
        <f>-$F$20</f>
        <v>0</v>
      </c>
      <c r="AA222" s="478" t="str">
        <f>-$F$21</f>
        <v>0</v>
      </c>
      <c r="AB222" s="509" t="str">
        <f>SUM(Y222:AA222)</f>
        <v>0</v>
      </c>
    </row>
    <row r="223" spans="1:30">
      <c r="O223" s="493" t="s">
        <v>104</v>
      </c>
      <c r="P223" s="105" t="s">
        <v>149</v>
      </c>
      <c r="Q223" s="496" t="str">
        <f>O223&amp;P223</f>
        <v>0</v>
      </c>
      <c r="R223" s="514">
        <v>1</v>
      </c>
      <c r="S223" s="365" t="str">
        <f>-R223*$F$15</f>
        <v>0</v>
      </c>
      <c r="T223" s="365">
        <v>0</v>
      </c>
      <c r="U223" s="365" t="str">
        <f>-T223*$F$16</f>
        <v>0</v>
      </c>
      <c r="V223" s="89">
        <v>1</v>
      </c>
      <c r="W223" s="518" t="str">
        <f>V223*-$F$17</f>
        <v>0</v>
      </c>
      <c r="X223" s="509" t="str">
        <f>W223+U223+S223</f>
        <v>0</v>
      </c>
      <c r="Y223" s="514" t="str">
        <f>-$F$19</f>
        <v>0</v>
      </c>
      <c r="Z223" s="365" t="str">
        <f>-$F$20</f>
        <v>0</v>
      </c>
      <c r="AA223" s="478" t="str">
        <f>-$F$21</f>
        <v>0</v>
      </c>
      <c r="AB223" s="509" t="str">
        <f>SUM(Y223:AA223)</f>
        <v>0</v>
      </c>
    </row>
    <row r="224" spans="1:30" customHeight="1" ht="12.75">
      <c r="O224" s="494" t="s">
        <v>104</v>
      </c>
      <c r="P224" s="495" t="s">
        <v>150</v>
      </c>
      <c r="Q224" s="497" t="str">
        <f>O224&amp;P224</f>
        <v>0</v>
      </c>
      <c r="R224" s="454">
        <v>2</v>
      </c>
      <c r="S224" s="455" t="str">
        <f>-R224*$F$15</f>
        <v>0</v>
      </c>
      <c r="T224" s="455">
        <v>1</v>
      </c>
      <c r="U224" s="455" t="str">
        <f>-T224*$F$16</f>
        <v>0</v>
      </c>
      <c r="V224" s="519">
        <v>0</v>
      </c>
      <c r="W224" s="520" t="str">
        <f>V224*-$F$17</f>
        <v>0</v>
      </c>
      <c r="X224" s="510" t="str">
        <f>W224+U224+S224</f>
        <v>0</v>
      </c>
      <c r="Y224" s="514" t="str">
        <f>-$F$19</f>
        <v>0</v>
      </c>
      <c r="Z224" s="365" t="str">
        <f>-$F$20</f>
        <v>0</v>
      </c>
      <c r="AA224" s="478" t="str">
        <f>-$F$21</f>
        <v>0</v>
      </c>
      <c r="AB224" s="510" t="str">
        <f>SUM(Y224:AA224)</f>
        <v>0</v>
      </c>
    </row>
    <row r="225" spans="1:30">
      <c r="O225" s="491" t="s">
        <v>105</v>
      </c>
      <c r="P225" s="492" t="s">
        <v>141</v>
      </c>
      <c r="Q225" s="489" t="str">
        <f>O225&amp;P225</f>
        <v>0</v>
      </c>
      <c r="R225" s="513">
        <v>1</v>
      </c>
      <c r="S225" s="490" t="str">
        <f>-R225*$F$15</f>
        <v>0</v>
      </c>
      <c r="T225" s="490">
        <v>0</v>
      </c>
      <c r="U225" s="490" t="str">
        <f>-T225*$F$16</f>
        <v>0</v>
      </c>
      <c r="V225" s="88">
        <v>1</v>
      </c>
      <c r="W225" s="517" t="str">
        <f>V225*-$F$17</f>
        <v>0</v>
      </c>
      <c r="X225" s="508" t="str">
        <f>W225+U225+S225</f>
        <v>0</v>
      </c>
      <c r="Y225" s="513" t="str">
        <f>-$F$19</f>
        <v>0</v>
      </c>
      <c r="Z225" s="490">
        <v>0</v>
      </c>
      <c r="AA225" s="565" t="str">
        <f>-$F$21</f>
        <v>0</v>
      </c>
      <c r="AB225" s="521" t="str">
        <f>SUM(Y225:AA225)</f>
        <v>0</v>
      </c>
    </row>
    <row r="226" spans="1:30">
      <c r="O226" s="493" t="s">
        <v>105</v>
      </c>
      <c r="P226" s="105" t="s">
        <v>142</v>
      </c>
      <c r="Q226" s="496" t="str">
        <f>O226&amp;P226</f>
        <v>0</v>
      </c>
      <c r="R226" s="514">
        <v>1</v>
      </c>
      <c r="S226" s="365" t="str">
        <f>-R226*$F$15</f>
        <v>0</v>
      </c>
      <c r="T226" s="365">
        <v>0</v>
      </c>
      <c r="U226" s="365" t="str">
        <f>-T226*$F$16</f>
        <v>0</v>
      </c>
      <c r="V226" s="89">
        <v>1</v>
      </c>
      <c r="W226" s="518" t="str">
        <f>V226*-$F$17</f>
        <v>0</v>
      </c>
      <c r="X226" s="509" t="str">
        <f>W226+U226+S226</f>
        <v>0</v>
      </c>
      <c r="Y226" s="514" t="str">
        <f>-$F$19</f>
        <v>0</v>
      </c>
      <c r="Z226" s="365">
        <v>0</v>
      </c>
      <c r="AA226" s="566" t="str">
        <f>-$F$21</f>
        <v>0</v>
      </c>
      <c r="AB226" s="522" t="str">
        <f>SUM(Y226:AA226)</f>
        <v>0</v>
      </c>
    </row>
    <row r="227" spans="1:30">
      <c r="O227" s="493" t="s">
        <v>105</v>
      </c>
      <c r="P227" s="105" t="s">
        <v>87</v>
      </c>
      <c r="Q227" s="496" t="str">
        <f>O227&amp;P227</f>
        <v>0</v>
      </c>
      <c r="R227" s="514">
        <v>2</v>
      </c>
      <c r="S227" s="365" t="str">
        <f>-R227*$F$15</f>
        <v>0</v>
      </c>
      <c r="T227" s="365">
        <v>1</v>
      </c>
      <c r="U227" s="365" t="str">
        <f>-T227*$F$16</f>
        <v>0</v>
      </c>
      <c r="V227" s="89">
        <v>0</v>
      </c>
      <c r="W227" s="518" t="str">
        <f>V227*-$F$17</f>
        <v>0</v>
      </c>
      <c r="X227" s="509" t="str">
        <f>W227+U227+S227</f>
        <v>0</v>
      </c>
      <c r="Y227" s="514" t="str">
        <f>-$F$19</f>
        <v>0</v>
      </c>
      <c r="Z227" s="365">
        <v>0</v>
      </c>
      <c r="AA227" s="566" t="str">
        <f>-$F$21</f>
        <v>0</v>
      </c>
      <c r="AB227" s="522" t="str">
        <f>SUM(Y227:AA227)</f>
        <v>0</v>
      </c>
    </row>
    <row r="228" spans="1:30">
      <c r="O228" s="493" t="s">
        <v>105</v>
      </c>
      <c r="P228" s="105" t="s">
        <v>143</v>
      </c>
      <c r="Q228" s="496" t="str">
        <f>O228&amp;P228</f>
        <v>0</v>
      </c>
      <c r="R228" s="514">
        <v>2</v>
      </c>
      <c r="S228" s="365" t="str">
        <f>-R228*$F$15</f>
        <v>0</v>
      </c>
      <c r="T228" s="365">
        <v>0</v>
      </c>
      <c r="U228" s="365" t="str">
        <f>-T228*$F$16</f>
        <v>0</v>
      </c>
      <c r="V228" s="89">
        <v>1</v>
      </c>
      <c r="W228" s="518" t="str">
        <f>V228*-$F$17</f>
        <v>0</v>
      </c>
      <c r="X228" s="509" t="str">
        <f>W228+U228+S228</f>
        <v>0</v>
      </c>
      <c r="Y228" s="514" t="str">
        <f>-$F$19</f>
        <v>0</v>
      </c>
      <c r="Z228" s="365">
        <v>0</v>
      </c>
      <c r="AA228" s="566" t="str">
        <f>-$F$21</f>
        <v>0</v>
      </c>
      <c r="AB228" s="522" t="str">
        <f>SUM(Y228:AA228)</f>
        <v>0</v>
      </c>
    </row>
    <row r="229" spans="1:30">
      <c r="O229" s="493" t="s">
        <v>105</v>
      </c>
      <c r="P229" s="105" t="s">
        <v>144</v>
      </c>
      <c r="Q229" s="496" t="str">
        <f>O229&amp;P229</f>
        <v>0</v>
      </c>
      <c r="R229" s="514">
        <v>2</v>
      </c>
      <c r="S229" s="365" t="str">
        <f>-R229*$F$15</f>
        <v>0</v>
      </c>
      <c r="T229" s="365">
        <v>0</v>
      </c>
      <c r="U229" s="365" t="str">
        <f>-T229*$F$16</f>
        <v>0</v>
      </c>
      <c r="V229" s="89">
        <v>1</v>
      </c>
      <c r="W229" s="518" t="str">
        <f>V229*-$F$17</f>
        <v>0</v>
      </c>
      <c r="X229" s="509" t="str">
        <f>W229+U229+S229</f>
        <v>0</v>
      </c>
      <c r="Y229" s="514" t="str">
        <f>-$F$19</f>
        <v>0</v>
      </c>
      <c r="Z229" s="365">
        <v>0</v>
      </c>
      <c r="AA229" s="566" t="str">
        <f>-$F$21</f>
        <v>0</v>
      </c>
      <c r="AB229" s="522" t="str">
        <f>SUM(Y229:AA229)</f>
        <v>0</v>
      </c>
    </row>
    <row r="230" spans="1:30">
      <c r="O230" s="493" t="s">
        <v>105</v>
      </c>
      <c r="P230" s="105" t="s">
        <v>145</v>
      </c>
      <c r="Q230" s="496" t="str">
        <f>O230&amp;P230</f>
        <v>0</v>
      </c>
      <c r="R230" s="514">
        <v>3</v>
      </c>
      <c r="S230" s="365" t="str">
        <f>-R230*$F$15</f>
        <v>0</v>
      </c>
      <c r="T230" s="365">
        <v>1</v>
      </c>
      <c r="U230" s="365" t="str">
        <f>-T230*$F$16</f>
        <v>0</v>
      </c>
      <c r="V230" s="89">
        <v>0</v>
      </c>
      <c r="W230" s="518" t="str">
        <f>V230*-$F$17</f>
        <v>0</v>
      </c>
      <c r="X230" s="509" t="str">
        <f>W230+U230+S230</f>
        <v>0</v>
      </c>
      <c r="Y230" s="514" t="str">
        <f>-$F$19</f>
        <v>0</v>
      </c>
      <c r="Z230" s="365">
        <v>0</v>
      </c>
      <c r="AA230" s="566" t="str">
        <f>-$F$21</f>
        <v>0</v>
      </c>
      <c r="AB230" s="522" t="str">
        <f>SUM(Y230:AA230)</f>
        <v>0</v>
      </c>
    </row>
    <row r="231" spans="1:30">
      <c r="O231" s="493" t="s">
        <v>105</v>
      </c>
      <c r="P231" s="105" t="s">
        <v>146</v>
      </c>
      <c r="Q231" s="496" t="str">
        <f>O231&amp;P231</f>
        <v>0</v>
      </c>
      <c r="R231" s="514">
        <v>3</v>
      </c>
      <c r="S231" s="365" t="str">
        <f>-R231*$F$15</f>
        <v>0</v>
      </c>
      <c r="T231" s="365">
        <v>1</v>
      </c>
      <c r="U231" s="365" t="str">
        <f>-T231*$F$16</f>
        <v>0</v>
      </c>
      <c r="V231" s="89">
        <v>0</v>
      </c>
      <c r="W231" s="518" t="str">
        <f>V231*-$F$17</f>
        <v>0</v>
      </c>
      <c r="X231" s="509" t="str">
        <f>W231+U231+S231</f>
        <v>0</v>
      </c>
      <c r="Y231" s="514" t="str">
        <f>-$F$19</f>
        <v>0</v>
      </c>
      <c r="Z231" s="365">
        <v>0</v>
      </c>
      <c r="AA231" s="566" t="str">
        <f>-$F$21</f>
        <v>0</v>
      </c>
      <c r="AB231" s="522" t="str">
        <f>SUM(Y231:AA231)</f>
        <v>0</v>
      </c>
    </row>
    <row r="232" spans="1:30">
      <c r="O232" s="493" t="s">
        <v>105</v>
      </c>
      <c r="P232" s="105" t="s">
        <v>147</v>
      </c>
      <c r="Q232" s="496" t="str">
        <f>O232&amp;P232</f>
        <v>0</v>
      </c>
      <c r="R232" s="514">
        <v>4</v>
      </c>
      <c r="S232" s="365" t="str">
        <f>-R232*$F$15</f>
        <v>0</v>
      </c>
      <c r="T232" s="365">
        <v>1</v>
      </c>
      <c r="U232" s="365" t="str">
        <f>-T232*$F$16</f>
        <v>0</v>
      </c>
      <c r="V232" s="89">
        <v>0</v>
      </c>
      <c r="W232" s="518" t="str">
        <f>V232*-$F$17</f>
        <v>0</v>
      </c>
      <c r="X232" s="509" t="str">
        <f>W232+U232+S232</f>
        <v>0</v>
      </c>
      <c r="Y232" s="514" t="str">
        <f>-$F$19</f>
        <v>0</v>
      </c>
      <c r="Z232" s="365">
        <v>0</v>
      </c>
      <c r="AA232" s="566" t="str">
        <f>-$F$21</f>
        <v>0</v>
      </c>
      <c r="AB232" s="522" t="str">
        <f>SUM(Y232:AA232)</f>
        <v>0</v>
      </c>
    </row>
    <row r="233" spans="1:30">
      <c r="O233" s="493" t="s">
        <v>105</v>
      </c>
      <c r="P233" s="105" t="s">
        <v>148</v>
      </c>
      <c r="Q233" s="496" t="str">
        <f>O233&amp;P233</f>
        <v>0</v>
      </c>
      <c r="R233" s="514">
        <v>1</v>
      </c>
      <c r="S233" s="365" t="str">
        <f>-R233*$F$15</f>
        <v>0</v>
      </c>
      <c r="T233" s="365">
        <v>0</v>
      </c>
      <c r="U233" s="365" t="str">
        <f>-T233*$F$16</f>
        <v>0</v>
      </c>
      <c r="V233" s="89">
        <v>1</v>
      </c>
      <c r="W233" s="518" t="str">
        <f>V233*-$F$17</f>
        <v>0</v>
      </c>
      <c r="X233" s="509" t="str">
        <f>W233+U233+S233</f>
        <v>0</v>
      </c>
      <c r="Y233" s="514" t="str">
        <f>-$F$19</f>
        <v>0</v>
      </c>
      <c r="Z233" s="365" t="str">
        <f>-$F$20</f>
        <v>0</v>
      </c>
      <c r="AA233" s="566" t="str">
        <f>-$F$21</f>
        <v>0</v>
      </c>
      <c r="AB233" s="522" t="str">
        <f>SUM(Y233:AA233)</f>
        <v>0</v>
      </c>
    </row>
    <row r="234" spans="1:30">
      <c r="O234" s="493" t="s">
        <v>105</v>
      </c>
      <c r="P234" s="105" t="s">
        <v>149</v>
      </c>
      <c r="Q234" s="496" t="str">
        <f>O234&amp;P234</f>
        <v>0</v>
      </c>
      <c r="R234" s="514">
        <v>1</v>
      </c>
      <c r="S234" s="365" t="str">
        <f>-R234*$F$15</f>
        <v>0</v>
      </c>
      <c r="T234" s="365">
        <v>0</v>
      </c>
      <c r="U234" s="365" t="str">
        <f>-T234*$F$16</f>
        <v>0</v>
      </c>
      <c r="V234" s="89">
        <v>1</v>
      </c>
      <c r="W234" s="518" t="str">
        <f>V234*-$F$17</f>
        <v>0</v>
      </c>
      <c r="X234" s="509" t="str">
        <f>W234+U234+S234</f>
        <v>0</v>
      </c>
      <c r="Y234" s="514" t="str">
        <f>-$F$19</f>
        <v>0</v>
      </c>
      <c r="Z234" s="365" t="str">
        <f>-$F$20</f>
        <v>0</v>
      </c>
      <c r="AA234" s="566" t="str">
        <f>-$F$21</f>
        <v>0</v>
      </c>
      <c r="AB234" s="522" t="str">
        <f>SUM(Y234:AA234)</f>
        <v>0</v>
      </c>
    </row>
    <row r="235" spans="1:30" customHeight="1" ht="12.75">
      <c r="O235" s="494" t="s">
        <v>105</v>
      </c>
      <c r="P235" s="495" t="s">
        <v>150</v>
      </c>
      <c r="Q235" s="497" t="str">
        <f>O235&amp;P235</f>
        <v>0</v>
      </c>
      <c r="R235" s="454">
        <v>2</v>
      </c>
      <c r="S235" s="455" t="str">
        <f>-R235*$F$15</f>
        <v>0</v>
      </c>
      <c r="T235" s="455">
        <v>1</v>
      </c>
      <c r="U235" s="455" t="str">
        <f>-T235*$F$16</f>
        <v>0</v>
      </c>
      <c r="V235" s="519">
        <v>0</v>
      </c>
      <c r="W235" s="520" t="str">
        <f>V235*-$F$17</f>
        <v>0</v>
      </c>
      <c r="X235" s="510" t="str">
        <f>W235+U235+S235</f>
        <v>0</v>
      </c>
      <c r="Y235" s="533" t="str">
        <f>-$F$19</f>
        <v>0</v>
      </c>
      <c r="Z235" s="534" t="str">
        <f>-$F$20</f>
        <v>0</v>
      </c>
      <c r="AA235" s="567" t="str">
        <f>-$F$21</f>
        <v>0</v>
      </c>
      <c r="AB235" s="523" t="str">
        <f>SUM(Y235:AA235)</f>
        <v>0</v>
      </c>
    </row>
    <row r="236" spans="1:30">
      <c r="O236" s="491" t="s">
        <v>106</v>
      </c>
      <c r="P236" s="492" t="s">
        <v>141</v>
      </c>
      <c r="Q236" s="489" t="str">
        <f>O236&amp;P236</f>
        <v>0</v>
      </c>
      <c r="R236" s="513">
        <v>1</v>
      </c>
      <c r="S236" s="490" t="str">
        <f>-R236*$F$15</f>
        <v>0</v>
      </c>
      <c r="T236" s="490">
        <v>0</v>
      </c>
      <c r="U236" s="490" t="str">
        <f>-T236*$F$16</f>
        <v>0</v>
      </c>
      <c r="V236" s="88">
        <v>1</v>
      </c>
      <c r="W236" s="517" t="str">
        <f>V236*-$F$17</f>
        <v>0</v>
      </c>
      <c r="X236" s="508" t="str">
        <f>W236+U236+S236</f>
        <v>0</v>
      </c>
      <c r="Y236" s="513" t="str">
        <f>-$F$19</f>
        <v>0</v>
      </c>
      <c r="Z236" s="490">
        <v>0</v>
      </c>
      <c r="AA236" s="565" t="str">
        <f>-$F$21</f>
        <v>0</v>
      </c>
      <c r="AB236" s="521" t="str">
        <f>SUM(Y236:AA236)</f>
        <v>0</v>
      </c>
    </row>
    <row r="237" spans="1:30">
      <c r="O237" s="493" t="s">
        <v>106</v>
      </c>
      <c r="P237" s="105" t="s">
        <v>142</v>
      </c>
      <c r="Q237" s="496" t="str">
        <f>O237&amp;P237</f>
        <v>0</v>
      </c>
      <c r="R237" s="514">
        <v>1</v>
      </c>
      <c r="S237" s="365" t="str">
        <f>-R237*$F$15</f>
        <v>0</v>
      </c>
      <c r="T237" s="365">
        <v>0</v>
      </c>
      <c r="U237" s="365" t="str">
        <f>-T237*$F$16</f>
        <v>0</v>
      </c>
      <c r="V237" s="89">
        <v>1</v>
      </c>
      <c r="W237" s="518" t="str">
        <f>V237*-$F$17</f>
        <v>0</v>
      </c>
      <c r="X237" s="509" t="str">
        <f>W237+U237+S237</f>
        <v>0</v>
      </c>
      <c r="Y237" s="514" t="str">
        <f>-$F$19</f>
        <v>0</v>
      </c>
      <c r="Z237" s="365">
        <v>0</v>
      </c>
      <c r="AA237" s="566" t="str">
        <f>-$F$21</f>
        <v>0</v>
      </c>
      <c r="AB237" s="522" t="str">
        <f>SUM(Y237:AA237)</f>
        <v>0</v>
      </c>
    </row>
    <row r="238" spans="1:30">
      <c r="O238" s="493" t="s">
        <v>106</v>
      </c>
      <c r="P238" s="105" t="s">
        <v>87</v>
      </c>
      <c r="Q238" s="496" t="str">
        <f>O238&amp;P238</f>
        <v>0</v>
      </c>
      <c r="R238" s="514">
        <v>2</v>
      </c>
      <c r="S238" s="365" t="str">
        <f>-R238*$F$15</f>
        <v>0</v>
      </c>
      <c r="T238" s="365">
        <v>1</v>
      </c>
      <c r="U238" s="365" t="str">
        <f>-T238*$F$16</f>
        <v>0</v>
      </c>
      <c r="V238" s="89">
        <v>0</v>
      </c>
      <c r="W238" s="518" t="str">
        <f>V238*-$F$17</f>
        <v>0</v>
      </c>
      <c r="X238" s="509" t="str">
        <f>W238+U238+S238</f>
        <v>0</v>
      </c>
      <c r="Y238" s="514" t="str">
        <f>-$F$19</f>
        <v>0</v>
      </c>
      <c r="Z238" s="365">
        <v>0</v>
      </c>
      <c r="AA238" s="566" t="str">
        <f>-$F$21</f>
        <v>0</v>
      </c>
      <c r="AB238" s="522" t="str">
        <f>SUM(Y238:AA238)</f>
        <v>0</v>
      </c>
    </row>
    <row r="239" spans="1:30">
      <c r="O239" s="493" t="s">
        <v>106</v>
      </c>
      <c r="P239" s="105" t="s">
        <v>143</v>
      </c>
      <c r="Q239" s="496" t="str">
        <f>O239&amp;P239</f>
        <v>0</v>
      </c>
      <c r="R239" s="514">
        <v>2</v>
      </c>
      <c r="S239" s="365" t="str">
        <f>-R239*$F$15</f>
        <v>0</v>
      </c>
      <c r="T239" s="365">
        <v>0</v>
      </c>
      <c r="U239" s="365" t="str">
        <f>-T239*$F$16</f>
        <v>0</v>
      </c>
      <c r="V239" s="89">
        <v>1</v>
      </c>
      <c r="W239" s="518" t="str">
        <f>V239*-$F$17</f>
        <v>0</v>
      </c>
      <c r="X239" s="509" t="str">
        <f>W239+U239+S239</f>
        <v>0</v>
      </c>
      <c r="Y239" s="514" t="str">
        <f>-$F$19</f>
        <v>0</v>
      </c>
      <c r="Z239" s="365">
        <v>0</v>
      </c>
      <c r="AA239" s="566" t="str">
        <f>-$F$21</f>
        <v>0</v>
      </c>
      <c r="AB239" s="522" t="str">
        <f>SUM(Y239:AA239)</f>
        <v>0</v>
      </c>
    </row>
    <row r="240" spans="1:30">
      <c r="O240" s="493" t="s">
        <v>106</v>
      </c>
      <c r="P240" s="105" t="s">
        <v>144</v>
      </c>
      <c r="Q240" s="496" t="str">
        <f>O240&amp;P240</f>
        <v>0</v>
      </c>
      <c r="R240" s="514">
        <v>2</v>
      </c>
      <c r="S240" s="365" t="str">
        <f>-R240*$F$15</f>
        <v>0</v>
      </c>
      <c r="T240" s="365">
        <v>0</v>
      </c>
      <c r="U240" s="365" t="str">
        <f>-T240*$F$16</f>
        <v>0</v>
      </c>
      <c r="V240" s="89">
        <v>1</v>
      </c>
      <c r="W240" s="518" t="str">
        <f>V240*-$F$17</f>
        <v>0</v>
      </c>
      <c r="X240" s="509" t="str">
        <f>W240+U240+S240</f>
        <v>0</v>
      </c>
      <c r="Y240" s="514" t="str">
        <f>-$F$19</f>
        <v>0</v>
      </c>
      <c r="Z240" s="365">
        <v>0</v>
      </c>
      <c r="AA240" s="566" t="str">
        <f>-$F$21</f>
        <v>0</v>
      </c>
      <c r="AB240" s="522" t="str">
        <f>SUM(Y240:AA240)</f>
        <v>0</v>
      </c>
    </row>
    <row r="241" spans="1:30">
      <c r="O241" s="493" t="s">
        <v>106</v>
      </c>
      <c r="P241" s="105" t="s">
        <v>145</v>
      </c>
      <c r="Q241" s="496" t="str">
        <f>O241&amp;P241</f>
        <v>0</v>
      </c>
      <c r="R241" s="514">
        <v>3</v>
      </c>
      <c r="S241" s="365" t="str">
        <f>-R241*$F$15</f>
        <v>0</v>
      </c>
      <c r="T241" s="365">
        <v>1</v>
      </c>
      <c r="U241" s="365" t="str">
        <f>-T241*$F$16</f>
        <v>0</v>
      </c>
      <c r="V241" s="89">
        <v>0</v>
      </c>
      <c r="W241" s="518" t="str">
        <f>V241*-$F$17</f>
        <v>0</v>
      </c>
      <c r="X241" s="509" t="str">
        <f>W241+U241+S241</f>
        <v>0</v>
      </c>
      <c r="Y241" s="514" t="str">
        <f>-$F$19</f>
        <v>0</v>
      </c>
      <c r="Z241" s="365">
        <v>0</v>
      </c>
      <c r="AA241" s="566" t="str">
        <f>-$F$21</f>
        <v>0</v>
      </c>
      <c r="AB241" s="522" t="str">
        <f>SUM(Y241:AA241)</f>
        <v>0</v>
      </c>
    </row>
    <row r="242" spans="1:30">
      <c r="O242" s="493" t="s">
        <v>106</v>
      </c>
      <c r="P242" s="105" t="s">
        <v>146</v>
      </c>
      <c r="Q242" s="496" t="str">
        <f>O242&amp;P242</f>
        <v>0</v>
      </c>
      <c r="R242" s="514">
        <v>3</v>
      </c>
      <c r="S242" s="365" t="str">
        <f>-R242*$F$15</f>
        <v>0</v>
      </c>
      <c r="T242" s="365">
        <v>1</v>
      </c>
      <c r="U242" s="365" t="str">
        <f>-T242*$F$16</f>
        <v>0</v>
      </c>
      <c r="V242" s="89">
        <v>0</v>
      </c>
      <c r="W242" s="518" t="str">
        <f>V242*-$F$17</f>
        <v>0</v>
      </c>
      <c r="X242" s="509" t="str">
        <f>W242+U242+S242</f>
        <v>0</v>
      </c>
      <c r="Y242" s="514" t="str">
        <f>-$F$19</f>
        <v>0</v>
      </c>
      <c r="Z242" s="365">
        <v>0</v>
      </c>
      <c r="AA242" s="566" t="str">
        <f>-$F$21</f>
        <v>0</v>
      </c>
      <c r="AB242" s="522" t="str">
        <f>SUM(Y242:AA242)</f>
        <v>0</v>
      </c>
    </row>
    <row r="243" spans="1:30">
      <c r="O243" s="493" t="s">
        <v>106</v>
      </c>
      <c r="P243" s="105" t="s">
        <v>147</v>
      </c>
      <c r="Q243" s="496" t="str">
        <f>O243&amp;P243</f>
        <v>0</v>
      </c>
      <c r="R243" s="514">
        <v>4</v>
      </c>
      <c r="S243" s="365" t="str">
        <f>-R243*$F$15</f>
        <v>0</v>
      </c>
      <c r="T243" s="365">
        <v>1</v>
      </c>
      <c r="U243" s="365" t="str">
        <f>-T243*$F$16</f>
        <v>0</v>
      </c>
      <c r="V243" s="89">
        <v>0</v>
      </c>
      <c r="W243" s="518" t="str">
        <f>V243*-$F$17</f>
        <v>0</v>
      </c>
      <c r="X243" s="509" t="str">
        <f>W243+U243+S243</f>
        <v>0</v>
      </c>
      <c r="Y243" s="514" t="str">
        <f>-$F$19</f>
        <v>0</v>
      </c>
      <c r="Z243" s="365">
        <v>0</v>
      </c>
      <c r="AA243" s="566" t="str">
        <f>-$F$21</f>
        <v>0</v>
      </c>
      <c r="AB243" s="522" t="str">
        <f>SUM(Y243:AA243)</f>
        <v>0</v>
      </c>
    </row>
    <row r="244" spans="1:30">
      <c r="O244" s="493" t="s">
        <v>106</v>
      </c>
      <c r="P244" s="105" t="s">
        <v>148</v>
      </c>
      <c r="Q244" s="496" t="str">
        <f>O244&amp;P244</f>
        <v>0</v>
      </c>
      <c r="R244" s="514">
        <v>1</v>
      </c>
      <c r="S244" s="365" t="str">
        <f>-R244*$F$15</f>
        <v>0</v>
      </c>
      <c r="T244" s="365">
        <v>0</v>
      </c>
      <c r="U244" s="365" t="str">
        <f>-T244*$F$16</f>
        <v>0</v>
      </c>
      <c r="V244" s="89">
        <v>1</v>
      </c>
      <c r="W244" s="518" t="str">
        <f>V244*-$F$17</f>
        <v>0</v>
      </c>
      <c r="X244" s="509" t="str">
        <f>W244+U244+S244</f>
        <v>0</v>
      </c>
      <c r="Y244" s="514" t="str">
        <f>-$F$19</f>
        <v>0</v>
      </c>
      <c r="Z244" s="365" t="str">
        <f>-$F$20</f>
        <v>0</v>
      </c>
      <c r="AA244" s="566" t="str">
        <f>-$F$21</f>
        <v>0</v>
      </c>
      <c r="AB244" s="522" t="str">
        <f>SUM(Y244:AA244)</f>
        <v>0</v>
      </c>
    </row>
    <row r="245" spans="1:30">
      <c r="O245" s="493" t="s">
        <v>106</v>
      </c>
      <c r="P245" s="105" t="s">
        <v>149</v>
      </c>
      <c r="Q245" s="496" t="str">
        <f>O245&amp;P245</f>
        <v>0</v>
      </c>
      <c r="R245" s="514">
        <v>1</v>
      </c>
      <c r="S245" s="365" t="str">
        <f>-R245*$F$15</f>
        <v>0</v>
      </c>
      <c r="T245" s="365">
        <v>0</v>
      </c>
      <c r="U245" s="365" t="str">
        <f>-T245*$F$16</f>
        <v>0</v>
      </c>
      <c r="V245" s="89">
        <v>1</v>
      </c>
      <c r="W245" s="518" t="str">
        <f>V245*-$F$17</f>
        <v>0</v>
      </c>
      <c r="X245" s="509" t="str">
        <f>W245+U245+S245</f>
        <v>0</v>
      </c>
      <c r="Y245" s="514" t="str">
        <f>-$F$19</f>
        <v>0</v>
      </c>
      <c r="Z245" s="365" t="str">
        <f>-$F$20</f>
        <v>0</v>
      </c>
      <c r="AA245" s="566" t="str">
        <f>-$F$21</f>
        <v>0</v>
      </c>
      <c r="AB245" s="522" t="str">
        <f>SUM(Y245:AA245)</f>
        <v>0</v>
      </c>
    </row>
    <row r="246" spans="1:30" customHeight="1" ht="12.75">
      <c r="O246" s="494" t="s">
        <v>106</v>
      </c>
      <c r="P246" s="495" t="s">
        <v>150</v>
      </c>
      <c r="Q246" s="497" t="str">
        <f>O246&amp;P246</f>
        <v>0</v>
      </c>
      <c r="R246" s="454">
        <v>2</v>
      </c>
      <c r="S246" s="455" t="str">
        <f>-R246*$F$15</f>
        <v>0</v>
      </c>
      <c r="T246" s="455">
        <v>1</v>
      </c>
      <c r="U246" s="455" t="str">
        <f>-T246*$F$16</f>
        <v>0</v>
      </c>
      <c r="V246" s="519">
        <v>0</v>
      </c>
      <c r="W246" s="520" t="str">
        <f>V246*-$F$17</f>
        <v>0</v>
      </c>
      <c r="X246" s="510" t="str">
        <f>W246+U246+S246</f>
        <v>0</v>
      </c>
      <c r="Y246" s="533" t="str">
        <f>-$F$19</f>
        <v>0</v>
      </c>
      <c r="Z246" s="534" t="str">
        <f>-$F$20</f>
        <v>0</v>
      </c>
      <c r="AA246" s="567" t="str">
        <f>-$F$21</f>
        <v>0</v>
      </c>
      <c r="AB246" s="523" t="str">
        <f>SUM(Y246:AA246)</f>
        <v>0</v>
      </c>
    </row>
    <row r="247" spans="1:30">
      <c r="O247" s="491" t="s">
        <v>107</v>
      </c>
      <c r="P247" s="492" t="s">
        <v>141</v>
      </c>
      <c r="Q247" s="489" t="str">
        <f>O247&amp;P247</f>
        <v>0</v>
      </c>
      <c r="R247" s="513">
        <v>1</v>
      </c>
      <c r="S247" s="490" t="str">
        <f>-R247*$F$15</f>
        <v>0</v>
      </c>
      <c r="T247" s="490">
        <v>0</v>
      </c>
      <c r="U247" s="490" t="str">
        <f>-T247*$F$16</f>
        <v>0</v>
      </c>
      <c r="V247" s="88">
        <v>1</v>
      </c>
      <c r="W247" s="517" t="str">
        <f>V247*-$F$17</f>
        <v>0</v>
      </c>
      <c r="X247" s="508" t="str">
        <f>W247+U247+S247</f>
        <v>0</v>
      </c>
      <c r="Y247" s="555" t="str">
        <f>-$F$19</f>
        <v>0</v>
      </c>
      <c r="Z247" s="365">
        <v>0</v>
      </c>
      <c r="AA247" s="478" t="str">
        <f>-$F$21</f>
        <v>0</v>
      </c>
      <c r="AB247" s="508" t="str">
        <f>SUM(Y247:AA247)</f>
        <v>0</v>
      </c>
    </row>
    <row r="248" spans="1:30">
      <c r="O248" s="493" t="s">
        <v>107</v>
      </c>
      <c r="P248" s="105" t="s">
        <v>142</v>
      </c>
      <c r="Q248" s="496" t="str">
        <f>O248&amp;P248</f>
        <v>0</v>
      </c>
      <c r="R248" s="514">
        <v>1</v>
      </c>
      <c r="S248" s="365" t="str">
        <f>-R248*$F$15</f>
        <v>0</v>
      </c>
      <c r="T248" s="365">
        <v>0</v>
      </c>
      <c r="U248" s="365" t="str">
        <f>-T248*$F$16</f>
        <v>0</v>
      </c>
      <c r="V248" s="89">
        <v>1</v>
      </c>
      <c r="W248" s="518" t="str">
        <f>V248*-$F$17</f>
        <v>0</v>
      </c>
      <c r="X248" s="509" t="str">
        <f>W248+U248+S248</f>
        <v>0</v>
      </c>
      <c r="Y248" s="555" t="str">
        <f>-$F$19</f>
        <v>0</v>
      </c>
      <c r="Z248" s="365">
        <v>0</v>
      </c>
      <c r="AA248" s="478" t="str">
        <f>-$F$21</f>
        <v>0</v>
      </c>
      <c r="AB248" s="509" t="str">
        <f>SUM(Y248:AA248)</f>
        <v>0</v>
      </c>
    </row>
    <row r="249" spans="1:30">
      <c r="O249" s="493" t="s">
        <v>107</v>
      </c>
      <c r="P249" s="105" t="s">
        <v>87</v>
      </c>
      <c r="Q249" s="496" t="str">
        <f>O249&amp;P249</f>
        <v>0</v>
      </c>
      <c r="R249" s="514">
        <v>2</v>
      </c>
      <c r="S249" s="365" t="str">
        <f>-R249*$F$15</f>
        <v>0</v>
      </c>
      <c r="T249" s="365">
        <v>1</v>
      </c>
      <c r="U249" s="365" t="str">
        <f>-T249*$F$16</f>
        <v>0</v>
      </c>
      <c r="V249" s="89">
        <v>0</v>
      </c>
      <c r="W249" s="518" t="str">
        <f>V249*-$F$17</f>
        <v>0</v>
      </c>
      <c r="X249" s="509" t="str">
        <f>W249+U249+S249</f>
        <v>0</v>
      </c>
      <c r="Y249" s="555" t="str">
        <f>-$F$19</f>
        <v>0</v>
      </c>
      <c r="Z249" s="365">
        <v>0</v>
      </c>
      <c r="AA249" s="478" t="str">
        <f>-$F$21</f>
        <v>0</v>
      </c>
      <c r="AB249" s="509" t="str">
        <f>SUM(Y249:AA249)</f>
        <v>0</v>
      </c>
    </row>
    <row r="250" spans="1:30">
      <c r="O250" s="493" t="s">
        <v>107</v>
      </c>
      <c r="P250" s="105" t="s">
        <v>143</v>
      </c>
      <c r="Q250" s="496" t="str">
        <f>O250&amp;P250</f>
        <v>0</v>
      </c>
      <c r="R250" s="514">
        <v>2</v>
      </c>
      <c r="S250" s="365" t="str">
        <f>-R250*$F$15</f>
        <v>0</v>
      </c>
      <c r="T250" s="365">
        <v>0</v>
      </c>
      <c r="U250" s="365" t="str">
        <f>-T250*$F$16</f>
        <v>0</v>
      </c>
      <c r="V250" s="89">
        <v>1</v>
      </c>
      <c r="W250" s="518" t="str">
        <f>V250*-$F$17</f>
        <v>0</v>
      </c>
      <c r="X250" s="509" t="str">
        <f>W250+U250+S250</f>
        <v>0</v>
      </c>
      <c r="Y250" s="555" t="str">
        <f>-$F$19</f>
        <v>0</v>
      </c>
      <c r="Z250" s="365">
        <v>0</v>
      </c>
      <c r="AA250" s="478" t="str">
        <f>-$F$21</f>
        <v>0</v>
      </c>
      <c r="AB250" s="509" t="str">
        <f>SUM(Y250:AA250)</f>
        <v>0</v>
      </c>
    </row>
    <row r="251" spans="1:30">
      <c r="O251" s="493" t="s">
        <v>107</v>
      </c>
      <c r="P251" s="105" t="s">
        <v>144</v>
      </c>
      <c r="Q251" s="496" t="str">
        <f>O251&amp;P251</f>
        <v>0</v>
      </c>
      <c r="R251" s="514">
        <v>2</v>
      </c>
      <c r="S251" s="365" t="str">
        <f>-R251*$F$15</f>
        <v>0</v>
      </c>
      <c r="T251" s="365">
        <v>0</v>
      </c>
      <c r="U251" s="365" t="str">
        <f>-T251*$F$16</f>
        <v>0</v>
      </c>
      <c r="V251" s="89">
        <v>1</v>
      </c>
      <c r="W251" s="518" t="str">
        <f>V251*-$F$17</f>
        <v>0</v>
      </c>
      <c r="X251" s="509" t="str">
        <f>W251+U251+S251</f>
        <v>0</v>
      </c>
      <c r="Y251" s="555" t="str">
        <f>-$F$19</f>
        <v>0</v>
      </c>
      <c r="Z251" s="365">
        <v>0</v>
      </c>
      <c r="AA251" s="478" t="str">
        <f>-$F$21</f>
        <v>0</v>
      </c>
      <c r="AB251" s="509" t="str">
        <f>SUM(Y251:AA251)</f>
        <v>0</v>
      </c>
    </row>
    <row r="252" spans="1:30">
      <c r="O252" s="493" t="s">
        <v>107</v>
      </c>
      <c r="P252" s="105" t="s">
        <v>145</v>
      </c>
      <c r="Q252" s="496" t="str">
        <f>O252&amp;P252</f>
        <v>0</v>
      </c>
      <c r="R252" s="514">
        <v>3</v>
      </c>
      <c r="S252" s="365" t="str">
        <f>-R252*$F$15</f>
        <v>0</v>
      </c>
      <c r="T252" s="365">
        <v>1</v>
      </c>
      <c r="U252" s="365" t="str">
        <f>-T252*$F$16</f>
        <v>0</v>
      </c>
      <c r="V252" s="89">
        <v>0</v>
      </c>
      <c r="W252" s="518" t="str">
        <f>V252*-$F$17</f>
        <v>0</v>
      </c>
      <c r="X252" s="509" t="str">
        <f>W252+U252+S252</f>
        <v>0</v>
      </c>
      <c r="Y252" s="555" t="str">
        <f>-$F$19</f>
        <v>0</v>
      </c>
      <c r="Z252" s="365">
        <v>0</v>
      </c>
      <c r="AA252" s="478" t="str">
        <f>-$F$21</f>
        <v>0</v>
      </c>
      <c r="AB252" s="509" t="str">
        <f>SUM(Y252:AA252)</f>
        <v>0</v>
      </c>
    </row>
    <row r="253" spans="1:30">
      <c r="O253" s="493" t="s">
        <v>107</v>
      </c>
      <c r="P253" s="105" t="s">
        <v>146</v>
      </c>
      <c r="Q253" s="496" t="str">
        <f>O253&amp;P253</f>
        <v>0</v>
      </c>
      <c r="R253" s="514">
        <v>3</v>
      </c>
      <c r="S253" s="365" t="str">
        <f>-R253*$F$15</f>
        <v>0</v>
      </c>
      <c r="T253" s="365">
        <v>1</v>
      </c>
      <c r="U253" s="365" t="str">
        <f>-T253*$F$16</f>
        <v>0</v>
      </c>
      <c r="V253" s="89">
        <v>0</v>
      </c>
      <c r="W253" s="518" t="str">
        <f>V253*-$F$17</f>
        <v>0</v>
      </c>
      <c r="X253" s="509" t="str">
        <f>W253+U253+S253</f>
        <v>0</v>
      </c>
      <c r="Y253" s="555" t="str">
        <f>-$F$19</f>
        <v>0</v>
      </c>
      <c r="Z253" s="365">
        <v>0</v>
      </c>
      <c r="AA253" s="478" t="str">
        <f>-$F$21</f>
        <v>0</v>
      </c>
      <c r="AB253" s="509" t="str">
        <f>SUM(Y253:AA253)</f>
        <v>0</v>
      </c>
    </row>
    <row r="254" spans="1:30">
      <c r="O254" s="493" t="s">
        <v>107</v>
      </c>
      <c r="P254" s="105" t="s">
        <v>147</v>
      </c>
      <c r="Q254" s="496" t="str">
        <f>O254&amp;P254</f>
        <v>0</v>
      </c>
      <c r="R254" s="514">
        <v>4</v>
      </c>
      <c r="S254" s="365" t="str">
        <f>-R254*$F$15</f>
        <v>0</v>
      </c>
      <c r="T254" s="365">
        <v>1</v>
      </c>
      <c r="U254" s="365" t="str">
        <f>-T254*$F$16</f>
        <v>0</v>
      </c>
      <c r="V254" s="89">
        <v>0</v>
      </c>
      <c r="W254" s="518" t="str">
        <f>V254*-$F$17</f>
        <v>0</v>
      </c>
      <c r="X254" s="509" t="str">
        <f>W254+U254+S254</f>
        <v>0</v>
      </c>
      <c r="Y254" s="555" t="str">
        <f>-$F$19</f>
        <v>0</v>
      </c>
      <c r="Z254" s="365">
        <v>0</v>
      </c>
      <c r="AA254" s="478" t="str">
        <f>-$F$21</f>
        <v>0</v>
      </c>
      <c r="AB254" s="509" t="str">
        <f>SUM(Y254:AA254)</f>
        <v>0</v>
      </c>
    </row>
    <row r="255" spans="1:30">
      <c r="O255" s="493" t="s">
        <v>107</v>
      </c>
      <c r="P255" s="105" t="s">
        <v>148</v>
      </c>
      <c r="Q255" s="496" t="str">
        <f>O255&amp;P255</f>
        <v>0</v>
      </c>
      <c r="R255" s="514">
        <v>1</v>
      </c>
      <c r="S255" s="365" t="str">
        <f>-R255*$F$15</f>
        <v>0</v>
      </c>
      <c r="T255" s="365">
        <v>0</v>
      </c>
      <c r="U255" s="365" t="str">
        <f>-T255*$F$16</f>
        <v>0</v>
      </c>
      <c r="V255" s="89">
        <v>1</v>
      </c>
      <c r="W255" s="518" t="str">
        <f>V255*-$F$17</f>
        <v>0</v>
      </c>
      <c r="X255" s="509" t="str">
        <f>W255+U255+S255</f>
        <v>0</v>
      </c>
      <c r="Y255" s="555" t="str">
        <f>-$F$19</f>
        <v>0</v>
      </c>
      <c r="Z255" s="365" t="str">
        <f>-$F$20</f>
        <v>0</v>
      </c>
      <c r="AA255" s="478" t="str">
        <f>-$F$21</f>
        <v>0</v>
      </c>
      <c r="AB255" s="509" t="str">
        <f>SUM(Y255:AA255)</f>
        <v>0</v>
      </c>
    </row>
    <row r="256" spans="1:30">
      <c r="O256" s="493" t="s">
        <v>107</v>
      </c>
      <c r="P256" s="105" t="s">
        <v>149</v>
      </c>
      <c r="Q256" s="496" t="str">
        <f>O256&amp;P256</f>
        <v>0</v>
      </c>
      <c r="R256" s="514">
        <v>1</v>
      </c>
      <c r="S256" s="365" t="str">
        <f>-R256*$F$15</f>
        <v>0</v>
      </c>
      <c r="T256" s="365">
        <v>0</v>
      </c>
      <c r="U256" s="365" t="str">
        <f>-T256*$F$16</f>
        <v>0</v>
      </c>
      <c r="V256" s="89">
        <v>1</v>
      </c>
      <c r="W256" s="518" t="str">
        <f>V256*-$F$17</f>
        <v>0</v>
      </c>
      <c r="X256" s="509" t="str">
        <f>W256+U256+S256</f>
        <v>0</v>
      </c>
      <c r="Y256" s="555" t="str">
        <f>-$F$19</f>
        <v>0</v>
      </c>
      <c r="Z256" s="365" t="str">
        <f>-$F$20</f>
        <v>0</v>
      </c>
      <c r="AA256" s="478" t="str">
        <f>-$F$21</f>
        <v>0</v>
      </c>
      <c r="AB256" s="509" t="str">
        <f>SUM(Y256:AA256)</f>
        <v>0</v>
      </c>
    </row>
    <row r="257" spans="1:30" customHeight="1" ht="12.75">
      <c r="O257" s="494" t="s">
        <v>107</v>
      </c>
      <c r="P257" s="495" t="s">
        <v>150</v>
      </c>
      <c r="Q257" s="497" t="str">
        <f>O257&amp;P257</f>
        <v>0</v>
      </c>
      <c r="R257" s="454">
        <v>2</v>
      </c>
      <c r="S257" s="455" t="str">
        <f>-R257*$F$15</f>
        <v>0</v>
      </c>
      <c r="T257" s="455">
        <v>1</v>
      </c>
      <c r="U257" s="455" t="str">
        <f>-T257*$F$16</f>
        <v>0</v>
      </c>
      <c r="V257" s="519">
        <v>0</v>
      </c>
      <c r="W257" s="520" t="str">
        <f>V257*-$F$17</f>
        <v>0</v>
      </c>
      <c r="X257" s="510" t="str">
        <f>W257+U257+S257</f>
        <v>0</v>
      </c>
      <c r="Y257" s="555" t="str">
        <f>-$F$19</f>
        <v>0</v>
      </c>
      <c r="Z257" s="365" t="str">
        <f>-$F$20</f>
        <v>0</v>
      </c>
      <c r="AA257" s="478" t="str">
        <f>-$F$21</f>
        <v>0</v>
      </c>
      <c r="AB257" s="510" t="str">
        <f>SUM(Y257:AA257)</f>
        <v>0</v>
      </c>
    </row>
    <row r="258" spans="1:30">
      <c r="O258" s="491" t="s">
        <v>108</v>
      </c>
      <c r="P258" s="492" t="s">
        <v>141</v>
      </c>
      <c r="Q258" s="489" t="str">
        <f>O258&amp;P258</f>
        <v>0</v>
      </c>
      <c r="R258" s="513">
        <v>1</v>
      </c>
      <c r="S258" s="490" t="str">
        <f>-R258*$F$15</f>
        <v>0</v>
      </c>
      <c r="T258" s="490">
        <v>0</v>
      </c>
      <c r="U258" s="490" t="str">
        <f>-T258*$F$16</f>
        <v>0</v>
      </c>
      <c r="V258" s="88">
        <v>1</v>
      </c>
      <c r="W258" s="517" t="str">
        <f>V258*-$F$17</f>
        <v>0</v>
      </c>
      <c r="X258" s="508" t="str">
        <f>W258+U258+S258</f>
        <v>0</v>
      </c>
      <c r="Y258" s="558" t="str">
        <f>-$F$19</f>
        <v>0</v>
      </c>
      <c r="Z258" s="490">
        <v>0</v>
      </c>
      <c r="AA258" s="562" t="str">
        <f>-$F$21</f>
        <v>0</v>
      </c>
      <c r="AB258" s="522" t="str">
        <f>SUM(Y258:AA258)</f>
        <v>0</v>
      </c>
    </row>
    <row r="259" spans="1:30">
      <c r="O259" s="493" t="s">
        <v>108</v>
      </c>
      <c r="P259" s="105" t="s">
        <v>142</v>
      </c>
      <c r="Q259" s="496" t="str">
        <f>O259&amp;P259</f>
        <v>0</v>
      </c>
      <c r="R259" s="514">
        <v>1</v>
      </c>
      <c r="S259" s="365" t="str">
        <f>-R259*$F$15</f>
        <v>0</v>
      </c>
      <c r="T259" s="365">
        <v>0</v>
      </c>
      <c r="U259" s="365" t="str">
        <f>-T259*$F$16</f>
        <v>0</v>
      </c>
      <c r="V259" s="89">
        <v>1</v>
      </c>
      <c r="W259" s="518" t="str">
        <f>V259*-$F$17</f>
        <v>0</v>
      </c>
      <c r="X259" s="509" t="str">
        <f>W259+U259+S259</f>
        <v>0</v>
      </c>
      <c r="Y259" s="555" t="str">
        <f>-$F$19</f>
        <v>0</v>
      </c>
      <c r="Z259" s="365">
        <v>0</v>
      </c>
      <c r="AA259" s="563" t="str">
        <f>-$F$21</f>
        <v>0</v>
      </c>
      <c r="AB259" s="522" t="str">
        <f>SUM(Y259:AA259)</f>
        <v>0</v>
      </c>
    </row>
    <row r="260" spans="1:30">
      <c r="O260" s="493" t="s">
        <v>108</v>
      </c>
      <c r="P260" s="105" t="s">
        <v>87</v>
      </c>
      <c r="Q260" s="496" t="str">
        <f>O260&amp;P260</f>
        <v>0</v>
      </c>
      <c r="R260" s="514">
        <v>2</v>
      </c>
      <c r="S260" s="365" t="str">
        <f>-R260*$F$15</f>
        <v>0</v>
      </c>
      <c r="T260" s="365">
        <v>1</v>
      </c>
      <c r="U260" s="365" t="str">
        <f>-T260*$F$16</f>
        <v>0</v>
      </c>
      <c r="V260" s="89">
        <v>0</v>
      </c>
      <c r="W260" s="518" t="str">
        <f>V260*-$F$17</f>
        <v>0</v>
      </c>
      <c r="X260" s="509" t="str">
        <f>W260+U260+S260</f>
        <v>0</v>
      </c>
      <c r="Y260" s="555" t="str">
        <f>-$F$19</f>
        <v>0</v>
      </c>
      <c r="Z260" s="365">
        <v>0</v>
      </c>
      <c r="AA260" s="563" t="str">
        <f>-$F$21</f>
        <v>0</v>
      </c>
      <c r="AB260" s="522" t="str">
        <f>SUM(Y260:AA260)</f>
        <v>0</v>
      </c>
    </row>
    <row r="261" spans="1:30">
      <c r="O261" s="493" t="s">
        <v>108</v>
      </c>
      <c r="P261" s="105" t="s">
        <v>143</v>
      </c>
      <c r="Q261" s="496" t="str">
        <f>O261&amp;P261</f>
        <v>0</v>
      </c>
      <c r="R261" s="514">
        <v>2</v>
      </c>
      <c r="S261" s="365" t="str">
        <f>-R261*$F$15</f>
        <v>0</v>
      </c>
      <c r="T261" s="365">
        <v>0</v>
      </c>
      <c r="U261" s="365" t="str">
        <f>-T261*$F$16</f>
        <v>0</v>
      </c>
      <c r="V261" s="89">
        <v>1</v>
      </c>
      <c r="W261" s="518" t="str">
        <f>V261*-$F$17</f>
        <v>0</v>
      </c>
      <c r="X261" s="509" t="str">
        <f>W261+U261+S261</f>
        <v>0</v>
      </c>
      <c r="Y261" s="555" t="str">
        <f>-$F$19</f>
        <v>0</v>
      </c>
      <c r="Z261" s="365">
        <v>0</v>
      </c>
      <c r="AA261" s="563" t="str">
        <f>-$F$21</f>
        <v>0</v>
      </c>
      <c r="AB261" s="522" t="str">
        <f>SUM(Y261:AA261)</f>
        <v>0</v>
      </c>
    </row>
    <row r="262" spans="1:30">
      <c r="O262" s="493" t="s">
        <v>108</v>
      </c>
      <c r="P262" s="105" t="s">
        <v>144</v>
      </c>
      <c r="Q262" s="496" t="str">
        <f>O262&amp;P262</f>
        <v>0</v>
      </c>
      <c r="R262" s="514">
        <v>2</v>
      </c>
      <c r="S262" s="365" t="str">
        <f>-R262*$F$15</f>
        <v>0</v>
      </c>
      <c r="T262" s="365">
        <v>0</v>
      </c>
      <c r="U262" s="365" t="str">
        <f>-T262*$F$16</f>
        <v>0</v>
      </c>
      <c r="V262" s="89">
        <v>1</v>
      </c>
      <c r="W262" s="518" t="str">
        <f>V262*-$F$17</f>
        <v>0</v>
      </c>
      <c r="X262" s="509" t="str">
        <f>W262+U262+S262</f>
        <v>0</v>
      </c>
      <c r="Y262" s="555" t="str">
        <f>-$F$19</f>
        <v>0</v>
      </c>
      <c r="Z262" s="365">
        <v>0</v>
      </c>
      <c r="AA262" s="563" t="str">
        <f>-$F$21</f>
        <v>0</v>
      </c>
      <c r="AB262" s="522" t="str">
        <f>SUM(Y262:AA262)</f>
        <v>0</v>
      </c>
    </row>
    <row r="263" spans="1:30">
      <c r="O263" s="493" t="s">
        <v>108</v>
      </c>
      <c r="P263" s="105" t="s">
        <v>145</v>
      </c>
      <c r="Q263" s="496" t="str">
        <f>O263&amp;P263</f>
        <v>0</v>
      </c>
      <c r="R263" s="514">
        <v>3</v>
      </c>
      <c r="S263" s="365" t="str">
        <f>-R263*$F$15</f>
        <v>0</v>
      </c>
      <c r="T263" s="365">
        <v>1</v>
      </c>
      <c r="U263" s="365" t="str">
        <f>-T263*$F$16</f>
        <v>0</v>
      </c>
      <c r="V263" s="89">
        <v>0</v>
      </c>
      <c r="W263" s="518" t="str">
        <f>V263*-$F$17</f>
        <v>0</v>
      </c>
      <c r="X263" s="509" t="str">
        <f>W263+U263+S263</f>
        <v>0</v>
      </c>
      <c r="Y263" s="555" t="str">
        <f>-$F$19</f>
        <v>0</v>
      </c>
      <c r="Z263" s="365">
        <v>0</v>
      </c>
      <c r="AA263" s="563" t="str">
        <f>-$F$21</f>
        <v>0</v>
      </c>
      <c r="AB263" s="522" t="str">
        <f>SUM(Y263:AA263)</f>
        <v>0</v>
      </c>
    </row>
    <row r="264" spans="1:30">
      <c r="O264" s="493" t="s">
        <v>108</v>
      </c>
      <c r="P264" s="105" t="s">
        <v>146</v>
      </c>
      <c r="Q264" s="496" t="str">
        <f>O264&amp;P264</f>
        <v>0</v>
      </c>
      <c r="R264" s="514">
        <v>3</v>
      </c>
      <c r="S264" s="365" t="str">
        <f>-R264*$F$15</f>
        <v>0</v>
      </c>
      <c r="T264" s="365">
        <v>1</v>
      </c>
      <c r="U264" s="365" t="str">
        <f>-T264*$F$16</f>
        <v>0</v>
      </c>
      <c r="V264" s="89">
        <v>0</v>
      </c>
      <c r="W264" s="518" t="str">
        <f>V264*-$F$17</f>
        <v>0</v>
      </c>
      <c r="X264" s="509" t="str">
        <f>W264+U264+S264</f>
        <v>0</v>
      </c>
      <c r="Y264" s="555" t="str">
        <f>-$F$19</f>
        <v>0</v>
      </c>
      <c r="Z264" s="365">
        <v>0</v>
      </c>
      <c r="AA264" s="563" t="str">
        <f>-$F$21</f>
        <v>0</v>
      </c>
      <c r="AB264" s="522" t="str">
        <f>SUM(Y264:AA264)</f>
        <v>0</v>
      </c>
    </row>
    <row r="265" spans="1:30">
      <c r="O265" s="493" t="s">
        <v>108</v>
      </c>
      <c r="P265" s="105" t="s">
        <v>147</v>
      </c>
      <c r="Q265" s="496" t="str">
        <f>O265&amp;P265</f>
        <v>0</v>
      </c>
      <c r="R265" s="514">
        <v>4</v>
      </c>
      <c r="S265" s="365" t="str">
        <f>-R265*$F$15</f>
        <v>0</v>
      </c>
      <c r="T265" s="365">
        <v>1</v>
      </c>
      <c r="U265" s="365" t="str">
        <f>-T265*$F$16</f>
        <v>0</v>
      </c>
      <c r="V265" s="89">
        <v>0</v>
      </c>
      <c r="W265" s="518" t="str">
        <f>V265*-$F$17</f>
        <v>0</v>
      </c>
      <c r="X265" s="509" t="str">
        <f>W265+U265+S265</f>
        <v>0</v>
      </c>
      <c r="Y265" s="555" t="str">
        <f>-$F$19</f>
        <v>0</v>
      </c>
      <c r="Z265" s="365">
        <v>0</v>
      </c>
      <c r="AA265" s="563" t="str">
        <f>-$F$21</f>
        <v>0</v>
      </c>
      <c r="AB265" s="522" t="str">
        <f>SUM(Y265:AA265)</f>
        <v>0</v>
      </c>
    </row>
    <row r="266" spans="1:30">
      <c r="O266" s="493" t="s">
        <v>108</v>
      </c>
      <c r="P266" s="105" t="s">
        <v>148</v>
      </c>
      <c r="Q266" s="496" t="str">
        <f>O266&amp;P266</f>
        <v>0</v>
      </c>
      <c r="R266" s="514">
        <v>1</v>
      </c>
      <c r="S266" s="365" t="str">
        <f>-R266*$F$15</f>
        <v>0</v>
      </c>
      <c r="T266" s="365">
        <v>0</v>
      </c>
      <c r="U266" s="365" t="str">
        <f>-T266*$F$16</f>
        <v>0</v>
      </c>
      <c r="V266" s="89">
        <v>1</v>
      </c>
      <c r="W266" s="518" t="str">
        <f>V266*-$F$17</f>
        <v>0</v>
      </c>
      <c r="X266" s="509" t="str">
        <f>W266+U266+S266</f>
        <v>0</v>
      </c>
      <c r="Y266" s="555" t="str">
        <f>-$F$19</f>
        <v>0</v>
      </c>
      <c r="Z266" s="365" t="str">
        <f>-$F$20</f>
        <v>0</v>
      </c>
      <c r="AA266" s="563" t="str">
        <f>-$F$21</f>
        <v>0</v>
      </c>
      <c r="AB266" s="522" t="str">
        <f>SUM(Y266:AA266)</f>
        <v>0</v>
      </c>
    </row>
    <row r="267" spans="1:30">
      <c r="O267" s="493" t="s">
        <v>108</v>
      </c>
      <c r="P267" s="105" t="s">
        <v>149</v>
      </c>
      <c r="Q267" s="496" t="str">
        <f>O267&amp;P267</f>
        <v>0</v>
      </c>
      <c r="R267" s="514">
        <v>1</v>
      </c>
      <c r="S267" s="365" t="str">
        <f>-R267*$F$15</f>
        <v>0</v>
      </c>
      <c r="T267" s="365">
        <v>0</v>
      </c>
      <c r="U267" s="365" t="str">
        <f>-T267*$F$16</f>
        <v>0</v>
      </c>
      <c r="V267" s="89">
        <v>1</v>
      </c>
      <c r="W267" s="518" t="str">
        <f>V267*-$F$17</f>
        <v>0</v>
      </c>
      <c r="X267" s="509" t="str">
        <f>W267+U267+S267</f>
        <v>0</v>
      </c>
      <c r="Y267" s="555" t="str">
        <f>-$F$19</f>
        <v>0</v>
      </c>
      <c r="Z267" s="365" t="str">
        <f>-$F$20</f>
        <v>0</v>
      </c>
      <c r="AA267" s="563" t="str">
        <f>-$F$21</f>
        <v>0</v>
      </c>
      <c r="AB267" s="522" t="str">
        <f>SUM(Y267:AA267)</f>
        <v>0</v>
      </c>
    </row>
    <row r="268" spans="1:30" customHeight="1" ht="12.75">
      <c r="O268" s="494" t="s">
        <v>108</v>
      </c>
      <c r="P268" s="495" t="s">
        <v>150</v>
      </c>
      <c r="Q268" s="497" t="str">
        <f>O268&amp;P268</f>
        <v>0</v>
      </c>
      <c r="R268" s="454">
        <v>2</v>
      </c>
      <c r="S268" s="455" t="str">
        <f>-R268*$F$15</f>
        <v>0</v>
      </c>
      <c r="T268" s="455">
        <v>1</v>
      </c>
      <c r="U268" s="455" t="str">
        <f>-T268*$F$16</f>
        <v>0</v>
      </c>
      <c r="V268" s="519">
        <v>0</v>
      </c>
      <c r="W268" s="520" t="str">
        <f>V268*-$F$17</f>
        <v>0</v>
      </c>
      <c r="X268" s="510" t="str">
        <f>W268+U268+S268</f>
        <v>0</v>
      </c>
      <c r="Y268" s="557" t="str">
        <f>-$F$19</f>
        <v>0</v>
      </c>
      <c r="Z268" s="534" t="str">
        <f>-$F$20</f>
        <v>0</v>
      </c>
      <c r="AA268" s="564" t="str">
        <f>-$F$21</f>
        <v>0</v>
      </c>
      <c r="AB268" s="523" t="str">
        <f>SUM(Y268:AA268)</f>
        <v>0</v>
      </c>
    </row>
    <row r="269" spans="1:30">
      <c r="O269" s="491" t="s">
        <v>109</v>
      </c>
      <c r="P269" s="492" t="s">
        <v>141</v>
      </c>
      <c r="Q269" s="489" t="str">
        <f>O269&amp;P269</f>
        <v>0</v>
      </c>
      <c r="R269" s="513">
        <v>1</v>
      </c>
      <c r="S269" s="490" t="str">
        <f>-R269*$F$15</f>
        <v>0</v>
      </c>
      <c r="T269" s="490">
        <v>0</v>
      </c>
      <c r="U269" s="490" t="str">
        <f>-T269*$F$16</f>
        <v>0</v>
      </c>
      <c r="V269" s="88">
        <v>1</v>
      </c>
      <c r="W269" s="517" t="str">
        <f>V269*-$F$17</f>
        <v>0</v>
      </c>
      <c r="X269" s="508" t="str">
        <f>W269+U269+S269</f>
        <v>0</v>
      </c>
      <c r="Y269" s="514" t="str">
        <f>-$F$19</f>
        <v>0</v>
      </c>
      <c r="Z269" s="365">
        <v>0</v>
      </c>
      <c r="AA269" s="559" t="str">
        <f>-$F$21</f>
        <v>0</v>
      </c>
      <c r="AB269" s="508" t="str">
        <f>SUM(Y269:AA269)</f>
        <v>0</v>
      </c>
    </row>
    <row r="270" spans="1:30">
      <c r="O270" s="493" t="s">
        <v>109</v>
      </c>
      <c r="P270" s="105" t="s">
        <v>142</v>
      </c>
      <c r="Q270" s="496" t="str">
        <f>O270&amp;P270</f>
        <v>0</v>
      </c>
      <c r="R270" s="514">
        <v>1</v>
      </c>
      <c r="S270" s="365" t="str">
        <f>-R270*$F$15</f>
        <v>0</v>
      </c>
      <c r="T270" s="365">
        <v>0</v>
      </c>
      <c r="U270" s="365" t="str">
        <f>-T270*$F$16</f>
        <v>0</v>
      </c>
      <c r="V270" s="89">
        <v>1</v>
      </c>
      <c r="W270" s="518" t="str">
        <f>V270*-$F$17</f>
        <v>0</v>
      </c>
      <c r="X270" s="509" t="str">
        <f>W270+U270+S270</f>
        <v>0</v>
      </c>
      <c r="Y270" s="514" t="str">
        <f>-$F$19</f>
        <v>0</v>
      </c>
      <c r="Z270" s="365">
        <v>0</v>
      </c>
      <c r="AA270" s="559" t="str">
        <f>-$F$21</f>
        <v>0</v>
      </c>
      <c r="AB270" s="509" t="str">
        <f>SUM(Y270:AA270)</f>
        <v>0</v>
      </c>
    </row>
    <row r="271" spans="1:30">
      <c r="O271" s="493" t="s">
        <v>109</v>
      </c>
      <c r="P271" s="105" t="s">
        <v>87</v>
      </c>
      <c r="Q271" s="496" t="str">
        <f>O271&amp;P271</f>
        <v>0</v>
      </c>
      <c r="R271" s="514">
        <v>2</v>
      </c>
      <c r="S271" s="365" t="str">
        <f>-R271*$F$15</f>
        <v>0</v>
      </c>
      <c r="T271" s="365">
        <v>1</v>
      </c>
      <c r="U271" s="365" t="str">
        <f>-T271*$F$16</f>
        <v>0</v>
      </c>
      <c r="V271" s="89">
        <v>0</v>
      </c>
      <c r="W271" s="518" t="str">
        <f>V271*-$F$17</f>
        <v>0</v>
      </c>
      <c r="X271" s="509" t="str">
        <f>W271+U271+S271</f>
        <v>0</v>
      </c>
      <c r="Y271" s="514" t="str">
        <f>-$F$19</f>
        <v>0</v>
      </c>
      <c r="Z271" s="365">
        <v>0</v>
      </c>
      <c r="AA271" s="559" t="str">
        <f>-$F$21</f>
        <v>0</v>
      </c>
      <c r="AB271" s="509" t="str">
        <f>SUM(Y271:AA271)</f>
        <v>0</v>
      </c>
    </row>
    <row r="272" spans="1:30">
      <c r="O272" s="493" t="s">
        <v>109</v>
      </c>
      <c r="P272" s="105" t="s">
        <v>143</v>
      </c>
      <c r="Q272" s="496" t="str">
        <f>O272&amp;P272</f>
        <v>0</v>
      </c>
      <c r="R272" s="514">
        <v>2</v>
      </c>
      <c r="S272" s="365" t="str">
        <f>-R272*$F$15</f>
        <v>0</v>
      </c>
      <c r="T272" s="365">
        <v>0</v>
      </c>
      <c r="U272" s="365" t="str">
        <f>-T272*$F$16</f>
        <v>0</v>
      </c>
      <c r="V272" s="89">
        <v>1</v>
      </c>
      <c r="W272" s="518" t="str">
        <f>V272*-$F$17</f>
        <v>0</v>
      </c>
      <c r="X272" s="509" t="str">
        <f>W272+U272+S272</f>
        <v>0</v>
      </c>
      <c r="Y272" s="514" t="str">
        <f>-$F$19</f>
        <v>0</v>
      </c>
      <c r="Z272" s="365">
        <v>0</v>
      </c>
      <c r="AA272" s="559" t="str">
        <f>-$F$21</f>
        <v>0</v>
      </c>
      <c r="AB272" s="509" t="str">
        <f>SUM(Y272:AA272)</f>
        <v>0</v>
      </c>
    </row>
    <row r="273" spans="1:30">
      <c r="O273" s="493" t="s">
        <v>109</v>
      </c>
      <c r="P273" s="105" t="s">
        <v>144</v>
      </c>
      <c r="Q273" s="496" t="str">
        <f>O273&amp;P273</f>
        <v>0</v>
      </c>
      <c r="R273" s="514">
        <v>2</v>
      </c>
      <c r="S273" s="365" t="str">
        <f>-R273*$F$15</f>
        <v>0</v>
      </c>
      <c r="T273" s="365">
        <v>0</v>
      </c>
      <c r="U273" s="365" t="str">
        <f>-T273*$F$16</f>
        <v>0</v>
      </c>
      <c r="V273" s="89">
        <v>1</v>
      </c>
      <c r="W273" s="518" t="str">
        <f>V273*-$F$17</f>
        <v>0</v>
      </c>
      <c r="X273" s="509" t="str">
        <f>W273+U273+S273</f>
        <v>0</v>
      </c>
      <c r="Y273" s="514" t="str">
        <f>-$F$19</f>
        <v>0</v>
      </c>
      <c r="Z273" s="365">
        <v>0</v>
      </c>
      <c r="AA273" s="559" t="str">
        <f>-$F$21</f>
        <v>0</v>
      </c>
      <c r="AB273" s="509" t="str">
        <f>SUM(Y273:AA273)</f>
        <v>0</v>
      </c>
    </row>
    <row r="274" spans="1:30">
      <c r="O274" s="493" t="s">
        <v>109</v>
      </c>
      <c r="P274" s="105" t="s">
        <v>145</v>
      </c>
      <c r="Q274" s="496" t="str">
        <f>O274&amp;P274</f>
        <v>0</v>
      </c>
      <c r="R274" s="514">
        <v>3</v>
      </c>
      <c r="S274" s="365" t="str">
        <f>-R274*$F$15</f>
        <v>0</v>
      </c>
      <c r="T274" s="365">
        <v>1</v>
      </c>
      <c r="U274" s="365" t="str">
        <f>-T274*$F$16</f>
        <v>0</v>
      </c>
      <c r="V274" s="89">
        <v>0</v>
      </c>
      <c r="W274" s="518" t="str">
        <f>V274*-$F$17</f>
        <v>0</v>
      </c>
      <c r="X274" s="509" t="str">
        <f>W274+U274+S274</f>
        <v>0</v>
      </c>
      <c r="Y274" s="514" t="str">
        <f>-$F$19</f>
        <v>0</v>
      </c>
      <c r="Z274" s="365">
        <v>0</v>
      </c>
      <c r="AA274" s="559" t="str">
        <f>-$F$21</f>
        <v>0</v>
      </c>
      <c r="AB274" s="509" t="str">
        <f>SUM(Y274:AA274)</f>
        <v>0</v>
      </c>
    </row>
    <row r="275" spans="1:30">
      <c r="O275" s="493" t="s">
        <v>109</v>
      </c>
      <c r="P275" s="105" t="s">
        <v>146</v>
      </c>
      <c r="Q275" s="496" t="str">
        <f>O275&amp;P275</f>
        <v>0</v>
      </c>
      <c r="R275" s="514">
        <v>3</v>
      </c>
      <c r="S275" s="365" t="str">
        <f>-R275*$F$15</f>
        <v>0</v>
      </c>
      <c r="T275" s="365">
        <v>1</v>
      </c>
      <c r="U275" s="365" t="str">
        <f>-T275*$F$16</f>
        <v>0</v>
      </c>
      <c r="V275" s="89">
        <v>0</v>
      </c>
      <c r="W275" s="518" t="str">
        <f>V275*-$F$17</f>
        <v>0</v>
      </c>
      <c r="X275" s="509" t="str">
        <f>W275+U275+S275</f>
        <v>0</v>
      </c>
      <c r="Y275" s="514" t="str">
        <f>-$F$19</f>
        <v>0</v>
      </c>
      <c r="Z275" s="365">
        <v>0</v>
      </c>
      <c r="AA275" s="559" t="str">
        <f>-$F$21</f>
        <v>0</v>
      </c>
      <c r="AB275" s="509" t="str">
        <f>SUM(Y275:AA275)</f>
        <v>0</v>
      </c>
    </row>
    <row r="276" spans="1:30">
      <c r="O276" s="493" t="s">
        <v>109</v>
      </c>
      <c r="P276" s="105" t="s">
        <v>147</v>
      </c>
      <c r="Q276" s="496" t="str">
        <f>O276&amp;P276</f>
        <v>0</v>
      </c>
      <c r="R276" s="514">
        <v>4</v>
      </c>
      <c r="S276" s="365" t="str">
        <f>-R276*$F$15</f>
        <v>0</v>
      </c>
      <c r="T276" s="365">
        <v>1</v>
      </c>
      <c r="U276" s="365" t="str">
        <f>-T276*$F$16</f>
        <v>0</v>
      </c>
      <c r="V276" s="89">
        <v>0</v>
      </c>
      <c r="W276" s="518" t="str">
        <f>V276*-$F$17</f>
        <v>0</v>
      </c>
      <c r="X276" s="509" t="str">
        <f>W276+U276+S276</f>
        <v>0</v>
      </c>
      <c r="Y276" s="514" t="str">
        <f>-$F$19</f>
        <v>0</v>
      </c>
      <c r="Z276" s="365">
        <v>0</v>
      </c>
      <c r="AA276" s="559" t="str">
        <f>-$F$21</f>
        <v>0</v>
      </c>
      <c r="AB276" s="509" t="str">
        <f>SUM(Y276:AA276)</f>
        <v>0</v>
      </c>
    </row>
    <row r="277" spans="1:30">
      <c r="O277" s="493" t="s">
        <v>109</v>
      </c>
      <c r="P277" s="105" t="s">
        <v>148</v>
      </c>
      <c r="Q277" s="496" t="str">
        <f>O277&amp;P277</f>
        <v>0</v>
      </c>
      <c r="R277" s="514">
        <v>1</v>
      </c>
      <c r="S277" s="365" t="str">
        <f>-R277*$F$15</f>
        <v>0</v>
      </c>
      <c r="T277" s="365">
        <v>0</v>
      </c>
      <c r="U277" s="365" t="str">
        <f>-T277*$F$16</f>
        <v>0</v>
      </c>
      <c r="V277" s="89">
        <v>1</v>
      </c>
      <c r="W277" s="518" t="str">
        <f>V277*-$F$17</f>
        <v>0</v>
      </c>
      <c r="X277" s="509" t="str">
        <f>W277+U277+S277</f>
        <v>0</v>
      </c>
      <c r="Y277" s="514" t="str">
        <f>-$F$19</f>
        <v>0</v>
      </c>
      <c r="Z277" s="365" t="str">
        <f>-$F$20</f>
        <v>0</v>
      </c>
      <c r="AA277" s="559" t="str">
        <f>-$F$21</f>
        <v>0</v>
      </c>
      <c r="AB277" s="509" t="str">
        <f>SUM(Y277:AA277)</f>
        <v>0</v>
      </c>
    </row>
    <row r="278" spans="1:30">
      <c r="O278" s="493" t="s">
        <v>109</v>
      </c>
      <c r="P278" s="105" t="s">
        <v>149</v>
      </c>
      <c r="Q278" s="496" t="str">
        <f>O278&amp;P278</f>
        <v>0</v>
      </c>
      <c r="R278" s="514">
        <v>1</v>
      </c>
      <c r="S278" s="365" t="str">
        <f>-R278*$F$15</f>
        <v>0</v>
      </c>
      <c r="T278" s="365">
        <v>0</v>
      </c>
      <c r="U278" s="365" t="str">
        <f>-T278*$F$16</f>
        <v>0</v>
      </c>
      <c r="V278" s="89">
        <v>1</v>
      </c>
      <c r="W278" s="518" t="str">
        <f>V278*-$F$17</f>
        <v>0</v>
      </c>
      <c r="X278" s="509" t="str">
        <f>W278+U278+S278</f>
        <v>0</v>
      </c>
      <c r="Y278" s="514" t="str">
        <f>-$F$19</f>
        <v>0</v>
      </c>
      <c r="Z278" s="365" t="str">
        <f>-$F$20</f>
        <v>0</v>
      </c>
      <c r="AA278" s="559" t="str">
        <f>-$F$21</f>
        <v>0</v>
      </c>
      <c r="AB278" s="509" t="str">
        <f>SUM(Y278:AA278)</f>
        <v>0</v>
      </c>
    </row>
    <row r="279" spans="1:30" customHeight="1" ht="12.75">
      <c r="O279" s="494" t="s">
        <v>109</v>
      </c>
      <c r="P279" s="495" t="s">
        <v>150</v>
      </c>
      <c r="Q279" s="497" t="str">
        <f>O279&amp;P279</f>
        <v>0</v>
      </c>
      <c r="R279" s="454">
        <v>2</v>
      </c>
      <c r="S279" s="455" t="str">
        <f>-R279*$F$15</f>
        <v>0</v>
      </c>
      <c r="T279" s="455">
        <v>1</v>
      </c>
      <c r="U279" s="455" t="str">
        <f>-T279*$F$16</f>
        <v>0</v>
      </c>
      <c r="V279" s="519">
        <v>0</v>
      </c>
      <c r="W279" s="520" t="str">
        <f>V279*-$F$17</f>
        <v>0</v>
      </c>
      <c r="X279" s="510" t="str">
        <f>W279+U279+S279</f>
        <v>0</v>
      </c>
      <c r="Y279" s="514" t="str">
        <f>-$F$19</f>
        <v>0</v>
      </c>
      <c r="Z279" s="365" t="str">
        <f>-$F$20</f>
        <v>0</v>
      </c>
      <c r="AA279" s="559" t="str">
        <f>-$F$21</f>
        <v>0</v>
      </c>
      <c r="AB279" s="510" t="str">
        <f>SUM(Y279:AA279)</f>
        <v>0</v>
      </c>
    </row>
    <row r="280" spans="1:30">
      <c r="O280" s="491" t="s">
        <v>110</v>
      </c>
      <c r="P280" s="492" t="s">
        <v>141</v>
      </c>
      <c r="Q280" s="489" t="str">
        <f>O280&amp;P280</f>
        <v>0</v>
      </c>
      <c r="R280" s="513">
        <v>1</v>
      </c>
      <c r="S280" s="490" t="str">
        <f>-R280*$F$15</f>
        <v>0</v>
      </c>
      <c r="T280" s="490">
        <v>0</v>
      </c>
      <c r="U280" s="490" t="str">
        <f>-T280*$F$16</f>
        <v>0</v>
      </c>
      <c r="V280" s="88">
        <v>1</v>
      </c>
      <c r="W280" s="517" t="str">
        <f>V280*-$F$17</f>
        <v>0</v>
      </c>
      <c r="X280" s="508" t="str">
        <f>W280+U280+S280</f>
        <v>0</v>
      </c>
      <c r="Y280" s="558" t="str">
        <f>-$F$19</f>
        <v>0</v>
      </c>
      <c r="Z280" s="490">
        <v>0</v>
      </c>
      <c r="AA280" s="562" t="str">
        <f>-$F$21</f>
        <v>0</v>
      </c>
      <c r="AB280" s="521" t="str">
        <f>SUM(Y280:AA280)</f>
        <v>0</v>
      </c>
    </row>
    <row r="281" spans="1:30">
      <c r="O281" s="493" t="s">
        <v>110</v>
      </c>
      <c r="P281" s="105" t="s">
        <v>142</v>
      </c>
      <c r="Q281" s="496" t="str">
        <f>O281&amp;P281</f>
        <v>0</v>
      </c>
      <c r="R281" s="514">
        <v>1</v>
      </c>
      <c r="S281" s="365" t="str">
        <f>-R281*$F$15</f>
        <v>0</v>
      </c>
      <c r="T281" s="365">
        <v>0</v>
      </c>
      <c r="U281" s="365" t="str">
        <f>-T281*$F$16</f>
        <v>0</v>
      </c>
      <c r="V281" s="89">
        <v>1</v>
      </c>
      <c r="W281" s="518" t="str">
        <f>V281*-$F$17</f>
        <v>0</v>
      </c>
      <c r="X281" s="509" t="str">
        <f>W281+U281+S281</f>
        <v>0</v>
      </c>
      <c r="Y281" s="555" t="str">
        <f>-$F$19</f>
        <v>0</v>
      </c>
      <c r="Z281" s="365">
        <v>0</v>
      </c>
      <c r="AA281" s="563" t="str">
        <f>-$F$21</f>
        <v>0</v>
      </c>
      <c r="AB281" s="522" t="str">
        <f>SUM(Y281:AA281)</f>
        <v>0</v>
      </c>
    </row>
    <row r="282" spans="1:30">
      <c r="O282" s="493" t="s">
        <v>110</v>
      </c>
      <c r="P282" s="105" t="s">
        <v>87</v>
      </c>
      <c r="Q282" s="496" t="str">
        <f>O282&amp;P282</f>
        <v>0</v>
      </c>
      <c r="R282" s="514">
        <v>2</v>
      </c>
      <c r="S282" s="365" t="str">
        <f>-R282*$F$15</f>
        <v>0</v>
      </c>
      <c r="T282" s="365">
        <v>1</v>
      </c>
      <c r="U282" s="365" t="str">
        <f>-T282*$F$16</f>
        <v>0</v>
      </c>
      <c r="V282" s="89">
        <v>0</v>
      </c>
      <c r="W282" s="518" t="str">
        <f>V282*-$F$17</f>
        <v>0</v>
      </c>
      <c r="X282" s="509" t="str">
        <f>W282+U282+S282</f>
        <v>0</v>
      </c>
      <c r="Y282" s="555" t="str">
        <f>-$F$19</f>
        <v>0</v>
      </c>
      <c r="Z282" s="365">
        <v>0</v>
      </c>
      <c r="AA282" s="563" t="str">
        <f>-$F$21</f>
        <v>0</v>
      </c>
      <c r="AB282" s="522" t="str">
        <f>SUM(Y282:AA282)</f>
        <v>0</v>
      </c>
    </row>
    <row r="283" spans="1:30">
      <c r="O283" s="493" t="s">
        <v>110</v>
      </c>
      <c r="P283" s="105" t="s">
        <v>143</v>
      </c>
      <c r="Q283" s="496" t="str">
        <f>O283&amp;P283</f>
        <v>0</v>
      </c>
      <c r="R283" s="514">
        <v>2</v>
      </c>
      <c r="S283" s="365" t="str">
        <f>-R283*$F$15</f>
        <v>0</v>
      </c>
      <c r="T283" s="365">
        <v>0</v>
      </c>
      <c r="U283" s="365" t="str">
        <f>-T283*$F$16</f>
        <v>0</v>
      </c>
      <c r="V283" s="89">
        <v>1</v>
      </c>
      <c r="W283" s="518" t="str">
        <f>V283*-$F$17</f>
        <v>0</v>
      </c>
      <c r="X283" s="509" t="str">
        <f>W283+U283+S283</f>
        <v>0</v>
      </c>
      <c r="Y283" s="555" t="str">
        <f>-$F$19</f>
        <v>0</v>
      </c>
      <c r="Z283" s="365">
        <v>0</v>
      </c>
      <c r="AA283" s="563" t="str">
        <f>-$F$21</f>
        <v>0</v>
      </c>
      <c r="AB283" s="522" t="str">
        <f>SUM(Y283:AA283)</f>
        <v>0</v>
      </c>
    </row>
    <row r="284" spans="1:30">
      <c r="O284" s="493" t="s">
        <v>110</v>
      </c>
      <c r="P284" s="105" t="s">
        <v>144</v>
      </c>
      <c r="Q284" s="496" t="str">
        <f>O284&amp;P284</f>
        <v>0</v>
      </c>
      <c r="R284" s="514">
        <v>2</v>
      </c>
      <c r="S284" s="365" t="str">
        <f>-R284*$F$15</f>
        <v>0</v>
      </c>
      <c r="T284" s="365">
        <v>0</v>
      </c>
      <c r="U284" s="365" t="str">
        <f>-T284*$F$16</f>
        <v>0</v>
      </c>
      <c r="V284" s="89">
        <v>1</v>
      </c>
      <c r="W284" s="518" t="str">
        <f>V284*-$F$17</f>
        <v>0</v>
      </c>
      <c r="X284" s="509" t="str">
        <f>W284+U284+S284</f>
        <v>0</v>
      </c>
      <c r="Y284" s="555" t="str">
        <f>-$F$19</f>
        <v>0</v>
      </c>
      <c r="Z284" s="365">
        <v>0</v>
      </c>
      <c r="AA284" s="563" t="str">
        <f>-$F$21</f>
        <v>0</v>
      </c>
      <c r="AB284" s="522" t="str">
        <f>SUM(Y284:AA284)</f>
        <v>0</v>
      </c>
    </row>
    <row r="285" spans="1:30">
      <c r="O285" s="493" t="s">
        <v>110</v>
      </c>
      <c r="P285" s="105" t="s">
        <v>145</v>
      </c>
      <c r="Q285" s="496" t="str">
        <f>O285&amp;P285</f>
        <v>0</v>
      </c>
      <c r="R285" s="514">
        <v>3</v>
      </c>
      <c r="S285" s="365" t="str">
        <f>-R285*$F$15</f>
        <v>0</v>
      </c>
      <c r="T285" s="365">
        <v>1</v>
      </c>
      <c r="U285" s="365" t="str">
        <f>-T285*$F$16</f>
        <v>0</v>
      </c>
      <c r="V285" s="89">
        <v>0</v>
      </c>
      <c r="W285" s="518" t="str">
        <f>V285*-$F$17</f>
        <v>0</v>
      </c>
      <c r="X285" s="509" t="str">
        <f>W285+U285+S285</f>
        <v>0</v>
      </c>
      <c r="Y285" s="555" t="str">
        <f>-$F$19</f>
        <v>0</v>
      </c>
      <c r="Z285" s="365">
        <v>0</v>
      </c>
      <c r="AA285" s="563" t="str">
        <f>-$F$21</f>
        <v>0</v>
      </c>
      <c r="AB285" s="522" t="str">
        <f>SUM(Y285:AA285)</f>
        <v>0</v>
      </c>
    </row>
    <row r="286" spans="1:30">
      <c r="O286" s="493" t="s">
        <v>110</v>
      </c>
      <c r="P286" s="105" t="s">
        <v>146</v>
      </c>
      <c r="Q286" s="496" t="str">
        <f>O286&amp;P286</f>
        <v>0</v>
      </c>
      <c r="R286" s="514">
        <v>3</v>
      </c>
      <c r="S286" s="365" t="str">
        <f>-R286*$F$15</f>
        <v>0</v>
      </c>
      <c r="T286" s="365">
        <v>1</v>
      </c>
      <c r="U286" s="365" t="str">
        <f>-T286*$F$16</f>
        <v>0</v>
      </c>
      <c r="V286" s="89">
        <v>0</v>
      </c>
      <c r="W286" s="518" t="str">
        <f>V286*-$F$17</f>
        <v>0</v>
      </c>
      <c r="X286" s="509" t="str">
        <f>W286+U286+S286</f>
        <v>0</v>
      </c>
      <c r="Y286" s="555" t="str">
        <f>-$F$19</f>
        <v>0</v>
      </c>
      <c r="Z286" s="365">
        <v>0</v>
      </c>
      <c r="AA286" s="563" t="str">
        <f>-$F$21</f>
        <v>0</v>
      </c>
      <c r="AB286" s="522" t="str">
        <f>SUM(Y286:AA286)</f>
        <v>0</v>
      </c>
    </row>
    <row r="287" spans="1:30">
      <c r="O287" s="493" t="s">
        <v>110</v>
      </c>
      <c r="P287" s="105" t="s">
        <v>147</v>
      </c>
      <c r="Q287" s="496" t="str">
        <f>O287&amp;P287</f>
        <v>0</v>
      </c>
      <c r="R287" s="514">
        <v>4</v>
      </c>
      <c r="S287" s="365" t="str">
        <f>-R287*$F$15</f>
        <v>0</v>
      </c>
      <c r="T287" s="365">
        <v>1</v>
      </c>
      <c r="U287" s="365" t="str">
        <f>-T287*$F$16</f>
        <v>0</v>
      </c>
      <c r="V287" s="89">
        <v>0</v>
      </c>
      <c r="W287" s="518" t="str">
        <f>V287*-$F$17</f>
        <v>0</v>
      </c>
      <c r="X287" s="509" t="str">
        <f>W287+U287+S287</f>
        <v>0</v>
      </c>
      <c r="Y287" s="555" t="str">
        <f>-$F$19</f>
        <v>0</v>
      </c>
      <c r="Z287" s="365">
        <v>0</v>
      </c>
      <c r="AA287" s="563" t="str">
        <f>-$F$21</f>
        <v>0</v>
      </c>
      <c r="AB287" s="522" t="str">
        <f>SUM(Y287:AA287)</f>
        <v>0</v>
      </c>
    </row>
    <row r="288" spans="1:30">
      <c r="O288" s="493" t="s">
        <v>110</v>
      </c>
      <c r="P288" s="105" t="s">
        <v>148</v>
      </c>
      <c r="Q288" s="496" t="str">
        <f>O288&amp;P288</f>
        <v>0</v>
      </c>
      <c r="R288" s="514">
        <v>1</v>
      </c>
      <c r="S288" s="365" t="str">
        <f>-R288*$F$15</f>
        <v>0</v>
      </c>
      <c r="T288" s="365">
        <v>0</v>
      </c>
      <c r="U288" s="365" t="str">
        <f>-T288*$F$16</f>
        <v>0</v>
      </c>
      <c r="V288" s="89">
        <v>1</v>
      </c>
      <c r="W288" s="518" t="str">
        <f>V288*-$F$17</f>
        <v>0</v>
      </c>
      <c r="X288" s="509" t="str">
        <f>W288+U288+S288</f>
        <v>0</v>
      </c>
      <c r="Y288" s="555" t="str">
        <f>-$F$19</f>
        <v>0</v>
      </c>
      <c r="Z288" s="365" t="str">
        <f>-$F$20</f>
        <v>0</v>
      </c>
      <c r="AA288" s="563" t="str">
        <f>-$F$21</f>
        <v>0</v>
      </c>
      <c r="AB288" s="522" t="str">
        <f>SUM(Y288:AA288)</f>
        <v>0</v>
      </c>
    </row>
    <row r="289" spans="1:30">
      <c r="O289" s="493" t="s">
        <v>110</v>
      </c>
      <c r="P289" s="105" t="s">
        <v>149</v>
      </c>
      <c r="Q289" s="496" t="str">
        <f>O289&amp;P289</f>
        <v>0</v>
      </c>
      <c r="R289" s="514">
        <v>1</v>
      </c>
      <c r="S289" s="365" t="str">
        <f>-R289*$F$15</f>
        <v>0</v>
      </c>
      <c r="T289" s="365">
        <v>0</v>
      </c>
      <c r="U289" s="365" t="str">
        <f>-T289*$F$16</f>
        <v>0</v>
      </c>
      <c r="V289" s="89">
        <v>1</v>
      </c>
      <c r="W289" s="518" t="str">
        <f>V289*-$F$17</f>
        <v>0</v>
      </c>
      <c r="X289" s="509" t="str">
        <f>W289+U289+S289</f>
        <v>0</v>
      </c>
      <c r="Y289" s="555" t="str">
        <f>-$F$19</f>
        <v>0</v>
      </c>
      <c r="Z289" s="365" t="str">
        <f>-$F$20</f>
        <v>0</v>
      </c>
      <c r="AA289" s="563" t="str">
        <f>-$F$21</f>
        <v>0</v>
      </c>
      <c r="AB289" s="522" t="str">
        <f>SUM(Y289:AA289)</f>
        <v>0</v>
      </c>
    </row>
    <row r="290" spans="1:30" customHeight="1" ht="12.75">
      <c r="O290" s="494" t="s">
        <v>110</v>
      </c>
      <c r="P290" s="495" t="s">
        <v>150</v>
      </c>
      <c r="Q290" s="497" t="str">
        <f>O290&amp;P290</f>
        <v>0</v>
      </c>
      <c r="R290" s="454">
        <v>2</v>
      </c>
      <c r="S290" s="455" t="str">
        <f>-R290*$F$15</f>
        <v>0</v>
      </c>
      <c r="T290" s="455">
        <v>1</v>
      </c>
      <c r="U290" s="455" t="str">
        <f>-T290*$F$16</f>
        <v>0</v>
      </c>
      <c r="V290" s="519">
        <v>0</v>
      </c>
      <c r="W290" s="520" t="str">
        <f>V290*-$F$17</f>
        <v>0</v>
      </c>
      <c r="X290" s="510" t="str">
        <f>W290+U290+S290</f>
        <v>0</v>
      </c>
      <c r="Y290" s="557" t="str">
        <f>-$F$19</f>
        <v>0</v>
      </c>
      <c r="Z290" s="534" t="str">
        <f>-$F$20</f>
        <v>0</v>
      </c>
      <c r="AA290" s="564" t="str">
        <f>-$F$21</f>
        <v>0</v>
      </c>
      <c r="AB290" s="523" t="str">
        <f>SUM(Y290:AA290)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4:I24"/>
    <mergeCell ref="J24:M24"/>
    <mergeCell ref="C23:M23"/>
    <mergeCell ref="Y24:AB24"/>
    <mergeCell ref="R24:X24"/>
    <mergeCell ref="R23:AB23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57"/>
  <sheetViews>
    <sheetView tabSelected="0" workbookViewId="0" zoomScale="110" zoomScaleNormal="110" showGridLines="true" showRowColHeaders="1">
      <selection activeCell="S16" sqref="S16"/>
    </sheetView>
  </sheetViews>
  <sheetFormatPr defaultRowHeight="14.4" outlineLevelRow="0" outlineLevelCol="0"/>
  <cols>
    <col min="1" max="1" width="30.33203125" customWidth="true" style="0"/>
    <col min="2" max="2" width="13.6640625" customWidth="true" style="0"/>
    <col min="3" max="3" width="15.5" customWidth="true" style="0"/>
    <col min="4" max="4" width="5.33203125" customWidth="true" style="0"/>
    <col min="5" max="5" width="5.33203125" customWidth="true" style="0"/>
    <col min="6" max="6" width="5.33203125" customWidth="true" style="0"/>
    <col min="7" max="7" width="5.33203125" customWidth="true" style="0"/>
    <col min="8" max="8" width="5.33203125" customWidth="true" style="0"/>
    <col min="9" max="9" width="5.33203125" customWidth="true" style="0"/>
    <col min="10" max="10" width="5.33203125" customWidth="true" style="0"/>
    <col min="11" max="11" width="5.33203125" customWidth="true" style="0"/>
    <col min="12" max="12" width="5.33203125" customWidth="true" style="0"/>
    <col min="13" max="13" width="5.33203125" customWidth="true" style="0"/>
    <col min="14" max="14" width="5.33203125" customWidth="true" style="0"/>
    <col min="15" max="15" width="5.33203125" customWidth="true" style="0"/>
    <col min="16" max="16" width="5.33203125" customWidth="true" style="0"/>
    <col min="17" max="17" width="5.33203125" customWidth="true" style="0"/>
    <col min="18" max="18" width="5.33203125" customWidth="true" style="0"/>
    <col min="19" max="19" width="5.33203125" customWidth="true" style="0"/>
    <col min="20" max="20" width="7.6640625" customWidth="true" style="0"/>
    <col min="21" max="21" width="11.1640625" customWidth="true" style="0"/>
    <col min="22" max="22" width="26.6640625" customWidth="true" style="0"/>
    <col min="23" max="23" width="9.83203125" customWidth="true" style="0"/>
    <col min="24" max="24" width="9.83203125" customWidth="true" style="0"/>
    <col min="25" max="25" width="9.83203125" customWidth="true" style="0"/>
    <col min="26" max="26" width="9.83203125" customWidth="true" style="0"/>
    <col min="27" max="27" width="9.83203125" customWidth="true" style="0"/>
    <col min="28" max="28" width="9.83203125" customWidth="true" style="0"/>
    <col min="29" max="29" width="9.83203125" customWidth="true" style="0"/>
    <col min="30" max="30" width="5.6640625" customWidth="true" style="0"/>
    <col min="31" max="31" width="12.6640625" customWidth="true" style="0"/>
    <col min="32" max="32" width="9.33203125" customWidth="true" style="0"/>
    <col min="33" max="33" width="14.33203125" customWidth="true" style="0"/>
    <col min="34" max="34" width="8.83203125" customWidth="true" style="0"/>
    <col min="35" max="35" width="14.33203125" customWidth="true" style="0"/>
    <col min="36" max="36" width="8.83203125" customWidth="true" style="0"/>
    <col min="37" max="37" width="8.6640625" customWidth="true" style="0"/>
    <col min="38" max="38" width="8.6640625" customWidth="true" style="0"/>
  </cols>
  <sheetData>
    <row r="1" spans="1:38" customHeight="1" ht="15">
      <c r="A1" s="4" t="s">
        <v>72</v>
      </c>
      <c r="B1" s="2"/>
      <c r="C1" s="2"/>
      <c r="D1" s="2"/>
      <c r="V1" s="4" t="s">
        <v>72</v>
      </c>
    </row>
    <row r="2" spans="1:38" customHeight="1" ht="15">
      <c r="A2" s="4" t="s">
        <v>154</v>
      </c>
      <c r="B2" s="2"/>
      <c r="C2" s="2"/>
      <c r="D2" s="2"/>
      <c r="V2" s="419" t="s">
        <v>155</v>
      </c>
    </row>
    <row r="3" spans="1:38" s="1" customFormat="1">
      <c r="A3" s="2"/>
      <c r="B3" s="2"/>
      <c r="C3" s="2"/>
      <c r="D3" s="2"/>
    </row>
    <row r="4" spans="1:38" s="1" customFormat="1">
      <c r="A4" s="1" t="s">
        <v>156</v>
      </c>
      <c r="B4" s="91" t="str">
        <f>'H - INPUT'!F29</f>
        <v>0</v>
      </c>
      <c r="C4" s="2"/>
      <c r="D4" s="2"/>
      <c r="V4" s="1" t="s">
        <v>157</v>
      </c>
      <c r="W4" s="99" t="str">
        <f>'Panel H'!B11</f>
        <v>0</v>
      </c>
    </row>
    <row r="5" spans="1:38" s="1" customFormat="1">
      <c r="A5" s="1" t="s">
        <v>139</v>
      </c>
      <c r="B5" s="91" t="str">
        <f>'H - INPUT'!F30</f>
        <v>0</v>
      </c>
      <c r="C5" s="2"/>
      <c r="D5" s="2"/>
      <c r="V5" s="1" t="s">
        <v>158</v>
      </c>
      <c r="W5" s="256">
        <v>21</v>
      </c>
    </row>
    <row r="6" spans="1:38" s="1" customFormat="1">
      <c r="A6" s="1" t="s">
        <v>78</v>
      </c>
      <c r="B6" s="92" t="str">
        <f>'Opening H'!B8</f>
        <v>0</v>
      </c>
      <c r="C6" s="2"/>
      <c r="D6" s="2"/>
    </row>
    <row r="7" spans="1:38" s="1" customFormat="1">
      <c r="A7" s="1" t="s">
        <v>79</v>
      </c>
      <c r="B7" s="92" t="str">
        <f>'Opening H'!B9</f>
        <v>0</v>
      </c>
      <c r="C7" s="2"/>
      <c r="D7" s="2"/>
    </row>
    <row r="9" spans="1:38">
      <c r="A9" t="s">
        <v>159</v>
      </c>
      <c r="B9" s="8">
        <v>-32</v>
      </c>
      <c r="E9" s="37"/>
      <c r="F9" s="1"/>
      <c r="G9" s="1"/>
      <c r="H9" s="1"/>
      <c r="I9" s="1"/>
      <c r="J9" s="1"/>
    </row>
    <row r="10" spans="1:38">
      <c r="A10" t="s">
        <v>160</v>
      </c>
      <c r="B10" s="8">
        <v>0</v>
      </c>
    </row>
    <row r="11" spans="1:38">
      <c r="A11" t="s">
        <v>161</v>
      </c>
      <c r="B11" s="8">
        <v>15</v>
      </c>
    </row>
    <row r="12" spans="1:38" customHeight="1" ht="12.75"/>
    <row r="13" spans="1:38" customHeight="1" ht="36">
      <c r="D13" s="994" t="s">
        <v>141</v>
      </c>
      <c r="E13" s="985"/>
      <c r="F13" s="984" t="s">
        <v>162</v>
      </c>
      <c r="G13" s="985"/>
      <c r="H13" s="984" t="s">
        <v>142</v>
      </c>
      <c r="I13" s="985"/>
      <c r="J13" s="984" t="s">
        <v>163</v>
      </c>
      <c r="K13" s="985"/>
      <c r="L13" s="984" t="s">
        <v>164</v>
      </c>
      <c r="M13" s="985"/>
      <c r="N13" s="984" t="s">
        <v>165</v>
      </c>
      <c r="O13" s="985"/>
      <c r="P13" s="984" t="s">
        <v>166</v>
      </c>
      <c r="Q13" s="985"/>
      <c r="R13" s="984" t="s">
        <v>167</v>
      </c>
      <c r="S13" s="990"/>
      <c r="V13" s="85" t="s">
        <v>131</v>
      </c>
      <c r="W13" s="86" t="s">
        <v>168</v>
      </c>
      <c r="X13" s="86" t="s">
        <v>169</v>
      </c>
      <c r="Y13" s="86" t="s">
        <v>170</v>
      </c>
      <c r="Z13" s="86" t="s">
        <v>123</v>
      </c>
      <c r="AA13" s="86" t="s">
        <v>171</v>
      </c>
      <c r="AB13" s="86" t="s">
        <v>172</v>
      </c>
      <c r="AC13" s="86" t="s">
        <v>173</v>
      </c>
      <c r="AE13" s="969" t="s">
        <v>174</v>
      </c>
      <c r="AF13" s="970"/>
      <c r="AG13" s="987" t="s">
        <v>175</v>
      </c>
      <c r="AH13" s="987"/>
      <c r="AI13" s="987" t="s">
        <v>176</v>
      </c>
      <c r="AJ13" s="988"/>
    </row>
    <row r="14" spans="1:38" customHeight="1" ht="12.75">
      <c r="D14" s="29" t="s">
        <v>177</v>
      </c>
      <c r="E14" s="26" t="s">
        <v>178</v>
      </c>
      <c r="F14" s="26" t="s">
        <v>177</v>
      </c>
      <c r="G14" s="26" t="s">
        <v>178</v>
      </c>
      <c r="H14" s="26" t="s">
        <v>177</v>
      </c>
      <c r="I14" s="26" t="s">
        <v>178</v>
      </c>
      <c r="J14" s="26" t="s">
        <v>177</v>
      </c>
      <c r="K14" s="26" t="s">
        <v>178</v>
      </c>
      <c r="L14" s="26" t="s">
        <v>177</v>
      </c>
      <c r="M14" s="26" t="s">
        <v>178</v>
      </c>
      <c r="N14" s="26" t="s">
        <v>177</v>
      </c>
      <c r="O14" s="26" t="s">
        <v>178</v>
      </c>
      <c r="P14" s="26" t="s">
        <v>177</v>
      </c>
      <c r="Q14" s="26" t="s">
        <v>178</v>
      </c>
      <c r="R14" s="26" t="s">
        <v>177</v>
      </c>
      <c r="S14" s="27" t="s">
        <v>178</v>
      </c>
      <c r="V14" s="87"/>
      <c r="W14" s="418" t="str">
        <f>'Panel H'!F17</f>
        <v>0</v>
      </c>
      <c r="X14" s="418" t="str">
        <f>'Panel H'!F15</f>
        <v>0</v>
      </c>
      <c r="Y14" s="418" t="str">
        <f>'Panel H'!F15</f>
        <v>0</v>
      </c>
      <c r="Z14" s="418" t="str">
        <f>'Panel H'!F16</f>
        <v>0</v>
      </c>
      <c r="AA14" s="418" t="str">
        <f>'Panel H'!F15</f>
        <v>0</v>
      </c>
      <c r="AB14" s="418" t="str">
        <f>'Panel H'!F15</f>
        <v>0</v>
      </c>
      <c r="AC14" s="418" t="str">
        <f>'Panel H'!F17</f>
        <v>0</v>
      </c>
      <c r="AE14" s="103" t="s">
        <v>179</v>
      </c>
      <c r="AF14" s="104" t="s">
        <v>25</v>
      </c>
      <c r="AG14" s="104" t="s">
        <v>179</v>
      </c>
      <c r="AH14" s="104" t="s">
        <v>25</v>
      </c>
      <c r="AI14" s="104" t="s">
        <v>179</v>
      </c>
      <c r="AJ14" s="124" t="s">
        <v>25</v>
      </c>
    </row>
    <row r="15" spans="1:38">
      <c r="C15" s="22"/>
      <c r="D15" s="5" t="str">
        <f>IF(B4="L Frame",VLOOKUP(B5,C21:S26,2,FALSE),IF(B4="Z Frame",VLOOKUP(B5,C31:S54,2,FALSE),IF(B4="No Frame",".",0)))</f>
        <v>0</v>
      </c>
      <c r="E15" s="5" t="str">
        <f>IF(B4="L Frame",VLOOKUP(B5,C21:S26,3,FALSE),IF(B4="Z Frame",VLOOKUP(B5,C31:S54,3,FALSE),IF(B4="No Frame",".",0)))</f>
        <v>0</v>
      </c>
      <c r="F15" s="5" t="str">
        <f>IF(B4="L Frame",VLOOKUP(B5,C21:S26,4,FALSE),IF(B4="Z Frame",VLOOKUP(B5,C31:S54,4,FALSE),IF(B4="No Frame",".",0)))</f>
        <v>0</v>
      </c>
      <c r="G15" s="5" t="str">
        <f>IF(B4="L Frame",VLOOKUP(B5,C21:S26,5,FALSE),IF(B4="Z Frame",VLOOKUP(B5,C31:S54,5,FALSE),IF(B4="No Frame",".",0)))</f>
        <v>0</v>
      </c>
      <c r="H15" s="5" t="str">
        <f>IF(B4="L Frame",VLOOKUP(B5,C21:S26,6,FALSE),IF(B4="Z Frame",VLOOKUP(B5,C31:S54,6,FALSE),IF(B4="No Frame",".",0)))</f>
        <v>0</v>
      </c>
      <c r="I15" s="5" t="str">
        <f>IF(B4="L Frame",VLOOKUP(B5,C21:S26,7,FALSE),IF(B4="Z Frame",VLOOKUP(B5,C31:S54,7,FALSE),IF(B4="No Frame",".",0)))</f>
        <v>0</v>
      </c>
      <c r="J15" s="5" t="str">
        <f>IF(B4="L Frame",VLOOKUP(B5,C21:S26,8,FALSE),IF(B4="Z Frame",VLOOKUP(B5,C31:S54,8,FALSE),IF(B4="No Frame",".",0)))</f>
        <v>0</v>
      </c>
      <c r="K15" s="5" t="str">
        <f>IF(B4="L Frame",VLOOKUP(B5,C21:S26,9,FALSE),IF(B4="Z Frame",VLOOKUP(B5,C31:S54,9,FALSE),IF(B4="No Frame",".",0)))</f>
        <v>0</v>
      </c>
      <c r="L15" s="5" t="str">
        <f>IF(B4="L Frame",VLOOKUP(B5,C21:S26,10,FALSE),IF(B4="Z Frame",VLOOKUP(B5,C31:S54,10,FALSE),IF(B4="No Frame",".",0)))</f>
        <v>0</v>
      </c>
      <c r="M15" s="5" t="str">
        <f>IF(B4="L Frame",VLOOKUP(B5,C21:S26,11,FALSE),IF(B4="Z Frame",VLOOKUP(B5,C31:S54,11,FALSE),IF(B4="No Frame",".",0)))</f>
        <v>0</v>
      </c>
      <c r="N15" s="5" t="str">
        <f>IF(B4="L Frame",VLOOKUP(B5,C21:S26,12,FALSE),IF(B4="Z Frame",VLOOKUP(B5,C31:S54,12,FALSE),IF(B4="No Frame",".",0)))</f>
        <v>0</v>
      </c>
      <c r="O15" s="5" t="str">
        <f>IF(B4="L Frame",VLOOKUP(B5,C21:S26,13,FALSE),IF(B4="Z Frame",VLOOKUP(B5,C31:S54,13,FALSE),IF(B4="No Frame",".",0)))</f>
        <v>0</v>
      </c>
      <c r="P15" s="5" t="str">
        <f>IF(B4="L Frame",VLOOKUP(B5,C21:S26,14,FALSE),IF(B4="Z Frame",VLOOKUP(B5,C31:S54,14,FALSE),IF(B4="No Frame",".",0)))</f>
        <v>0</v>
      </c>
      <c r="Q15" s="5" t="str">
        <f>IF(B4="L Frame",VLOOKUP(B5,C21:S26,15,FALSE),IF(B4="Z Frame",VLOOKUP(B5,C31:S54,15,FALSE),IF(B4="No Frame",".",0)))</f>
        <v>0</v>
      </c>
      <c r="R15" s="5" t="str">
        <f>IF(B4="L Frame",VLOOKUP(B5,C21:S26,16,FALSE),IF(B4="Z Frame",VLOOKUP(B5,C31:S54,16,FALSE),IF(B4="No Frame",".",0)))</f>
        <v>0</v>
      </c>
      <c r="S15" s="5" t="str">
        <f>IF(B4="L Frame",VLOOKUP(B5,C21:S26,17,FALSE),IF(B4="Z Frame",VLOOKUP(B5,C31:S54,17,FALSE),IF(B4="No Frame",".",0)))</f>
        <v>0</v>
      </c>
      <c r="V15" s="58" t="s">
        <v>49</v>
      </c>
      <c r="W15" s="88"/>
      <c r="X15" s="81"/>
      <c r="Y15" s="81"/>
      <c r="Z15" s="81"/>
      <c r="AA15" s="81"/>
      <c r="AB15" s="81"/>
      <c r="AC15" s="444"/>
      <c r="AE15" s="58"/>
      <c r="AF15" s="420"/>
      <c r="AG15" s="420"/>
      <c r="AH15" s="420"/>
      <c r="AI15" s="420"/>
      <c r="AJ15" s="421"/>
    </row>
    <row r="16" spans="1:38">
      <c r="C16" s="22"/>
      <c r="D16" s="5" t="str">
        <f>IF(NOT(D15="."),$B$7+D15,".")</f>
        <v>0</v>
      </c>
      <c r="E16" s="5" t="str">
        <f>IF(NOT(E15="."),$B$7+E15,".")</f>
        <v>0</v>
      </c>
      <c r="F16" s="5" t="str">
        <f>IF(NOT(F15="."),$B$7+F15,".")</f>
        <v>0</v>
      </c>
      <c r="G16" s="5" t="str">
        <f>IF(NOT(G15="."),$B$7+G15,".")</f>
        <v>0</v>
      </c>
      <c r="H16" s="5" t="str">
        <f>IF(NOT(H15="."),$B$7+H15,".")</f>
        <v>0</v>
      </c>
      <c r="I16" s="5" t="str">
        <f>IF(NOT(I15="."),$B$7+I15,".")</f>
        <v>0</v>
      </c>
      <c r="J16" s="5" t="str">
        <f>IF(NOT(J15="."),$B$7+J15,".")</f>
        <v>0</v>
      </c>
      <c r="K16" s="5" t="str">
        <f>IF(NOT(K15="."),$B$7+K15,".")</f>
        <v>0</v>
      </c>
      <c r="L16" s="5" t="str">
        <f>IF(NOT(L15="."),$B$6+L15,".")</f>
        <v>0</v>
      </c>
      <c r="M16" s="5" t="str">
        <f>IF(NOT(M15="."),$B$6+M15,".")</f>
        <v>0</v>
      </c>
      <c r="N16" s="5" t="str">
        <f>IF(NOT(N15="."),$B$6+N15,".")</f>
        <v>0</v>
      </c>
      <c r="O16" s="5" t="str">
        <f>IF(NOT(O15="."),$B$6+O15,".")</f>
        <v>0</v>
      </c>
      <c r="P16" s="5" t="str">
        <f>IF(NOT(P15="."),$B$6+P15,".")</f>
        <v>0</v>
      </c>
      <c r="Q16" s="5" t="str">
        <f>IF(NOT(Q15="."),$B$6+Q15,".")</f>
        <v>0</v>
      </c>
      <c r="R16" s="5" t="str">
        <f>IF(NOT(R15="."),$B$6+R15,".")</f>
        <v>0</v>
      </c>
      <c r="S16" s="5" t="str">
        <f>IF(NOT(S15="."),$B$6+S15,".")</f>
        <v>0</v>
      </c>
      <c r="V16" s="58" t="s">
        <v>141</v>
      </c>
      <c r="W16" s="89"/>
      <c r="X16" s="81" t="str">
        <f>$X$14</f>
        <v>0</v>
      </c>
      <c r="Y16" s="81"/>
      <c r="Z16" s="81"/>
      <c r="AA16" s="81"/>
      <c r="AB16" s="81"/>
      <c r="AC16" s="82" t="str">
        <f>$AC$14</f>
        <v>0</v>
      </c>
      <c r="AE16" s="58" t="s">
        <v>141</v>
      </c>
      <c r="AF16" s="420" t="str">
        <f>X16+W4-W5</f>
        <v>0</v>
      </c>
      <c r="AG16" s="420"/>
      <c r="AH16" s="420"/>
      <c r="AI16" s="420"/>
      <c r="AJ16" s="421"/>
    </row>
    <row r="17" spans="1:38" customHeight="1" ht="12.75">
      <c r="V17" s="58" t="s">
        <v>142</v>
      </c>
      <c r="W17" s="89" t="str">
        <f>$W$14</f>
        <v>0</v>
      </c>
      <c r="X17" s="81"/>
      <c r="Y17" s="81"/>
      <c r="Z17" s="81"/>
      <c r="AA17" s="81"/>
      <c r="AB17" s="81" t="str">
        <f>$AB$14</f>
        <v>0</v>
      </c>
      <c r="AC17" s="82"/>
      <c r="AE17" s="58" t="s">
        <v>142</v>
      </c>
      <c r="AF17" s="420" t="str">
        <f>AB17+W4-W5</f>
        <v>0</v>
      </c>
      <c r="AG17" s="420"/>
      <c r="AH17" s="420"/>
      <c r="AI17" s="420"/>
      <c r="AJ17" s="421"/>
    </row>
    <row r="18" spans="1:38" customHeight="1" ht="12.75">
      <c r="D18" s="991" t="s">
        <v>180</v>
      </c>
      <c r="E18" s="992"/>
      <c r="F18" s="992"/>
      <c r="G18" s="992"/>
      <c r="H18" s="992"/>
      <c r="I18" s="992"/>
      <c r="J18" s="992"/>
      <c r="K18" s="992"/>
      <c r="L18" s="992"/>
      <c r="M18" s="992"/>
      <c r="N18" s="992"/>
      <c r="O18" s="992"/>
      <c r="P18" s="992"/>
      <c r="Q18" s="992"/>
      <c r="R18" s="992"/>
      <c r="S18" s="993"/>
      <c r="V18" s="58" t="s">
        <v>87</v>
      </c>
      <c r="W18" s="89"/>
      <c r="X18" s="81" t="str">
        <f>$X$14</f>
        <v>0</v>
      </c>
      <c r="Y18" s="81"/>
      <c r="Z18" s="81" t="str">
        <f>$Z$14</f>
        <v>0</v>
      </c>
      <c r="AA18" s="81"/>
      <c r="AB18" s="81" t="str">
        <f>$AB$14</f>
        <v>0</v>
      </c>
      <c r="AC18" s="82"/>
      <c r="AE18" s="58" t="s">
        <v>142</v>
      </c>
      <c r="AF18" s="420" t="str">
        <f>AB18+W4-W5</f>
        <v>0</v>
      </c>
      <c r="AG18" s="420"/>
      <c r="AH18" s="420"/>
      <c r="AI18" s="420"/>
      <c r="AJ18" s="421"/>
    </row>
    <row r="19" spans="1:38">
      <c r="B19" s="25"/>
      <c r="C19" s="995" t="s">
        <v>139</v>
      </c>
      <c r="D19" s="986" t="s">
        <v>141</v>
      </c>
      <c r="E19" s="986"/>
      <c r="F19" s="986" t="s">
        <v>162</v>
      </c>
      <c r="G19" s="986"/>
      <c r="H19" s="986" t="s">
        <v>142</v>
      </c>
      <c r="I19" s="986"/>
      <c r="J19" s="986" t="s">
        <v>163</v>
      </c>
      <c r="K19" s="986"/>
      <c r="L19" s="986" t="s">
        <v>164</v>
      </c>
      <c r="M19" s="986"/>
      <c r="N19" s="986" t="s">
        <v>165</v>
      </c>
      <c r="O19" s="986"/>
      <c r="P19" s="986" t="s">
        <v>166</v>
      </c>
      <c r="Q19" s="986"/>
      <c r="R19" s="986" t="s">
        <v>167</v>
      </c>
      <c r="S19" s="989"/>
      <c r="V19" s="58" t="s">
        <v>143</v>
      </c>
      <c r="W19" s="89"/>
      <c r="X19" s="81" t="str">
        <f>$X$14</f>
        <v>0</v>
      </c>
      <c r="Y19" s="81" t="str">
        <f>$Y$14</f>
        <v>0</v>
      </c>
      <c r="Z19" s="81"/>
      <c r="AA19" s="81"/>
      <c r="AB19" s="81"/>
      <c r="AC19" s="82" t="str">
        <f>$AC$14</f>
        <v>0</v>
      </c>
      <c r="AE19" s="58" t="s">
        <v>141</v>
      </c>
      <c r="AF19" s="420" t="str">
        <f>X19+W4-W5</f>
        <v>0</v>
      </c>
      <c r="AG19" s="420" t="s">
        <v>141</v>
      </c>
      <c r="AH19" s="420" t="str">
        <f>X19+W4+Y19+W4-W5</f>
        <v>0</v>
      </c>
      <c r="AI19" s="420"/>
      <c r="AJ19" s="421"/>
    </row>
    <row r="20" spans="1:38" customHeight="1" ht="12.75">
      <c r="B20" s="25"/>
      <c r="C20" s="996"/>
      <c r="D20" s="26" t="s">
        <v>177</v>
      </c>
      <c r="E20" s="26" t="s">
        <v>178</v>
      </c>
      <c r="F20" s="26" t="s">
        <v>177</v>
      </c>
      <c r="G20" s="26" t="s">
        <v>178</v>
      </c>
      <c r="H20" s="26" t="s">
        <v>177</v>
      </c>
      <c r="I20" s="26" t="s">
        <v>178</v>
      </c>
      <c r="J20" s="26" t="s">
        <v>177</v>
      </c>
      <c r="K20" s="26" t="s">
        <v>178</v>
      </c>
      <c r="L20" s="26" t="s">
        <v>177</v>
      </c>
      <c r="M20" s="26" t="s">
        <v>178</v>
      </c>
      <c r="N20" s="26" t="s">
        <v>177</v>
      </c>
      <c r="O20" s="26" t="s">
        <v>178</v>
      </c>
      <c r="P20" s="26" t="s">
        <v>177</v>
      </c>
      <c r="Q20" s="26" t="s">
        <v>178</v>
      </c>
      <c r="R20" s="26" t="s">
        <v>177</v>
      </c>
      <c r="S20" s="27" t="s">
        <v>178</v>
      </c>
      <c r="V20" s="58" t="s">
        <v>144</v>
      </c>
      <c r="W20" s="89" t="str">
        <f>$W$14</f>
        <v>0</v>
      </c>
      <c r="X20" s="81"/>
      <c r="Y20" s="81"/>
      <c r="Z20" s="81"/>
      <c r="AA20" s="81" t="str">
        <f>$AA$14</f>
        <v>0</v>
      </c>
      <c r="AB20" s="81" t="str">
        <f>$AB$14</f>
        <v>0</v>
      </c>
      <c r="AC20" s="82"/>
      <c r="AE20" s="58" t="s">
        <v>142</v>
      </c>
      <c r="AF20" s="420" t="str">
        <f>AB20+W4+AA20+W4-W5</f>
        <v>0</v>
      </c>
      <c r="AG20" s="420" t="s">
        <v>142</v>
      </c>
      <c r="AH20" s="420" t="str">
        <f>AB20+W4-W5</f>
        <v>0</v>
      </c>
      <c r="AI20" s="420"/>
      <c r="AJ20" s="421"/>
    </row>
    <row r="21" spans="1:38">
      <c r="B21" s="23"/>
      <c r="C21" s="7" t="s">
        <v>87</v>
      </c>
      <c r="D21">
        <v>0</v>
      </c>
      <c r="E21">
        <v>0</v>
      </c>
      <c r="F21" s="28" t="s">
        <v>181</v>
      </c>
      <c r="G21" s="28" t="s">
        <v>181</v>
      </c>
      <c r="H21">
        <v>0</v>
      </c>
      <c r="I21">
        <v>0</v>
      </c>
      <c r="J21" s="28" t="s">
        <v>181</v>
      </c>
      <c r="K21" s="28" t="s">
        <v>181</v>
      </c>
      <c r="L21" s="28" t="s">
        <v>181</v>
      </c>
      <c r="M21" s="28" t="s">
        <v>181</v>
      </c>
      <c r="N21" s="28" t="s">
        <v>181</v>
      </c>
      <c r="O21" s="28" t="s">
        <v>181</v>
      </c>
      <c r="P21" s="28" t="s">
        <v>181</v>
      </c>
      <c r="Q21" s="28" t="s">
        <v>181</v>
      </c>
      <c r="R21" s="28" t="s">
        <v>181</v>
      </c>
      <c r="S21" s="30" t="s">
        <v>181</v>
      </c>
      <c r="V21" s="105" t="s">
        <v>145</v>
      </c>
      <c r="W21" s="81"/>
      <c r="X21" s="81" t="str">
        <f>$X$14</f>
        <v>0</v>
      </c>
      <c r="Y21" s="81"/>
      <c r="Z21" s="81" t="str">
        <f>$Z$14</f>
        <v>0</v>
      </c>
      <c r="AA21" s="81" t="str">
        <f>$AA$14</f>
        <v>0</v>
      </c>
      <c r="AB21" s="81" t="str">
        <f>$AB$14</f>
        <v>0</v>
      </c>
      <c r="AC21" s="82"/>
      <c r="AE21" s="58" t="s">
        <v>142</v>
      </c>
      <c r="AF21" s="420" t="str">
        <f>AB21+W4+AA21+W4-W5</f>
        <v>0</v>
      </c>
      <c r="AG21" s="420" t="s">
        <v>142</v>
      </c>
      <c r="AH21" s="420" t="str">
        <f>AB21+W4-W5</f>
        <v>0</v>
      </c>
      <c r="AI21" s="420"/>
      <c r="AJ21" s="421"/>
    </row>
    <row r="22" spans="1:38">
      <c r="B22" s="23"/>
      <c r="C22" s="24" t="s">
        <v>88</v>
      </c>
      <c r="D22" t="str">
        <f>$B$9</f>
        <v>0</v>
      </c>
      <c r="E22" t="str">
        <f>$B$10</f>
        <v>0</v>
      </c>
      <c r="F22" s="28" t="s">
        <v>181</v>
      </c>
      <c r="G22" s="28" t="s">
        <v>181</v>
      </c>
      <c r="H22" t="str">
        <f>$B$9</f>
        <v>0</v>
      </c>
      <c r="I22" t="str">
        <f>$B$10</f>
        <v>0</v>
      </c>
      <c r="J22" s="28" t="s">
        <v>181</v>
      </c>
      <c r="K22" s="28" t="s">
        <v>181</v>
      </c>
      <c r="L22" t="str">
        <f>$B$9*2</f>
        <v>0</v>
      </c>
      <c r="M22" t="str">
        <f>$B$10</f>
        <v>0</v>
      </c>
      <c r="N22" s="28" t="s">
        <v>181</v>
      </c>
      <c r="O22" s="28" t="s">
        <v>181</v>
      </c>
      <c r="P22" s="28" t="s">
        <v>181</v>
      </c>
      <c r="Q22" s="28" t="s">
        <v>181</v>
      </c>
      <c r="R22" s="28" t="s">
        <v>181</v>
      </c>
      <c r="S22" s="30" t="s">
        <v>181</v>
      </c>
      <c r="V22" s="105" t="s">
        <v>146</v>
      </c>
      <c r="W22" s="81"/>
      <c r="X22" s="81" t="str">
        <f>$X$14</f>
        <v>0</v>
      </c>
      <c r="Y22" s="81" t="str">
        <f>$Y$14</f>
        <v>0</v>
      </c>
      <c r="Z22" s="81" t="str">
        <f>$Z$14</f>
        <v>0</v>
      </c>
      <c r="AA22" s="81"/>
      <c r="AB22" s="81" t="str">
        <f>$AB$14</f>
        <v>0</v>
      </c>
      <c r="AC22" s="82"/>
      <c r="AE22" s="58" t="s">
        <v>141</v>
      </c>
      <c r="AF22" s="420" t="str">
        <f>X22+W4+Y22+W5</f>
        <v>0</v>
      </c>
      <c r="AG22" s="420" t="s">
        <v>142</v>
      </c>
      <c r="AH22" s="420" t="str">
        <f>AB22+W4-W5</f>
        <v>0</v>
      </c>
      <c r="AI22" s="420"/>
      <c r="AJ22" s="421"/>
    </row>
    <row r="23" spans="1:38">
      <c r="B23" s="23"/>
      <c r="C23" s="24" t="s">
        <v>89</v>
      </c>
      <c r="D23" t="str">
        <f>$B$9</f>
        <v>0</v>
      </c>
      <c r="E23" t="str">
        <f>$B$10</f>
        <v>0</v>
      </c>
      <c r="F23" s="28" t="s">
        <v>181</v>
      </c>
      <c r="G23" s="28" t="s">
        <v>181</v>
      </c>
      <c r="H23" t="str">
        <f>$B$9</f>
        <v>0</v>
      </c>
      <c r="I23" t="str">
        <f>$B$10</f>
        <v>0</v>
      </c>
      <c r="J23" s="28" t="s">
        <v>181</v>
      </c>
      <c r="K23" s="28" t="s">
        <v>181</v>
      </c>
      <c r="L23" s="21" t="s">
        <v>181</v>
      </c>
      <c r="M23" s="21" t="s">
        <v>181</v>
      </c>
      <c r="N23" s="28" t="s">
        <v>181</v>
      </c>
      <c r="O23" s="28" t="s">
        <v>181</v>
      </c>
      <c r="P23" t="str">
        <f>B9*2</f>
        <v>0</v>
      </c>
      <c r="Q23" t="str">
        <f>B10</f>
        <v>0</v>
      </c>
      <c r="R23" s="28" t="s">
        <v>181</v>
      </c>
      <c r="S23" s="30" t="s">
        <v>181</v>
      </c>
      <c r="V23" s="105" t="s">
        <v>147</v>
      </c>
      <c r="W23" s="81"/>
      <c r="X23" s="81" t="str">
        <f>$X$14</f>
        <v>0</v>
      </c>
      <c r="Y23" s="81" t="str">
        <f>$Y$14</f>
        <v>0</v>
      </c>
      <c r="Z23" s="81" t="str">
        <f>$Z$14</f>
        <v>0</v>
      </c>
      <c r="AA23" s="81" t="str">
        <f>$AA$14</f>
        <v>0</v>
      </c>
      <c r="AB23" s="81" t="str">
        <f>$AB$14</f>
        <v>0</v>
      </c>
      <c r="AC23" s="82"/>
      <c r="AE23" s="58" t="s">
        <v>141</v>
      </c>
      <c r="AF23" s="420" t="str">
        <f>X23+W4+Y23+W5</f>
        <v>0</v>
      </c>
      <c r="AG23" s="420" t="s">
        <v>142</v>
      </c>
      <c r="AH23" s="420" t="str">
        <f>AB23+W4+AA23+W4-W5</f>
        <v>0</v>
      </c>
      <c r="AI23" s="420" t="s">
        <v>142</v>
      </c>
      <c r="AJ23" s="421" t="str">
        <f>AB23+W4-W5</f>
        <v>0</v>
      </c>
    </row>
    <row r="24" spans="1:38">
      <c r="B24" s="23"/>
      <c r="C24" s="24" t="s">
        <v>90</v>
      </c>
      <c r="D24" t="str">
        <f>B9*2</f>
        <v>0</v>
      </c>
      <c r="E24" t="str">
        <f>B10</f>
        <v>0</v>
      </c>
      <c r="F24" s="28" t="s">
        <v>181</v>
      </c>
      <c r="G24" s="28" t="s">
        <v>181</v>
      </c>
      <c r="H24" s="28" t="s">
        <v>181</v>
      </c>
      <c r="I24" s="28" t="s">
        <v>181</v>
      </c>
      <c r="J24" s="28" t="s">
        <v>181</v>
      </c>
      <c r="K24" s="28" t="s">
        <v>181</v>
      </c>
      <c r="L24" t="str">
        <f>B9</f>
        <v>0</v>
      </c>
      <c r="M24" t="str">
        <f>B10</f>
        <v>0</v>
      </c>
      <c r="N24" s="28" t="s">
        <v>181</v>
      </c>
      <c r="O24" s="28" t="s">
        <v>181</v>
      </c>
      <c r="P24" t="str">
        <f>B9</f>
        <v>0</v>
      </c>
      <c r="Q24" t="str">
        <f>B10</f>
        <v>0</v>
      </c>
      <c r="R24" s="28" t="s">
        <v>181</v>
      </c>
      <c r="S24" s="30" t="s">
        <v>181</v>
      </c>
      <c r="V24" s="105" t="s">
        <v>148</v>
      </c>
      <c r="W24" s="81"/>
      <c r="X24" s="81" t="str">
        <f>$X$14</f>
        <v>0</v>
      </c>
      <c r="Y24" s="81"/>
      <c r="Z24" s="81"/>
      <c r="AA24" s="81"/>
      <c r="AB24" s="81"/>
      <c r="AC24" s="82" t="str">
        <f>$AC$14</f>
        <v>0</v>
      </c>
      <c r="AE24" s="58" t="s">
        <v>141</v>
      </c>
      <c r="AF24" s="420" t="str">
        <f>X24+W4-W5</f>
        <v>0</v>
      </c>
      <c r="AG24" s="420"/>
      <c r="AH24" s="420"/>
      <c r="AI24" s="420"/>
      <c r="AJ24" s="421"/>
    </row>
    <row r="25" spans="1:38">
      <c r="B25" s="23"/>
      <c r="C25" s="24" t="s">
        <v>91</v>
      </c>
      <c r="D25" s="28" t="s">
        <v>181</v>
      </c>
      <c r="E25" s="28" t="s">
        <v>181</v>
      </c>
      <c r="F25" s="28" t="s">
        <v>181</v>
      </c>
      <c r="G25" s="28" t="s">
        <v>181</v>
      </c>
      <c r="H25" t="str">
        <f>B9*2</f>
        <v>0</v>
      </c>
      <c r="I25" t="str">
        <f>B10</f>
        <v>0</v>
      </c>
      <c r="J25" s="28" t="s">
        <v>181</v>
      </c>
      <c r="K25" s="28" t="s">
        <v>181</v>
      </c>
      <c r="L25" t="str">
        <f>B9</f>
        <v>0</v>
      </c>
      <c r="M25" t="str">
        <f>B10</f>
        <v>0</v>
      </c>
      <c r="N25" s="28" t="s">
        <v>181</v>
      </c>
      <c r="O25" s="28" t="s">
        <v>181</v>
      </c>
      <c r="P25" t="str">
        <f>B9</f>
        <v>0</v>
      </c>
      <c r="Q25" t="str">
        <f>B10</f>
        <v>0</v>
      </c>
      <c r="R25" s="28" t="s">
        <v>181</v>
      </c>
      <c r="S25" s="30" t="s">
        <v>181</v>
      </c>
      <c r="V25" s="105" t="s">
        <v>149</v>
      </c>
      <c r="W25" s="81" t="str">
        <f>$W$14</f>
        <v>0</v>
      </c>
      <c r="X25" s="81"/>
      <c r="Y25" s="81"/>
      <c r="Z25" s="81"/>
      <c r="AA25" s="81"/>
      <c r="AB25" s="81" t="str">
        <f>$AB$14</f>
        <v>0</v>
      </c>
      <c r="AC25" s="82"/>
      <c r="AE25" s="58" t="s">
        <v>142</v>
      </c>
      <c r="AF25" s="420" t="str">
        <f>AB25+W4-W5</f>
        <v>0</v>
      </c>
      <c r="AG25" s="420"/>
      <c r="AH25" s="420"/>
      <c r="AI25" s="420"/>
      <c r="AJ25" s="421"/>
    </row>
    <row r="26" spans="1:38">
      <c r="B26" s="23"/>
      <c r="C26" s="24" t="s">
        <v>92</v>
      </c>
      <c r="D26" s="31" t="str">
        <f>B9*2</f>
        <v>0</v>
      </c>
      <c r="E26" s="32" t="str">
        <f>B10</f>
        <v>0</v>
      </c>
      <c r="F26" s="33" t="s">
        <v>181</v>
      </c>
      <c r="G26" s="33" t="s">
        <v>181</v>
      </c>
      <c r="H26" s="32" t="str">
        <f>B9*2</f>
        <v>0</v>
      </c>
      <c r="I26" s="32" t="str">
        <f>B10</f>
        <v>0</v>
      </c>
      <c r="J26" s="33" t="s">
        <v>181</v>
      </c>
      <c r="K26" s="33" t="s">
        <v>181</v>
      </c>
      <c r="L26" s="32" t="str">
        <f>B9*2</f>
        <v>0</v>
      </c>
      <c r="M26" s="32" t="str">
        <f>B10</f>
        <v>0</v>
      </c>
      <c r="N26" s="33" t="s">
        <v>181</v>
      </c>
      <c r="O26" s="33" t="s">
        <v>181</v>
      </c>
      <c r="P26" s="32" t="str">
        <f>B9*2</f>
        <v>0</v>
      </c>
      <c r="Q26" s="32" t="str">
        <f>B10</f>
        <v>0</v>
      </c>
      <c r="R26" s="33" t="s">
        <v>181</v>
      </c>
      <c r="S26" s="34" t="s">
        <v>181</v>
      </c>
      <c r="V26" s="7" t="s">
        <v>150</v>
      </c>
      <c r="W26" s="83"/>
      <c r="X26" s="83" t="str">
        <f>$X$14</f>
        <v>0</v>
      </c>
      <c r="Y26" s="83"/>
      <c r="Z26" s="83" t="str">
        <f>$Z$14</f>
        <v>0</v>
      </c>
      <c r="AA26" s="83"/>
      <c r="AB26" s="83" t="str">
        <f>$AB$14</f>
        <v>0</v>
      </c>
      <c r="AC26" s="84"/>
      <c r="AE26" s="31" t="s">
        <v>142</v>
      </c>
      <c r="AF26" s="422" t="str">
        <f>AB26+W4-W5</f>
        <v>0</v>
      </c>
      <c r="AG26" s="422"/>
      <c r="AH26" s="422"/>
      <c r="AI26" s="422"/>
      <c r="AJ26" s="423"/>
    </row>
    <row r="27" spans="1:38" customHeight="1" ht="12.75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38" customHeight="1" ht="12.75">
      <c r="D28" s="991" t="s">
        <v>182</v>
      </c>
      <c r="E28" s="992"/>
      <c r="F28" s="992"/>
      <c r="G28" s="992"/>
      <c r="H28" s="992"/>
      <c r="I28" s="992"/>
      <c r="J28" s="992"/>
      <c r="K28" s="992"/>
      <c r="L28" s="992"/>
      <c r="M28" s="992"/>
      <c r="N28" s="992"/>
      <c r="O28" s="992"/>
      <c r="P28" s="992"/>
      <c r="Q28" s="992"/>
      <c r="R28" s="992"/>
      <c r="S28" s="993"/>
    </row>
    <row r="29" spans="1:38">
      <c r="C29" s="995" t="s">
        <v>139</v>
      </c>
      <c r="D29" s="986" t="s">
        <v>141</v>
      </c>
      <c r="E29" s="986"/>
      <c r="F29" s="986" t="s">
        <v>162</v>
      </c>
      <c r="G29" s="986"/>
      <c r="H29" s="986" t="s">
        <v>142</v>
      </c>
      <c r="I29" s="986"/>
      <c r="J29" s="986" t="s">
        <v>163</v>
      </c>
      <c r="K29" s="986"/>
      <c r="L29" s="986" t="s">
        <v>164</v>
      </c>
      <c r="M29" s="986"/>
      <c r="N29" s="986" t="s">
        <v>165</v>
      </c>
      <c r="O29" s="986"/>
      <c r="P29" s="986" t="s">
        <v>166</v>
      </c>
      <c r="Q29" s="986"/>
      <c r="R29" s="986" t="s">
        <v>167</v>
      </c>
      <c r="S29" s="989"/>
      <c r="U29" s="572" t="s">
        <v>13</v>
      </c>
      <c r="V29" s="574" t="s">
        <v>183</v>
      </c>
    </row>
    <row r="30" spans="1:38" customHeight="1" ht="12.75">
      <c r="C30" s="996"/>
      <c r="D30" s="26" t="s">
        <v>177</v>
      </c>
      <c r="E30" s="26" t="s">
        <v>178</v>
      </c>
      <c r="F30" s="26" t="s">
        <v>177</v>
      </c>
      <c r="G30" s="26" t="s">
        <v>178</v>
      </c>
      <c r="H30" s="26" t="s">
        <v>177</v>
      </c>
      <c r="I30" s="26" t="s">
        <v>178</v>
      </c>
      <c r="J30" s="26" t="s">
        <v>177</v>
      </c>
      <c r="K30" s="26" t="s">
        <v>178</v>
      </c>
      <c r="L30" s="26" t="s">
        <v>177</v>
      </c>
      <c r="M30" s="26" t="s">
        <v>178</v>
      </c>
      <c r="N30" s="26" t="s">
        <v>177</v>
      </c>
      <c r="O30" s="26" t="s">
        <v>178</v>
      </c>
      <c r="P30" s="26" t="s">
        <v>177</v>
      </c>
      <c r="Q30" s="26" t="s">
        <v>178</v>
      </c>
      <c r="R30" s="26" t="s">
        <v>177</v>
      </c>
      <c r="S30" s="27" t="s">
        <v>178</v>
      </c>
      <c r="U30" s="573" t="s">
        <v>184</v>
      </c>
      <c r="V30" s="575" t="s">
        <v>185</v>
      </c>
    </row>
    <row r="31" spans="1:38">
      <c r="C31" s="7" t="s">
        <v>87</v>
      </c>
      <c r="D31">
        <v>0</v>
      </c>
      <c r="E31">
        <v>0</v>
      </c>
      <c r="F31" s="28" t="s">
        <v>181</v>
      </c>
      <c r="G31" s="28" t="s">
        <v>181</v>
      </c>
      <c r="H31">
        <v>0</v>
      </c>
      <c r="I31">
        <v>0</v>
      </c>
      <c r="J31" s="28" t="s">
        <v>181</v>
      </c>
      <c r="K31" s="28" t="s">
        <v>181</v>
      </c>
      <c r="L31" s="28" t="s">
        <v>181</v>
      </c>
      <c r="M31" s="28" t="s">
        <v>181</v>
      </c>
      <c r="N31" s="28" t="s">
        <v>181</v>
      </c>
      <c r="O31" s="28" t="s">
        <v>181</v>
      </c>
      <c r="P31" s="28" t="s">
        <v>181</v>
      </c>
      <c r="Q31" s="28" t="s">
        <v>181</v>
      </c>
      <c r="R31" s="28" t="s">
        <v>181</v>
      </c>
      <c r="S31" s="30" t="s">
        <v>181</v>
      </c>
      <c r="U31" s="570">
        <v>0</v>
      </c>
      <c r="V31" s="365">
        <v>1</v>
      </c>
    </row>
    <row r="32" spans="1:38">
      <c r="C32" s="24" t="s">
        <v>88</v>
      </c>
      <c r="D32" t="str">
        <f>B9</f>
        <v>0</v>
      </c>
      <c r="E32" t="str">
        <f>B11</f>
        <v>0</v>
      </c>
      <c r="F32" s="28" t="s">
        <v>181</v>
      </c>
      <c r="G32" s="28" t="s">
        <v>181</v>
      </c>
      <c r="H32" t="str">
        <f>B9</f>
        <v>0</v>
      </c>
      <c r="I32" t="str">
        <f>B11</f>
        <v>0</v>
      </c>
      <c r="J32" s="28" t="s">
        <v>181</v>
      </c>
      <c r="K32" s="28" t="s">
        <v>181</v>
      </c>
      <c r="L32" t="str">
        <f>B9*2</f>
        <v>0</v>
      </c>
      <c r="M32" t="str">
        <f>B11*2</f>
        <v>0</v>
      </c>
      <c r="N32" s="28" t="s">
        <v>181</v>
      </c>
      <c r="O32" s="28" t="s">
        <v>181</v>
      </c>
      <c r="P32" s="28" t="s">
        <v>181</v>
      </c>
      <c r="Q32" s="28" t="s">
        <v>181</v>
      </c>
      <c r="R32" s="28" t="s">
        <v>181</v>
      </c>
      <c r="S32" s="30" t="s">
        <v>181</v>
      </c>
      <c r="U32" s="570">
        <v>4</v>
      </c>
      <c r="V32" s="365">
        <v>1</v>
      </c>
    </row>
    <row r="33" spans="1:38">
      <c r="C33" s="24" t="s">
        <v>89</v>
      </c>
      <c r="D33" t="str">
        <f>B9</f>
        <v>0</v>
      </c>
      <c r="E33" t="str">
        <f>B11</f>
        <v>0</v>
      </c>
      <c r="F33" s="28" t="s">
        <v>181</v>
      </c>
      <c r="G33" s="28" t="s">
        <v>181</v>
      </c>
      <c r="H33" t="str">
        <f>B9</f>
        <v>0</v>
      </c>
      <c r="I33" t="str">
        <f>B11</f>
        <v>0</v>
      </c>
      <c r="J33" s="28" t="s">
        <v>181</v>
      </c>
      <c r="K33" s="28" t="s">
        <v>181</v>
      </c>
      <c r="L33" s="28" t="s">
        <v>181</v>
      </c>
      <c r="M33" s="28" t="s">
        <v>181</v>
      </c>
      <c r="N33" s="28" t="s">
        <v>181</v>
      </c>
      <c r="O33" s="28" t="s">
        <v>181</v>
      </c>
      <c r="P33" t="str">
        <f>B9*2</f>
        <v>0</v>
      </c>
      <c r="Q33" t="str">
        <f>B11*2</f>
        <v>0</v>
      </c>
      <c r="R33" s="28" t="s">
        <v>181</v>
      </c>
      <c r="S33" s="30" t="s">
        <v>181</v>
      </c>
      <c r="U33" s="570">
        <v>4</v>
      </c>
      <c r="V33" s="365">
        <v>0</v>
      </c>
    </row>
    <row r="34" spans="1:38">
      <c r="C34" s="24" t="s">
        <v>90</v>
      </c>
      <c r="D34" t="str">
        <f>B9*2</f>
        <v>0</v>
      </c>
      <c r="E34" t="str">
        <f>B11*2</f>
        <v>0</v>
      </c>
      <c r="F34" s="28" t="s">
        <v>181</v>
      </c>
      <c r="G34" s="28" t="s">
        <v>181</v>
      </c>
      <c r="H34" s="28" t="s">
        <v>181</v>
      </c>
      <c r="I34" s="28" t="s">
        <v>181</v>
      </c>
      <c r="J34" s="28" t="s">
        <v>181</v>
      </c>
      <c r="K34" s="28" t="s">
        <v>181</v>
      </c>
      <c r="L34" t="str">
        <f>B9</f>
        <v>0</v>
      </c>
      <c r="M34" t="str">
        <f>B11</f>
        <v>0</v>
      </c>
      <c r="N34" s="28" t="s">
        <v>181</v>
      </c>
      <c r="O34" s="28" t="s">
        <v>181</v>
      </c>
      <c r="P34" t="str">
        <f>B9</f>
        <v>0</v>
      </c>
      <c r="Q34" t="str">
        <f>B11</f>
        <v>0</v>
      </c>
      <c r="R34" s="28" t="s">
        <v>181</v>
      </c>
      <c r="S34" s="30" t="s">
        <v>181</v>
      </c>
      <c r="U34" s="570">
        <v>4</v>
      </c>
      <c r="V34" s="365">
        <v>0</v>
      </c>
    </row>
    <row r="35" spans="1:38">
      <c r="C35" s="24" t="s">
        <v>91</v>
      </c>
      <c r="D35" s="28" t="s">
        <v>181</v>
      </c>
      <c r="E35" s="28" t="s">
        <v>181</v>
      </c>
      <c r="F35" s="28" t="s">
        <v>181</v>
      </c>
      <c r="G35" s="28" t="s">
        <v>181</v>
      </c>
      <c r="H35" t="str">
        <f>B9*2</f>
        <v>0</v>
      </c>
      <c r="I35" t="str">
        <f>B11*2</f>
        <v>0</v>
      </c>
      <c r="J35" s="28" t="s">
        <v>181</v>
      </c>
      <c r="K35" s="28" t="s">
        <v>181</v>
      </c>
      <c r="L35" t="str">
        <f>B9</f>
        <v>0</v>
      </c>
      <c r="M35" t="str">
        <f>B11</f>
        <v>0</v>
      </c>
      <c r="N35" s="28" t="s">
        <v>181</v>
      </c>
      <c r="O35" s="28" t="s">
        <v>181</v>
      </c>
      <c r="P35" t="str">
        <f>B9</f>
        <v>0</v>
      </c>
      <c r="Q35" t="str">
        <f>B11</f>
        <v>0</v>
      </c>
      <c r="R35" s="28" t="s">
        <v>181</v>
      </c>
      <c r="S35" s="30" t="s">
        <v>181</v>
      </c>
      <c r="U35" s="570">
        <v>4</v>
      </c>
      <c r="V35" s="365">
        <v>0</v>
      </c>
    </row>
    <row r="36" spans="1:38">
      <c r="C36" s="24" t="s">
        <v>92</v>
      </c>
      <c r="D36" t="str">
        <f>B9*2</f>
        <v>0</v>
      </c>
      <c r="E36" t="str">
        <f>B11*2</f>
        <v>0</v>
      </c>
      <c r="F36" s="28" t="s">
        <v>181</v>
      </c>
      <c r="G36" s="28" t="s">
        <v>181</v>
      </c>
      <c r="H36" t="str">
        <f>B9*2</f>
        <v>0</v>
      </c>
      <c r="I36" t="str">
        <f>B11*2</f>
        <v>0</v>
      </c>
      <c r="J36" s="28" t="s">
        <v>181</v>
      </c>
      <c r="K36" s="28" t="s">
        <v>181</v>
      </c>
      <c r="L36" t="str">
        <f>B9*2</f>
        <v>0</v>
      </c>
      <c r="M36" t="str">
        <f>B11*2</f>
        <v>0</v>
      </c>
      <c r="N36" s="28" t="s">
        <v>181</v>
      </c>
      <c r="O36" s="28" t="s">
        <v>181</v>
      </c>
      <c r="P36" t="str">
        <f>B9*2</f>
        <v>0</v>
      </c>
      <c r="Q36" t="str">
        <f>B11*2</f>
        <v>0</v>
      </c>
      <c r="R36" s="28" t="s">
        <v>181</v>
      </c>
      <c r="S36" s="30" t="s">
        <v>181</v>
      </c>
      <c r="U36" s="570">
        <v>8</v>
      </c>
      <c r="V36" s="365">
        <v>0</v>
      </c>
    </row>
    <row r="37" spans="1:38">
      <c r="C37" s="24" t="s">
        <v>93</v>
      </c>
      <c r="D37" t="str">
        <f>B9</f>
        <v>0</v>
      </c>
      <c r="E37" t="str">
        <f>B10</f>
        <v>0</v>
      </c>
      <c r="F37" s="28" t="s">
        <v>181</v>
      </c>
      <c r="G37" s="28" t="s">
        <v>181</v>
      </c>
      <c r="H37" t="str">
        <f>B9</f>
        <v>0</v>
      </c>
      <c r="I37" t="str">
        <f>B10</f>
        <v>0</v>
      </c>
      <c r="J37" s="28" t="s">
        <v>181</v>
      </c>
      <c r="K37" s="28" t="s">
        <v>181</v>
      </c>
      <c r="L37" s="28" t="s">
        <v>181</v>
      </c>
      <c r="M37" s="28" t="s">
        <v>181</v>
      </c>
      <c r="N37" t="str">
        <f>B9*2</f>
        <v>0</v>
      </c>
      <c r="O37" t="str">
        <f>B10</f>
        <v>0</v>
      </c>
      <c r="P37" s="28" t="s">
        <v>181</v>
      </c>
      <c r="Q37" s="28" t="s">
        <v>181</v>
      </c>
      <c r="R37" s="28" t="s">
        <v>181</v>
      </c>
      <c r="S37" s="30" t="s">
        <v>181</v>
      </c>
      <c r="U37" s="570">
        <v>4</v>
      </c>
      <c r="V37" s="365">
        <v>1</v>
      </c>
    </row>
    <row r="38" spans="1:38">
      <c r="C38" s="24" t="s">
        <v>94</v>
      </c>
      <c r="D38" t="str">
        <f>B9</f>
        <v>0</v>
      </c>
      <c r="E38" t="str">
        <f>B10</f>
        <v>0</v>
      </c>
      <c r="F38" s="28" t="s">
        <v>181</v>
      </c>
      <c r="G38" s="28" t="s">
        <v>181</v>
      </c>
      <c r="H38" t="str">
        <f>B9</f>
        <v>0</v>
      </c>
      <c r="I38" t="str">
        <f>B10</f>
        <v>0</v>
      </c>
      <c r="J38" s="28" t="s">
        <v>181</v>
      </c>
      <c r="K38" s="28" t="s">
        <v>181</v>
      </c>
      <c r="L38" s="28" t="s">
        <v>181</v>
      </c>
      <c r="M38" s="28" t="s">
        <v>181</v>
      </c>
      <c r="N38" s="28" t="s">
        <v>181</v>
      </c>
      <c r="O38" s="28" t="s">
        <v>181</v>
      </c>
      <c r="P38" s="28" t="s">
        <v>181</v>
      </c>
      <c r="Q38" s="28" t="s">
        <v>181</v>
      </c>
      <c r="R38" t="str">
        <f>B9*2</f>
        <v>0</v>
      </c>
      <c r="S38" s="36" t="str">
        <f>B10</f>
        <v>0</v>
      </c>
      <c r="U38" s="570">
        <v>4</v>
      </c>
      <c r="V38" s="365">
        <v>0</v>
      </c>
    </row>
    <row r="39" spans="1:38">
      <c r="C39" s="24" t="s">
        <v>95</v>
      </c>
      <c r="D39" t="str">
        <f>B9*2</f>
        <v>0</v>
      </c>
      <c r="E39" t="str">
        <f>B11</f>
        <v>0</v>
      </c>
      <c r="F39" s="28" t="s">
        <v>181</v>
      </c>
      <c r="G39" s="28" t="s">
        <v>181</v>
      </c>
      <c r="H39" t="str">
        <f>B9*2</f>
        <v>0</v>
      </c>
      <c r="I39" t="str">
        <f>B11</f>
        <v>0</v>
      </c>
      <c r="J39" s="28" t="s">
        <v>181</v>
      </c>
      <c r="K39" s="28" t="s">
        <v>181</v>
      </c>
      <c r="L39" t="str">
        <f>B9*2</f>
        <v>0</v>
      </c>
      <c r="M39" t="str">
        <f>B11*2</f>
        <v>0</v>
      </c>
      <c r="N39" s="28" t="s">
        <v>181</v>
      </c>
      <c r="O39" s="28" t="s">
        <v>181</v>
      </c>
      <c r="P39" s="28" t="s">
        <v>181</v>
      </c>
      <c r="Q39" s="28" t="s">
        <v>181</v>
      </c>
      <c r="R39" t="str">
        <f>B9*2</f>
        <v>0</v>
      </c>
      <c r="S39" s="36" t="str">
        <f>B10</f>
        <v>0</v>
      </c>
      <c r="U39" s="570">
        <v>8</v>
      </c>
      <c r="V39" s="365">
        <v>0</v>
      </c>
    </row>
    <row r="40" spans="1:38">
      <c r="C40" s="24" t="s">
        <v>96</v>
      </c>
      <c r="D40" t="str">
        <f>B9*2</f>
        <v>0</v>
      </c>
      <c r="E40" t="str">
        <f>B11</f>
        <v>0</v>
      </c>
      <c r="F40" s="28" t="s">
        <v>181</v>
      </c>
      <c r="G40" s="28" t="s">
        <v>181</v>
      </c>
      <c r="H40" t="str">
        <f>B9*2</f>
        <v>0</v>
      </c>
      <c r="I40" t="str">
        <f>B11</f>
        <v>0</v>
      </c>
      <c r="J40" s="28" t="s">
        <v>181</v>
      </c>
      <c r="K40" s="28" t="s">
        <v>181</v>
      </c>
      <c r="L40" s="28" t="s">
        <v>181</v>
      </c>
      <c r="M40" s="28" t="s">
        <v>181</v>
      </c>
      <c r="N40" t="str">
        <f>B9*2</f>
        <v>0</v>
      </c>
      <c r="O40" t="str">
        <f>B10</f>
        <v>0</v>
      </c>
      <c r="P40" t="str">
        <f>B9*2</f>
        <v>0</v>
      </c>
      <c r="Q40" t="str">
        <f>B11*2</f>
        <v>0</v>
      </c>
      <c r="R40" s="28" t="s">
        <v>181</v>
      </c>
      <c r="S40" s="30" t="s">
        <v>181</v>
      </c>
      <c r="U40" s="570">
        <v>8</v>
      </c>
      <c r="V40" s="365">
        <v>0</v>
      </c>
    </row>
    <row r="41" spans="1:38">
      <c r="C41" s="24" t="s">
        <v>97</v>
      </c>
      <c r="D41" s="28" t="s">
        <v>181</v>
      </c>
      <c r="E41" s="28" t="s">
        <v>181</v>
      </c>
      <c r="F41" t="str">
        <f>B9*2</f>
        <v>0</v>
      </c>
      <c r="G41" t="str">
        <f>B10</f>
        <v>0</v>
      </c>
      <c r="H41" t="str">
        <f>B9*2</f>
        <v>0</v>
      </c>
      <c r="I41" t="str">
        <f>B11*2</f>
        <v>0</v>
      </c>
      <c r="J41" s="28" t="s">
        <v>181</v>
      </c>
      <c r="K41" s="28" t="s">
        <v>181</v>
      </c>
      <c r="L41" t="str">
        <f>B9*2</f>
        <v>0</v>
      </c>
      <c r="M41" t="str">
        <f>B11</f>
        <v>0</v>
      </c>
      <c r="N41" s="28" t="s">
        <v>181</v>
      </c>
      <c r="O41" s="28" t="s">
        <v>181</v>
      </c>
      <c r="P41" t="str">
        <f>B9*2</f>
        <v>0</v>
      </c>
      <c r="Q41" t="str">
        <f>B11</f>
        <v>0</v>
      </c>
      <c r="R41" s="28" t="s">
        <v>181</v>
      </c>
      <c r="S41" s="30" t="s">
        <v>181</v>
      </c>
      <c r="U41" s="570">
        <v>8</v>
      </c>
      <c r="V41" s="365">
        <v>0</v>
      </c>
    </row>
    <row r="42" spans="1:38">
      <c r="C42" s="24" t="s">
        <v>98</v>
      </c>
      <c r="D42" t="str">
        <f>B9*2</f>
        <v>0</v>
      </c>
      <c r="E42" t="str">
        <f>B11*2</f>
        <v>0</v>
      </c>
      <c r="F42" s="28" t="s">
        <v>181</v>
      </c>
      <c r="G42" s="28" t="s">
        <v>181</v>
      </c>
      <c r="H42" s="28" t="s">
        <v>181</v>
      </c>
      <c r="I42" s="28" t="s">
        <v>181</v>
      </c>
      <c r="J42" t="str">
        <f>B9*2</f>
        <v>0</v>
      </c>
      <c r="K42" t="str">
        <f>B10</f>
        <v>0</v>
      </c>
      <c r="L42" t="str">
        <f>B9*2</f>
        <v>0</v>
      </c>
      <c r="M42" t="str">
        <f>B11</f>
        <v>0</v>
      </c>
      <c r="N42" s="28" t="s">
        <v>181</v>
      </c>
      <c r="O42" s="28" t="s">
        <v>181</v>
      </c>
      <c r="P42" t="str">
        <f>B9*2</f>
        <v>0</v>
      </c>
      <c r="Q42" t="str">
        <f>B11</f>
        <v>0</v>
      </c>
      <c r="R42" s="28" t="s">
        <v>181</v>
      </c>
      <c r="S42" s="30" t="s">
        <v>181</v>
      </c>
      <c r="U42" s="570">
        <v>8</v>
      </c>
      <c r="V42" s="365">
        <v>0</v>
      </c>
    </row>
    <row r="43" spans="1:38">
      <c r="C43" s="24" t="s">
        <v>99</v>
      </c>
      <c r="D43" t="str">
        <f>B9*2</f>
        <v>0</v>
      </c>
      <c r="E43" t="str">
        <f>B10</f>
        <v>0</v>
      </c>
      <c r="F43" s="28" t="s">
        <v>181</v>
      </c>
      <c r="G43" s="28" t="s">
        <v>181</v>
      </c>
      <c r="H43" t="str">
        <f>B9*2</f>
        <v>0</v>
      </c>
      <c r="I43" t="str">
        <f>B10</f>
        <v>0</v>
      </c>
      <c r="J43" s="28" t="s">
        <v>181</v>
      </c>
      <c r="K43" s="28" t="s">
        <v>181</v>
      </c>
      <c r="L43" s="28" t="s">
        <v>181</v>
      </c>
      <c r="M43" s="28" t="s">
        <v>181</v>
      </c>
      <c r="N43" t="str">
        <f>B9*2</f>
        <v>0</v>
      </c>
      <c r="O43" t="str">
        <f>B10</f>
        <v>0</v>
      </c>
      <c r="P43" s="28" t="s">
        <v>181</v>
      </c>
      <c r="Q43" s="28" t="s">
        <v>181</v>
      </c>
      <c r="R43" t="str">
        <f>B9*2</f>
        <v>0</v>
      </c>
      <c r="S43" s="36" t="str">
        <f>B10</f>
        <v>0</v>
      </c>
      <c r="U43" s="570">
        <v>8</v>
      </c>
      <c r="V43" s="365">
        <v>0</v>
      </c>
    </row>
    <row r="44" spans="1:38">
      <c r="C44" s="24" t="s">
        <v>100</v>
      </c>
      <c r="D44" s="28" t="s">
        <v>181</v>
      </c>
      <c r="E44" s="28" t="s">
        <v>181</v>
      </c>
      <c r="F44" t="str">
        <f>B9*2</f>
        <v>0</v>
      </c>
      <c r="G44" t="str">
        <f>B10</f>
        <v>0</v>
      </c>
      <c r="H44" s="28" t="s">
        <v>181</v>
      </c>
      <c r="I44" s="28" t="s">
        <v>181</v>
      </c>
      <c r="J44" t="str">
        <f>B9*2</f>
        <v>0</v>
      </c>
      <c r="K44" t="str">
        <f>B10</f>
        <v>0</v>
      </c>
      <c r="L44" t="str">
        <f>B9*2</f>
        <v>0</v>
      </c>
      <c r="M44" t="str">
        <f>B10</f>
        <v>0</v>
      </c>
      <c r="N44" s="28" t="s">
        <v>181</v>
      </c>
      <c r="O44" s="28" t="s">
        <v>181</v>
      </c>
      <c r="P44" t="str">
        <f>B9*2</f>
        <v>0</v>
      </c>
      <c r="Q44" t="str">
        <f>B10</f>
        <v>0</v>
      </c>
      <c r="R44" s="28" t="s">
        <v>181</v>
      </c>
      <c r="S44" s="30" t="s">
        <v>181</v>
      </c>
      <c r="U44" s="570">
        <v>8</v>
      </c>
      <c r="V44" s="365">
        <v>0</v>
      </c>
    </row>
    <row r="45" spans="1:38">
      <c r="C45" s="24" t="s">
        <v>101</v>
      </c>
      <c r="D45" s="28" t="s">
        <v>181</v>
      </c>
      <c r="E45" s="28" t="s">
        <v>181</v>
      </c>
      <c r="F45" t="str">
        <f>B9*2</f>
        <v>0</v>
      </c>
      <c r="G45" t="str">
        <f>B10</f>
        <v>0</v>
      </c>
      <c r="H45" t="str">
        <f>B9*2</f>
        <v>0</v>
      </c>
      <c r="I45" t="str">
        <f>B11</f>
        <v>0</v>
      </c>
      <c r="J45" s="28" t="s">
        <v>181</v>
      </c>
      <c r="K45" s="28" t="s">
        <v>181</v>
      </c>
      <c r="L45" s="28" t="s">
        <v>181</v>
      </c>
      <c r="M45" s="28" t="s">
        <v>181</v>
      </c>
      <c r="N45" t="str">
        <f>B9*2</f>
        <v>0</v>
      </c>
      <c r="O45" t="str">
        <f>B10</f>
        <v>0</v>
      </c>
      <c r="P45" t="str">
        <f>B9*2</f>
        <v>0</v>
      </c>
      <c r="Q45" t="str">
        <f>B11</f>
        <v>0</v>
      </c>
      <c r="R45" s="28" t="s">
        <v>181</v>
      </c>
      <c r="S45" s="30" t="s">
        <v>181</v>
      </c>
      <c r="U45" s="570">
        <v>8</v>
      </c>
      <c r="V45" s="365">
        <v>0</v>
      </c>
    </row>
    <row r="46" spans="1:38">
      <c r="C46" s="24" t="s">
        <v>102</v>
      </c>
      <c r="D46" s="28" t="s">
        <v>181</v>
      </c>
      <c r="E46" s="28" t="s">
        <v>181</v>
      </c>
      <c r="F46" t="str">
        <f>B9*2</f>
        <v>0</v>
      </c>
      <c r="G46" t="str">
        <f>B10</f>
        <v>0</v>
      </c>
      <c r="H46" t="str">
        <f>B9*2</f>
        <v>0</v>
      </c>
      <c r="I46" t="str">
        <f>B11</f>
        <v>0</v>
      </c>
      <c r="J46" s="28" t="s">
        <v>181</v>
      </c>
      <c r="K46" s="28" t="s">
        <v>181</v>
      </c>
      <c r="L46" t="str">
        <f>B9*2</f>
        <v>0</v>
      </c>
      <c r="M46" t="str">
        <f>B11</f>
        <v>0</v>
      </c>
      <c r="N46" s="28" t="s">
        <v>181</v>
      </c>
      <c r="O46" s="28" t="s">
        <v>181</v>
      </c>
      <c r="P46" s="28" t="s">
        <v>181</v>
      </c>
      <c r="Q46" s="28" t="s">
        <v>181</v>
      </c>
      <c r="R46" t="str">
        <f>B9*2</f>
        <v>0</v>
      </c>
      <c r="S46" s="36" t="str">
        <f>B10</f>
        <v>0</v>
      </c>
      <c r="U46" s="570">
        <v>8</v>
      </c>
      <c r="V46" s="365">
        <v>0</v>
      </c>
    </row>
    <row r="47" spans="1:38">
      <c r="C47" s="24" t="s">
        <v>103</v>
      </c>
      <c r="D47" t="str">
        <f>B9*2</f>
        <v>0</v>
      </c>
      <c r="E47" t="str">
        <f>B11</f>
        <v>0</v>
      </c>
      <c r="F47" s="28" t="s">
        <v>181</v>
      </c>
      <c r="G47" s="28" t="s">
        <v>181</v>
      </c>
      <c r="H47" s="28" t="s">
        <v>181</v>
      </c>
      <c r="I47" s="28" t="s">
        <v>181</v>
      </c>
      <c r="J47" t="str">
        <f>B9*2</f>
        <v>0</v>
      </c>
      <c r="K47" t="str">
        <f>B10</f>
        <v>0</v>
      </c>
      <c r="L47" s="28" t="s">
        <v>181</v>
      </c>
      <c r="M47" s="28" t="s">
        <v>181</v>
      </c>
      <c r="N47" t="str">
        <f>B9*2</f>
        <v>0</v>
      </c>
      <c r="O47" t="str">
        <f>B10</f>
        <v>0</v>
      </c>
      <c r="P47" t="str">
        <f>B9*2</f>
        <v>0</v>
      </c>
      <c r="Q47" t="str">
        <f>B11</f>
        <v>0</v>
      </c>
      <c r="R47" s="28" t="s">
        <v>181</v>
      </c>
      <c r="S47" s="30" t="s">
        <v>181</v>
      </c>
      <c r="U47" s="570">
        <v>8</v>
      </c>
      <c r="V47" s="365">
        <v>0</v>
      </c>
    </row>
    <row r="48" spans="1:38">
      <c r="C48" s="24" t="s">
        <v>104</v>
      </c>
      <c r="D48" t="str">
        <f>B9*2</f>
        <v>0</v>
      </c>
      <c r="E48" t="str">
        <f>B11</f>
        <v>0</v>
      </c>
      <c r="F48" s="28" t="s">
        <v>181</v>
      </c>
      <c r="G48" s="28" t="s">
        <v>181</v>
      </c>
      <c r="H48" s="28" t="s">
        <v>181</v>
      </c>
      <c r="I48" s="28" t="s">
        <v>181</v>
      </c>
      <c r="J48" t="str">
        <f>B9*2</f>
        <v>0</v>
      </c>
      <c r="K48" t="str">
        <f>B10</f>
        <v>0</v>
      </c>
      <c r="L48" t="str">
        <f>B9*2</f>
        <v>0</v>
      </c>
      <c r="M48" t="str">
        <f>B11</f>
        <v>0</v>
      </c>
      <c r="N48" s="28" t="s">
        <v>181</v>
      </c>
      <c r="O48" s="28" t="s">
        <v>181</v>
      </c>
      <c r="P48" s="28" t="s">
        <v>181</v>
      </c>
      <c r="Q48" s="28" t="s">
        <v>181</v>
      </c>
      <c r="R48" t="str">
        <f>B9*2</f>
        <v>0</v>
      </c>
      <c r="S48" s="36" t="str">
        <f>B10</f>
        <v>0</v>
      </c>
      <c r="U48" s="570">
        <v>8</v>
      </c>
      <c r="V48" s="365">
        <v>0</v>
      </c>
    </row>
    <row r="49" spans="1:38">
      <c r="C49" s="24" t="s">
        <v>105</v>
      </c>
      <c r="D49" s="28" t="s">
        <v>181</v>
      </c>
      <c r="E49" s="28" t="s">
        <v>181</v>
      </c>
      <c r="F49" t="str">
        <f>B9</f>
        <v>0</v>
      </c>
      <c r="G49" t="str">
        <f>B10</f>
        <v>0</v>
      </c>
      <c r="H49" t="str">
        <f>B9</f>
        <v>0</v>
      </c>
      <c r="I49" t="str">
        <f>B10</f>
        <v>0</v>
      </c>
      <c r="J49" s="28" t="s">
        <v>181</v>
      </c>
      <c r="K49" s="28" t="s">
        <v>181</v>
      </c>
      <c r="L49" s="28" t="s">
        <v>181</v>
      </c>
      <c r="M49" s="28" t="s">
        <v>181</v>
      </c>
      <c r="N49" t="str">
        <f>B9*2</f>
        <v>0</v>
      </c>
      <c r="O49" t="str">
        <f>B10</f>
        <v>0</v>
      </c>
      <c r="P49" s="28" t="s">
        <v>181</v>
      </c>
      <c r="Q49" s="28" t="s">
        <v>181</v>
      </c>
      <c r="R49" s="28" t="s">
        <v>181</v>
      </c>
      <c r="S49" s="30" t="s">
        <v>181</v>
      </c>
      <c r="U49" s="570">
        <v>4</v>
      </c>
      <c r="V49" s="365">
        <v>1</v>
      </c>
    </row>
    <row r="50" spans="1:38">
      <c r="C50" s="24" t="s">
        <v>106</v>
      </c>
      <c r="D50" t="str">
        <f>B9</f>
        <v>0</v>
      </c>
      <c r="E50" t="str">
        <f>B10</f>
        <v>0</v>
      </c>
      <c r="F50" s="28" t="s">
        <v>181</v>
      </c>
      <c r="G50" s="28" t="s">
        <v>181</v>
      </c>
      <c r="H50" s="28" t="s">
        <v>181</v>
      </c>
      <c r="I50" s="28" t="s">
        <v>181</v>
      </c>
      <c r="J50" t="str">
        <f>B9</f>
        <v>0</v>
      </c>
      <c r="K50" t="str">
        <f>B10</f>
        <v>0</v>
      </c>
      <c r="L50" s="28" t="s">
        <v>181</v>
      </c>
      <c r="M50" s="28" t="s">
        <v>181</v>
      </c>
      <c r="N50" t="str">
        <f>B9*2</f>
        <v>0</v>
      </c>
      <c r="O50" t="str">
        <f>B10</f>
        <v>0</v>
      </c>
      <c r="P50" s="28" t="s">
        <v>181</v>
      </c>
      <c r="Q50" s="28" t="s">
        <v>181</v>
      </c>
      <c r="R50" s="28" t="s">
        <v>181</v>
      </c>
      <c r="S50" s="30" t="s">
        <v>181</v>
      </c>
      <c r="U50" s="570">
        <v>4</v>
      </c>
      <c r="V50" s="365">
        <v>1</v>
      </c>
    </row>
    <row r="51" spans="1:38">
      <c r="C51" s="24" t="s">
        <v>107</v>
      </c>
      <c r="D51" s="28" t="s">
        <v>181</v>
      </c>
      <c r="E51" s="28" t="s">
        <v>181</v>
      </c>
      <c r="F51" t="str">
        <f>B9</f>
        <v>0</v>
      </c>
      <c r="G51" t="str">
        <f>B10</f>
        <v>0</v>
      </c>
      <c r="H51" t="str">
        <f>B9</f>
        <v>0</v>
      </c>
      <c r="I51" t="str">
        <f>B10</f>
        <v>0</v>
      </c>
      <c r="J51" s="28" t="s">
        <v>181</v>
      </c>
      <c r="K51" s="28" t="s">
        <v>181</v>
      </c>
      <c r="L51" s="28" t="s">
        <v>181</v>
      </c>
      <c r="M51" s="28" t="s">
        <v>181</v>
      </c>
      <c r="N51" s="28" t="s">
        <v>181</v>
      </c>
      <c r="O51" s="28" t="s">
        <v>181</v>
      </c>
      <c r="P51" s="28" t="s">
        <v>181</v>
      </c>
      <c r="Q51" s="28" t="s">
        <v>181</v>
      </c>
      <c r="R51" t="str">
        <f>B9*2</f>
        <v>0</v>
      </c>
      <c r="S51" s="36" t="str">
        <f>B10</f>
        <v>0</v>
      </c>
      <c r="U51" s="570">
        <v>4</v>
      </c>
      <c r="V51" s="365">
        <v>0</v>
      </c>
    </row>
    <row r="52" spans="1:38">
      <c r="C52" s="24" t="s">
        <v>108</v>
      </c>
      <c r="D52" t="str">
        <f>B9</f>
        <v>0</v>
      </c>
      <c r="E52" t="str">
        <f>B10</f>
        <v>0</v>
      </c>
      <c r="F52" s="28" t="s">
        <v>181</v>
      </c>
      <c r="G52" s="28" t="s">
        <v>181</v>
      </c>
      <c r="H52" s="28" t="s">
        <v>181</v>
      </c>
      <c r="I52" s="28" t="s">
        <v>181</v>
      </c>
      <c r="J52" t="str">
        <f>B9</f>
        <v>0</v>
      </c>
      <c r="K52" t="str">
        <f>B10</f>
        <v>0</v>
      </c>
      <c r="L52" s="28" t="s">
        <v>181</v>
      </c>
      <c r="M52" s="28" t="s">
        <v>181</v>
      </c>
      <c r="N52" s="28" t="s">
        <v>181</v>
      </c>
      <c r="O52" s="28" t="s">
        <v>181</v>
      </c>
      <c r="P52" s="28" t="s">
        <v>181</v>
      </c>
      <c r="Q52" s="28" t="s">
        <v>181</v>
      </c>
      <c r="R52" t="str">
        <f>B9*2</f>
        <v>0</v>
      </c>
      <c r="S52" s="36" t="str">
        <f>B10</f>
        <v>0</v>
      </c>
      <c r="U52" s="570">
        <v>4</v>
      </c>
      <c r="V52" s="365">
        <v>0</v>
      </c>
    </row>
    <row r="53" spans="1:38">
      <c r="C53" s="24" t="s">
        <v>109</v>
      </c>
      <c r="D53" s="28" t="s">
        <v>181</v>
      </c>
      <c r="E53" s="28" t="s">
        <v>181</v>
      </c>
      <c r="F53" t="str">
        <f>B9</f>
        <v>0</v>
      </c>
      <c r="G53" t="str">
        <f>B10</f>
        <v>0</v>
      </c>
      <c r="H53" s="28" t="s">
        <v>181</v>
      </c>
      <c r="I53" s="28" t="s">
        <v>181</v>
      </c>
      <c r="J53" t="str">
        <f>B9</f>
        <v>0</v>
      </c>
      <c r="K53" t="str">
        <f>B10</f>
        <v>0</v>
      </c>
      <c r="L53" t="str">
        <f>B9*2</f>
        <v>0</v>
      </c>
      <c r="M53" t="str">
        <f>B10</f>
        <v>0</v>
      </c>
      <c r="N53" s="28" t="s">
        <v>181</v>
      </c>
      <c r="O53" s="28" t="s">
        <v>181</v>
      </c>
      <c r="P53" s="21"/>
      <c r="Q53" s="21"/>
      <c r="R53" s="28" t="s">
        <v>181</v>
      </c>
      <c r="S53" s="30" t="s">
        <v>181</v>
      </c>
      <c r="U53" s="570">
        <v>4</v>
      </c>
      <c r="V53" s="365">
        <v>1</v>
      </c>
    </row>
    <row r="54" spans="1:38">
      <c r="C54" s="24" t="s">
        <v>110</v>
      </c>
      <c r="D54" s="35" t="s">
        <v>181</v>
      </c>
      <c r="E54" s="33" t="s">
        <v>181</v>
      </c>
      <c r="F54" s="32" t="str">
        <f>B9</f>
        <v>0</v>
      </c>
      <c r="G54" s="32" t="str">
        <f>B10</f>
        <v>0</v>
      </c>
      <c r="H54" s="33" t="s">
        <v>181</v>
      </c>
      <c r="I54" s="33" t="s">
        <v>181</v>
      </c>
      <c r="J54" s="32" t="str">
        <f>B9</f>
        <v>0</v>
      </c>
      <c r="K54" s="32" t="str">
        <f>B10</f>
        <v>0</v>
      </c>
      <c r="L54" s="33" t="s">
        <v>181</v>
      </c>
      <c r="M54" s="33" t="s">
        <v>181</v>
      </c>
      <c r="N54" s="33" t="s">
        <v>181</v>
      </c>
      <c r="O54" s="33" t="s">
        <v>181</v>
      </c>
      <c r="P54" s="32" t="str">
        <f>B9*2</f>
        <v>0</v>
      </c>
      <c r="Q54" s="32" t="str">
        <f>B10</f>
        <v>0</v>
      </c>
      <c r="R54" s="33" t="s">
        <v>181</v>
      </c>
      <c r="S54" s="34" t="s">
        <v>181</v>
      </c>
      <c r="U54" s="571">
        <v>4</v>
      </c>
      <c r="V54" s="71">
        <v>0</v>
      </c>
    </row>
    <row r="56" spans="1:38" customHeight="1" ht="15">
      <c r="A56" s="4"/>
    </row>
    <row r="57" spans="1:38" customHeight="1" ht="15">
      <c r="A5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P19:Q19"/>
    <mergeCell ref="D19:E19"/>
    <mergeCell ref="F19:G19"/>
    <mergeCell ref="C19:C20"/>
    <mergeCell ref="D28:S28"/>
    <mergeCell ref="H19:I19"/>
    <mergeCell ref="J19:K19"/>
    <mergeCell ref="N19:O19"/>
    <mergeCell ref="L19:M19"/>
    <mergeCell ref="L13:M13"/>
    <mergeCell ref="C29:C30"/>
    <mergeCell ref="D29:E29"/>
    <mergeCell ref="F29:G29"/>
    <mergeCell ref="H29:I29"/>
    <mergeCell ref="J29:K29"/>
    <mergeCell ref="N13:O13"/>
    <mergeCell ref="L29:M29"/>
    <mergeCell ref="AE13:AF13"/>
    <mergeCell ref="AG13:AH13"/>
    <mergeCell ref="AI13:AJ13"/>
    <mergeCell ref="N29:O29"/>
    <mergeCell ref="P29:Q29"/>
    <mergeCell ref="R29:S29"/>
    <mergeCell ref="P13:Q13"/>
    <mergeCell ref="R13:S13"/>
    <mergeCell ref="R19:S19"/>
    <mergeCell ref="D18:S18"/>
    <mergeCell ref="D13:E13"/>
    <mergeCell ref="F13:G13"/>
    <mergeCell ref="H13:I13"/>
    <mergeCell ref="J13:K13"/>
  </mergeCells>
  <conditionalFormatting sqref="D15">
    <cfRule type="containsText" dxfId="11" priority="1" operator="containsText" text=".">
      <formula>NOT(ISERROR(SEARCH(".",D15)))</formula>
    </cfRule>
  </conditionalFormatting>
  <conditionalFormatting sqref="D16">
    <cfRule type="cellIs" dxfId="12" priority="2" operator="notEqual">
      <formula>"."</formula>
    </cfRule>
  </conditionalFormatting>
  <conditionalFormatting sqref="E15">
    <cfRule type="containsText" dxfId="11" priority="3" operator="containsText" text=".">
      <formula>NOT(ISERROR(SEARCH(".",E15)))</formula>
    </cfRule>
  </conditionalFormatting>
  <conditionalFormatting sqref="E16">
    <cfRule type="cellIs" dxfId="12" priority="4" operator="notEqual">
      <formula>"."</formula>
    </cfRule>
  </conditionalFormatting>
  <conditionalFormatting sqref="F15">
    <cfRule type="containsText" dxfId="11" priority="5" operator="containsText" text=".">
      <formula>NOT(ISERROR(SEARCH(".",F15)))</formula>
    </cfRule>
  </conditionalFormatting>
  <conditionalFormatting sqref="F16">
    <cfRule type="cellIs" dxfId="12" priority="6" operator="notEqual">
      <formula>"."</formula>
    </cfRule>
  </conditionalFormatting>
  <conditionalFormatting sqref="G15">
    <cfRule type="containsText" dxfId="11" priority="7" operator="containsText" text=".">
      <formula>NOT(ISERROR(SEARCH(".",G15)))</formula>
    </cfRule>
  </conditionalFormatting>
  <conditionalFormatting sqref="G16">
    <cfRule type="cellIs" dxfId="12" priority="8" operator="notEqual">
      <formula>"."</formula>
    </cfRule>
  </conditionalFormatting>
  <conditionalFormatting sqref="H15">
    <cfRule type="containsText" dxfId="11" priority="9" operator="containsText" text=".">
      <formula>NOT(ISERROR(SEARCH(".",H15)))</formula>
    </cfRule>
  </conditionalFormatting>
  <conditionalFormatting sqref="H16">
    <cfRule type="cellIs" dxfId="12" priority="10" operator="notEqual">
      <formula>"."</formula>
    </cfRule>
  </conditionalFormatting>
  <conditionalFormatting sqref="I15">
    <cfRule type="containsText" dxfId="11" priority="11" operator="containsText" text=".">
      <formula>NOT(ISERROR(SEARCH(".",I15)))</formula>
    </cfRule>
  </conditionalFormatting>
  <conditionalFormatting sqref="I16">
    <cfRule type="cellIs" dxfId="12" priority="12" operator="notEqual">
      <formula>"."</formula>
    </cfRule>
  </conditionalFormatting>
  <conditionalFormatting sqref="J15">
    <cfRule type="containsText" dxfId="11" priority="13" operator="containsText" text=".">
      <formula>NOT(ISERROR(SEARCH(".",J15)))</formula>
    </cfRule>
  </conditionalFormatting>
  <conditionalFormatting sqref="J16">
    <cfRule type="cellIs" dxfId="12" priority="14" operator="notEqual">
      <formula>"."</formula>
    </cfRule>
  </conditionalFormatting>
  <conditionalFormatting sqref="K15">
    <cfRule type="containsText" dxfId="11" priority="15" operator="containsText" text=".">
      <formula>NOT(ISERROR(SEARCH(".",K15)))</formula>
    </cfRule>
  </conditionalFormatting>
  <conditionalFormatting sqref="K16">
    <cfRule type="cellIs" dxfId="12" priority="16" operator="notEqual">
      <formula>"."</formula>
    </cfRule>
  </conditionalFormatting>
  <conditionalFormatting sqref="L15">
    <cfRule type="containsText" dxfId="11" priority="17" operator="containsText" text=".">
      <formula>NOT(ISERROR(SEARCH(".",L15)))</formula>
    </cfRule>
  </conditionalFormatting>
  <conditionalFormatting sqref="L16">
    <cfRule type="cellIs" dxfId="12" priority="18" operator="notEqual">
      <formula>"."</formula>
    </cfRule>
  </conditionalFormatting>
  <conditionalFormatting sqref="M15">
    <cfRule type="containsText" dxfId="11" priority="19" operator="containsText" text=".">
      <formula>NOT(ISERROR(SEARCH(".",M15)))</formula>
    </cfRule>
  </conditionalFormatting>
  <conditionalFormatting sqref="M16">
    <cfRule type="cellIs" dxfId="12" priority="20" operator="notEqual">
      <formula>"."</formula>
    </cfRule>
  </conditionalFormatting>
  <conditionalFormatting sqref="N15">
    <cfRule type="containsText" dxfId="11" priority="21" operator="containsText" text=".">
      <formula>NOT(ISERROR(SEARCH(".",N15)))</formula>
    </cfRule>
  </conditionalFormatting>
  <conditionalFormatting sqref="N16">
    <cfRule type="cellIs" dxfId="12" priority="22" operator="notEqual">
      <formula>"."</formula>
    </cfRule>
  </conditionalFormatting>
  <conditionalFormatting sqref="O15">
    <cfRule type="containsText" dxfId="11" priority="23" operator="containsText" text=".">
      <formula>NOT(ISERROR(SEARCH(".",O15)))</formula>
    </cfRule>
  </conditionalFormatting>
  <conditionalFormatting sqref="O16">
    <cfRule type="cellIs" dxfId="12" priority="24" operator="notEqual">
      <formula>"."</formula>
    </cfRule>
  </conditionalFormatting>
  <conditionalFormatting sqref="P15">
    <cfRule type="containsText" dxfId="11" priority="25" operator="containsText" text=".">
      <formula>NOT(ISERROR(SEARCH(".",P15)))</formula>
    </cfRule>
  </conditionalFormatting>
  <conditionalFormatting sqref="P16">
    <cfRule type="cellIs" dxfId="12" priority="26" operator="notEqual">
      <formula>"."</formula>
    </cfRule>
  </conditionalFormatting>
  <conditionalFormatting sqref="Q15">
    <cfRule type="containsText" dxfId="11" priority="27" operator="containsText" text=".">
      <formula>NOT(ISERROR(SEARCH(".",Q15)))</formula>
    </cfRule>
  </conditionalFormatting>
  <conditionalFormatting sqref="Q16">
    <cfRule type="cellIs" dxfId="12" priority="28" operator="notEqual">
      <formula>"."</formula>
    </cfRule>
  </conditionalFormatting>
  <conditionalFormatting sqref="R15">
    <cfRule type="containsText" dxfId="11" priority="29" operator="containsText" text=".">
      <formula>NOT(ISERROR(SEARCH(".",R15)))</formula>
    </cfRule>
  </conditionalFormatting>
  <conditionalFormatting sqref="R16">
    <cfRule type="cellIs" dxfId="12" priority="30" operator="notEqual">
      <formula>"."</formula>
    </cfRule>
  </conditionalFormatting>
  <conditionalFormatting sqref="S15">
    <cfRule type="containsText" dxfId="11" priority="31" operator="containsText" text=".">
      <formula>NOT(ISERROR(SEARCH(".",S15)))</formula>
    </cfRule>
  </conditionalFormatting>
  <conditionalFormatting sqref="S16">
    <cfRule type="cellIs" dxfId="12" priority="32" operator="notEqual">
      <formula>"."</formula>
    </cfRule>
  </conditionalFormatting>
  <printOptions gridLines="false" gridLinesSet="true"/>
  <pageMargins left="0.7086614173228347" right="0.7086614173228347" top="0.7480314960629921" bottom="0.7480314960629921" header="0.3149606299212598" footer="0.3149606299212598"/>
  <pageSetup paperSize="9" orientation="landscape" scale="9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  <pageSetUpPr fitToPage="1"/>
  </sheetPr>
  <dimension ref="A1:AB73"/>
  <sheetViews>
    <sheetView tabSelected="1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645"/>
    <col min="2" max="2" width="4.83203125" customWidth="true" style="645"/>
    <col min="3" max="3" width="14.1640625" customWidth="true" style="645"/>
    <col min="4" max="4" width="10.83203125" customWidth="true" style="645"/>
    <col min="5" max="5" width="8.6640625" customWidth="true" style="645"/>
    <col min="6" max="6" width="10.83203125" customWidth="true" style="645"/>
    <col min="7" max="7" width="14.5" customWidth="true" style="645"/>
    <col min="8" max="8" width="9.33203125" customWidth="true" style="645"/>
    <col min="9" max="9" width="11.33203125" customWidth="true" style="645"/>
    <col min="10" max="10" width="3.6640625" customWidth="true" style="645"/>
    <col min="11" max="11" width="4.6640625" customWidth="true" style="645"/>
    <col min="12" max="12" width="3.6640625" customWidth="true" style="645"/>
    <col min="13" max="13" width="4.6640625" customWidth="true" style="645"/>
    <col min="14" max="14" width="3.6640625" customWidth="true" style="645"/>
    <col min="15" max="15" width="4.6640625" customWidth="true" style="645"/>
    <col min="16" max="16" width="3.6640625" customWidth="true" style="645"/>
    <col min="17" max="17" width="4.6640625" customWidth="true" style="645"/>
    <col min="18" max="18" width="12.5" customWidth="true" style="645"/>
    <col min="19" max="19" width="11.5" customWidth="true" style="645"/>
    <col min="20" max="20" width="11.5" customWidth="true" style="645"/>
    <col min="21" max="21" width="11.5" customWidth="true" style="645"/>
    <col min="22" max="22" width="14" customWidth="true" style="645"/>
    <col min="23" max="23" width="13.83203125" customWidth="true" style="645"/>
    <col min="24" max="24" width="11.1640625" customWidth="true" style="645"/>
    <col min="25" max="25" width="11.33203125" customWidth="true" style="645"/>
    <col min="26" max="26" width="11.33203125" customWidth="true" style="645"/>
    <col min="27" max="27" width="17.33203125" customWidth="true" style="645"/>
    <col min="28" max="28" width="9.33203125" customWidth="true" style="645"/>
  </cols>
  <sheetData>
    <row r="1" spans="1:28" customHeight="1" ht="6.75"/>
    <row r="2" spans="1:28" customHeight="1" ht="17.25">
      <c r="A2" s="646" t="s">
        <v>0</v>
      </c>
      <c r="B2" s="647"/>
      <c r="C2" s="648"/>
      <c r="D2" s="648"/>
      <c r="E2" s="649"/>
      <c r="F2" s="1069" t="s">
        <v>186</v>
      </c>
      <c r="G2" s="1070"/>
      <c r="H2" s="650" t="s">
        <v>1</v>
      </c>
      <c r="I2" s="651"/>
      <c r="J2" s="1038" t="s">
        <v>187</v>
      </c>
      <c r="K2" s="1039"/>
      <c r="L2" s="1039"/>
      <c r="M2" s="1039"/>
      <c r="N2" s="1039"/>
      <c r="O2" s="1039"/>
      <c r="P2" s="1039"/>
      <c r="Q2" s="1039"/>
      <c r="R2" s="1040"/>
      <c r="S2" s="1056" t="s">
        <v>2</v>
      </c>
      <c r="T2" s="1057"/>
      <c r="U2" s="1034" t="s">
        <v>188</v>
      </c>
      <c r="V2" s="1035"/>
      <c r="W2" s="650" t="s">
        <v>3</v>
      </c>
      <c r="X2" s="648"/>
      <c r="Y2" s="1038" t="s">
        <v>189</v>
      </c>
      <c r="Z2" s="1039"/>
      <c r="AA2" s="1040"/>
    </row>
    <row r="3" spans="1:28" customHeight="1" ht="18">
      <c r="A3" s="652" t="s">
        <v>4</v>
      </c>
      <c r="B3" s="653"/>
      <c r="C3" s="653"/>
      <c r="D3" s="654"/>
      <c r="E3" s="655"/>
      <c r="F3" s="1064" t="s">
        <v>190</v>
      </c>
      <c r="G3" s="1065"/>
      <c r="H3" s="656" t="s">
        <v>5</v>
      </c>
      <c r="I3" s="657"/>
      <c r="J3" s="1066" t="s">
        <v>191</v>
      </c>
      <c r="K3" s="1067"/>
      <c r="L3" s="1067"/>
      <c r="M3" s="1067"/>
      <c r="N3" s="1067"/>
      <c r="O3" s="1067"/>
      <c r="P3" s="1067"/>
      <c r="Q3" s="1067"/>
      <c r="R3" s="1068"/>
      <c r="S3" s="1058"/>
      <c r="T3" s="1059"/>
      <c r="U3" s="1036"/>
      <c r="V3" s="1037"/>
      <c r="W3" s="658" t="s">
        <v>6</v>
      </c>
      <c r="X3" s="653"/>
      <c r="Y3" s="659"/>
      <c r="Z3" s="660"/>
      <c r="AA3" s="661"/>
    </row>
    <row r="4" spans="1:28" customHeight="1" ht="6.75"/>
    <row r="5" spans="1:28" customHeight="1" ht="15">
      <c r="A5" s="1071" t="s">
        <v>7</v>
      </c>
      <c r="B5" s="1074" t="s">
        <v>8</v>
      </c>
      <c r="C5" s="1074" t="s">
        <v>9</v>
      </c>
      <c r="D5" s="1074" t="s">
        <v>10</v>
      </c>
      <c r="E5" s="1074" t="s">
        <v>11</v>
      </c>
      <c r="F5" s="662" t="s">
        <v>12</v>
      </c>
      <c r="G5" s="662" t="s">
        <v>13</v>
      </c>
      <c r="H5" s="1074" t="s">
        <v>14</v>
      </c>
      <c r="I5" s="663" t="s">
        <v>15</v>
      </c>
      <c r="J5" s="1087" t="s">
        <v>16</v>
      </c>
      <c r="K5" s="1088"/>
      <c r="L5" s="1088"/>
      <c r="M5" s="1088"/>
      <c r="N5" s="1088"/>
      <c r="O5" s="1088"/>
      <c r="P5" s="1088"/>
      <c r="Q5" s="1089"/>
      <c r="R5" s="662" t="s">
        <v>17</v>
      </c>
      <c r="S5" s="1060" t="s">
        <v>18</v>
      </c>
      <c r="T5" s="1061"/>
      <c r="U5" s="662" t="s">
        <v>19</v>
      </c>
      <c r="V5" s="1007" t="s">
        <v>20</v>
      </c>
      <c r="W5" s="1007"/>
      <c r="X5" s="662" t="s">
        <v>21</v>
      </c>
      <c r="Y5" s="1007" t="s">
        <v>22</v>
      </c>
      <c r="Z5" s="1007"/>
      <c r="AA5" s="1041" t="s">
        <v>23</v>
      </c>
    </row>
    <row r="6" spans="1:28" customHeight="1" ht="15">
      <c r="A6" s="1072"/>
      <c r="B6" s="1075"/>
      <c r="C6" s="1075"/>
      <c r="D6" s="1075"/>
      <c r="E6" s="1077"/>
      <c r="F6" s="1079" t="s">
        <v>11</v>
      </c>
      <c r="G6" s="1047" t="s">
        <v>11</v>
      </c>
      <c r="H6" s="1075"/>
      <c r="I6" s="1047" t="s">
        <v>11</v>
      </c>
      <c r="J6" s="1044" t="s">
        <v>24</v>
      </c>
      <c r="K6" s="1045"/>
      <c r="L6" s="1045"/>
      <c r="M6" s="1045"/>
      <c r="N6" s="1045"/>
      <c r="O6" s="1045"/>
      <c r="P6" s="1045"/>
      <c r="Q6" s="1046"/>
      <c r="R6" s="1047" t="s">
        <v>25</v>
      </c>
      <c r="S6" s="1047" t="s">
        <v>26</v>
      </c>
      <c r="T6" s="1054" t="s">
        <v>27</v>
      </c>
      <c r="U6" s="1047" t="s">
        <v>25</v>
      </c>
      <c r="V6" s="1008" t="s">
        <v>28</v>
      </c>
      <c r="W6" s="1054" t="s">
        <v>29</v>
      </c>
      <c r="X6" s="1047" t="s">
        <v>11</v>
      </c>
      <c r="Y6" s="1008" t="s">
        <v>11</v>
      </c>
      <c r="Z6" s="1049" t="s">
        <v>30</v>
      </c>
      <c r="AA6" s="1042"/>
    </row>
    <row r="7" spans="1:28" customHeight="1" ht="15">
      <c r="A7" s="1072"/>
      <c r="B7" s="1075"/>
      <c r="C7" s="1075"/>
      <c r="D7" s="1075"/>
      <c r="E7" s="1077"/>
      <c r="F7" s="1080"/>
      <c r="G7" s="1048"/>
      <c r="H7" s="1075"/>
      <c r="I7" s="1048"/>
      <c r="J7" s="1051" t="s">
        <v>31</v>
      </c>
      <c r="K7" s="1052"/>
      <c r="L7" s="1052"/>
      <c r="M7" s="1052"/>
      <c r="N7" s="1052"/>
      <c r="O7" s="1052"/>
      <c r="P7" s="1052"/>
      <c r="Q7" s="1053"/>
      <c r="R7" s="1048"/>
      <c r="S7" s="1048"/>
      <c r="T7" s="1062"/>
      <c r="U7" s="1048"/>
      <c r="V7" s="1009"/>
      <c r="W7" s="1055"/>
      <c r="X7" s="1048"/>
      <c r="Y7" s="1009"/>
      <c r="Z7" s="1050"/>
      <c r="AA7" s="1042"/>
    </row>
    <row r="8" spans="1:28" customHeight="1" ht="30">
      <c r="A8" s="1072"/>
      <c r="B8" s="1075"/>
      <c r="C8" s="1075"/>
      <c r="D8" s="1075"/>
      <c r="E8" s="1077"/>
      <c r="F8" s="1080"/>
      <c r="G8" s="664" t="s">
        <v>32</v>
      </c>
      <c r="H8" s="1075"/>
      <c r="I8" s="665" t="s">
        <v>33</v>
      </c>
      <c r="J8" s="1081" t="s">
        <v>30</v>
      </c>
      <c r="K8" s="1082"/>
      <c r="L8" s="1082"/>
      <c r="M8" s="1082"/>
      <c r="N8" s="1082"/>
      <c r="O8" s="1082"/>
      <c r="P8" s="1082"/>
      <c r="Q8" s="1083"/>
      <c r="R8" s="1048"/>
      <c r="S8" s="664" t="s">
        <v>34</v>
      </c>
      <c r="T8" s="1062"/>
      <c r="U8" s="1048"/>
      <c r="V8" s="666" t="s">
        <v>35</v>
      </c>
      <c r="W8" s="667" t="s">
        <v>36</v>
      </c>
      <c r="X8" s="1048"/>
      <c r="Y8" s="668" t="s">
        <v>37</v>
      </c>
      <c r="Z8" s="669" t="s">
        <v>38</v>
      </c>
      <c r="AA8" s="1042"/>
    </row>
    <row r="9" spans="1:28" customHeight="1" ht="51.75">
      <c r="A9" s="1073"/>
      <c r="B9" s="1076"/>
      <c r="C9" s="1076"/>
      <c r="D9" s="1076"/>
      <c r="E9" s="1078"/>
      <c r="F9" s="670" t="s">
        <v>39</v>
      </c>
      <c r="G9" s="671" t="s">
        <v>40</v>
      </c>
      <c r="H9" s="1076"/>
      <c r="I9" s="672" t="s">
        <v>41</v>
      </c>
      <c r="J9" s="1084" t="s">
        <v>42</v>
      </c>
      <c r="K9" s="1085"/>
      <c r="L9" s="1085"/>
      <c r="M9" s="1085"/>
      <c r="N9" s="1085"/>
      <c r="O9" s="1085"/>
      <c r="P9" s="1085"/>
      <c r="Q9" s="1086"/>
      <c r="R9" s="671" t="s">
        <v>43</v>
      </c>
      <c r="S9" s="671" t="s">
        <v>43</v>
      </c>
      <c r="T9" s="1063"/>
      <c r="U9" s="671" t="s">
        <v>43</v>
      </c>
      <c r="V9" s="673" t="s">
        <v>192</v>
      </c>
      <c r="W9" s="674" t="s">
        <v>45</v>
      </c>
      <c r="X9" s="671" t="s">
        <v>46</v>
      </c>
      <c r="Y9" s="675" t="s">
        <v>46</v>
      </c>
      <c r="Z9" s="674" t="s">
        <v>47</v>
      </c>
      <c r="AA9" s="1043"/>
    </row>
    <row r="10" spans="1:28" customHeight="1" ht="9.75">
      <c r="A10" s="676"/>
      <c r="B10" s="676"/>
      <c r="C10" s="676"/>
      <c r="D10" s="676"/>
      <c r="E10" s="676"/>
      <c r="F10" s="676"/>
      <c r="G10" s="676"/>
      <c r="H10" s="676"/>
      <c r="I10" s="676"/>
      <c r="J10" s="676"/>
      <c r="K10" s="676"/>
      <c r="L10" s="676"/>
      <c r="M10" s="676"/>
      <c r="N10" s="676"/>
      <c r="O10" s="676"/>
      <c r="P10" s="676"/>
      <c r="Q10" s="676"/>
      <c r="R10" s="676"/>
      <c r="S10" s="676"/>
      <c r="T10" s="676"/>
      <c r="U10" s="676"/>
      <c r="V10" s="676"/>
      <c r="W10" s="676"/>
      <c r="X10" s="676"/>
      <c r="Y10" s="676"/>
      <c r="Z10" s="676"/>
      <c r="AA10" s="676"/>
    </row>
    <row r="11" spans="1:28" customHeight="1" ht="12.75">
      <c r="A11" s="1090"/>
      <c r="B11" s="1093">
        <v>1</v>
      </c>
      <c r="C11" s="1028" t="s">
        <v>193</v>
      </c>
      <c r="D11" s="1097" t="s">
        <v>194</v>
      </c>
      <c r="E11" s="1093" t="s">
        <v>195</v>
      </c>
      <c r="F11" s="1002" t="s">
        <v>49</v>
      </c>
      <c r="G11" s="1024" t="s">
        <v>196</v>
      </c>
      <c r="H11" s="1025" t="s">
        <v>50</v>
      </c>
      <c r="I11" s="1028" t="s">
        <v>82</v>
      </c>
      <c r="J11" s="677">
        <v>2</v>
      </c>
      <c r="K11" s="678" t="s">
        <v>141</v>
      </c>
      <c r="L11" s="678" t="s">
        <v>197</v>
      </c>
      <c r="M11" s="678" t="s">
        <v>197</v>
      </c>
      <c r="N11" s="678" t="s">
        <v>197</v>
      </c>
      <c r="O11" s="678" t="s">
        <v>197</v>
      </c>
      <c r="P11" s="678" t="s">
        <v>197</v>
      </c>
      <c r="Q11" s="679" t="s">
        <v>197</v>
      </c>
      <c r="R11" s="1030" t="s">
        <v>49</v>
      </c>
      <c r="S11" s="680" t="s">
        <v>198</v>
      </c>
      <c r="T11" s="1031" t="s">
        <v>199</v>
      </c>
      <c r="U11" s="1030" t="s">
        <v>49</v>
      </c>
      <c r="V11" s="677" t="s">
        <v>200</v>
      </c>
      <c r="W11" s="681">
        <v>125</v>
      </c>
      <c r="X11" s="1002" t="s">
        <v>49</v>
      </c>
      <c r="Y11" s="1000" t="s">
        <v>49</v>
      </c>
      <c r="Z11" s="1005" t="s">
        <v>197</v>
      </c>
      <c r="AA11" s="997" t="s">
        <v>197</v>
      </c>
    </row>
    <row r="12" spans="1:28">
      <c r="A12" s="1091"/>
      <c r="B12" s="1094"/>
      <c r="C12" s="1029"/>
      <c r="D12" s="1098"/>
      <c r="E12" s="1094"/>
      <c r="F12" s="1004"/>
      <c r="G12" s="1014"/>
      <c r="H12" s="1026"/>
      <c r="I12" s="1029"/>
      <c r="J12" s="1011"/>
      <c r="K12" s="1012"/>
      <c r="L12" s="1012"/>
      <c r="M12" s="1012"/>
      <c r="N12" s="1012"/>
      <c r="O12" s="1012"/>
      <c r="P12" s="1012"/>
      <c r="Q12" s="1013"/>
      <c r="R12" s="1016"/>
      <c r="S12" s="1014" t="s">
        <v>201</v>
      </c>
      <c r="T12" s="1032"/>
      <c r="U12" s="1016"/>
      <c r="V12" s="1015" t="s">
        <v>202</v>
      </c>
      <c r="W12" s="1010" t="s">
        <v>203</v>
      </c>
      <c r="X12" s="1003"/>
      <c r="Y12" s="1001"/>
      <c r="Z12" s="1006"/>
      <c r="AA12" s="998"/>
    </row>
    <row r="13" spans="1:28">
      <c r="A13" s="1091"/>
      <c r="B13" s="1094"/>
      <c r="C13" s="1029"/>
      <c r="D13" s="1098"/>
      <c r="E13" s="1094"/>
      <c r="F13" s="1016" t="s">
        <v>197</v>
      </c>
      <c r="G13" s="682" t="s">
        <v>197</v>
      </c>
      <c r="H13" s="1026"/>
      <c r="I13" s="683">
        <v>700</v>
      </c>
      <c r="J13" s="1018">
        <v>2</v>
      </c>
      <c r="K13" s="1019"/>
      <c r="L13" s="1019"/>
      <c r="M13" s="1019"/>
      <c r="N13" s="1019"/>
      <c r="O13" s="1019"/>
      <c r="P13" s="1019"/>
      <c r="Q13" s="1020"/>
      <c r="R13" s="1016"/>
      <c r="S13" s="1014"/>
      <c r="T13" s="1032"/>
      <c r="U13" s="1016"/>
      <c r="V13" s="1015"/>
      <c r="W13" s="1010"/>
      <c r="X13" s="1004"/>
      <c r="Y13" s="684" t="s">
        <v>197</v>
      </c>
      <c r="Z13" s="685" t="s">
        <v>197</v>
      </c>
      <c r="AA13" s="998"/>
    </row>
    <row r="14" spans="1:28" customHeight="1" ht="13.5">
      <c r="A14" s="1092"/>
      <c r="B14" s="1095"/>
      <c r="C14" s="1096"/>
      <c r="D14" s="1099"/>
      <c r="E14" s="1095"/>
      <c r="F14" s="1017"/>
      <c r="G14" s="686" t="s">
        <v>197</v>
      </c>
      <c r="H14" s="1027"/>
      <c r="I14" s="687">
        <v>700</v>
      </c>
      <c r="J14" s="1021" t="s">
        <v>204</v>
      </c>
      <c r="K14" s="1022"/>
      <c r="L14" s="1022"/>
      <c r="M14" s="1022"/>
      <c r="N14" s="1022"/>
      <c r="O14" s="1022"/>
      <c r="P14" s="1022"/>
      <c r="Q14" s="1023"/>
      <c r="R14" s="686" t="s">
        <v>197</v>
      </c>
      <c r="S14" s="688" t="s">
        <v>197</v>
      </c>
      <c r="T14" s="1033"/>
      <c r="U14" s="686" t="s">
        <v>197</v>
      </c>
      <c r="V14" s="689" t="s">
        <v>197</v>
      </c>
      <c r="W14" s="690" t="s">
        <v>189</v>
      </c>
      <c r="X14" s="686" t="s">
        <v>197</v>
      </c>
      <c r="Y14" s="691" t="s">
        <v>197</v>
      </c>
      <c r="Z14" s="692" t="s">
        <v>197</v>
      </c>
      <c r="AA14" s="999"/>
    </row>
    <row r="16" spans="1:28">
      <c r="B16" s="645" t="s">
        <v>0</v>
      </c>
      <c r="E16" s="693"/>
      <c r="F16" s="694" t="str">
        <f>IF(F2="AMERICAN Shutters","AS",F2)</f>
        <v>0</v>
      </c>
      <c r="G16" s="695"/>
      <c r="H16" s="696"/>
    </row>
    <row r="17" spans="1:28">
      <c r="B17" s="645" t="s">
        <v>52</v>
      </c>
      <c r="F17" s="694" t="str">
        <f>F3</f>
        <v>0</v>
      </c>
      <c r="G17" s="695"/>
      <c r="H17" s="696"/>
    </row>
    <row r="18" spans="1:28">
      <c r="B18" s="645" t="s">
        <v>1</v>
      </c>
      <c r="F18" s="694" t="str">
        <f>J2</f>
        <v>0</v>
      </c>
      <c r="G18" s="695"/>
      <c r="H18" s="696"/>
    </row>
    <row r="19" spans="1:28">
      <c r="B19" s="645" t="s">
        <v>5</v>
      </c>
      <c r="F19" s="694" t="str">
        <f>J3</f>
        <v>0</v>
      </c>
      <c r="G19" s="695"/>
      <c r="H19" s="696"/>
    </row>
    <row r="20" spans="1:28">
      <c r="B20" s="645" t="s">
        <v>53</v>
      </c>
      <c r="F20" s="694" t="str">
        <f>A11</f>
        <v>0</v>
      </c>
      <c r="G20" s="695"/>
      <c r="H20" s="696"/>
    </row>
    <row r="21" spans="1:28">
      <c r="B21" s="645" t="s">
        <v>54</v>
      </c>
      <c r="F21" s="694" t="str">
        <f>B11</f>
        <v>0</v>
      </c>
      <c r="G21" s="695"/>
      <c r="H21" s="696"/>
    </row>
    <row r="22" spans="1:28">
      <c r="B22" s="645" t="s">
        <v>9</v>
      </c>
      <c r="F22" s="694" t="str">
        <f>C11</f>
        <v>0</v>
      </c>
      <c r="G22" s="695"/>
      <c r="H22" s="696"/>
    </row>
    <row r="23" spans="1:28">
      <c r="B23" s="645" t="s">
        <v>10</v>
      </c>
      <c r="F23" s="694" t="str">
        <f>D11</f>
        <v>0</v>
      </c>
      <c r="G23" s="695"/>
      <c r="H23" s="696"/>
    </row>
    <row r="24" spans="1:28">
      <c r="B24" s="645" t="s">
        <v>55</v>
      </c>
      <c r="F24" s="694" t="str">
        <f>U2</f>
        <v>0</v>
      </c>
      <c r="G24" s="695"/>
      <c r="H24" s="696"/>
    </row>
    <row r="25" spans="1:28" customHeight="1" ht="6.75"/>
    <row r="26" spans="1:28">
      <c r="B26" s="645" t="s">
        <v>56</v>
      </c>
      <c r="F26" s="694" t="str">
        <f>F11</f>
        <v>0</v>
      </c>
      <c r="G26" s="695"/>
      <c r="H26" s="696"/>
    </row>
    <row r="27" spans="1:28">
      <c r="B27" s="645" t="s">
        <v>57</v>
      </c>
      <c r="F27" s="694" t="str">
        <f>F13</f>
        <v>0</v>
      </c>
      <c r="G27" s="695"/>
      <c r="H27" s="696"/>
    </row>
    <row r="28" spans="1:28" customHeight="1" ht="6.75"/>
    <row r="29" spans="1:28">
      <c r="B29" s="645" t="s">
        <v>58</v>
      </c>
      <c r="F29" s="694" t="str">
        <f>G11</f>
        <v>0</v>
      </c>
      <c r="G29" s="695"/>
      <c r="H29" s="696"/>
    </row>
    <row r="30" spans="1:28">
      <c r="B30" s="645" t="s">
        <v>59</v>
      </c>
      <c r="F30" s="694" t="str">
        <f>G13</f>
        <v>0</v>
      </c>
      <c r="G30" s="695"/>
      <c r="H30" s="696"/>
    </row>
    <row r="31" spans="1:28">
      <c r="B31" s="645" t="s">
        <v>205</v>
      </c>
      <c r="F31" s="694" t="str">
        <f>G14</f>
        <v>0</v>
      </c>
      <c r="G31" s="695"/>
      <c r="H31" s="696"/>
    </row>
    <row r="32" spans="1:28" customHeight="1" ht="6.75"/>
    <row r="33" spans="1:28">
      <c r="B33" s="645" t="s">
        <v>14</v>
      </c>
      <c r="F33" s="694" t="str">
        <f>H11</f>
        <v>0</v>
      </c>
      <c r="G33" s="695"/>
      <c r="H33" s="696"/>
    </row>
    <row r="34" spans="1:28" customHeight="1" ht="6.75"/>
    <row r="35" spans="1:28">
      <c r="B35" s="645" t="s">
        <v>60</v>
      </c>
      <c r="F35" s="694" t="str">
        <f>I11</f>
        <v>0</v>
      </c>
      <c r="G35" s="695"/>
      <c r="H35" s="696"/>
    </row>
    <row r="36" spans="1:28">
      <c r="B36" s="645" t="s">
        <v>61</v>
      </c>
      <c r="F36" s="694" t="str">
        <f>I13</f>
        <v>0</v>
      </c>
      <c r="G36" s="695"/>
      <c r="H36" s="696"/>
    </row>
    <row r="37" spans="1:28">
      <c r="B37" s="645" t="s">
        <v>62</v>
      </c>
      <c r="F37" s="694" t="str">
        <f>I14</f>
        <v>0</v>
      </c>
      <c r="G37" s="695"/>
      <c r="H37" s="696"/>
    </row>
    <row r="38" spans="1:28" customHeight="1" ht="6.75"/>
    <row r="39" spans="1:28">
      <c r="B39" s="645" t="s">
        <v>63</v>
      </c>
      <c r="F39" s="697" t="str">
        <f>TRIM(J39&amp;K39&amp;" "&amp;L39&amp;M39&amp;" "&amp;N39&amp;O39&amp;" "&amp;P39&amp;Q39&amp;" "&amp;R39&amp;S39&amp;" "&amp;T39&amp;U39)</f>
        <v>0</v>
      </c>
      <c r="G39" s="698"/>
      <c r="H39" s="699"/>
      <c r="J39" s="700" t="str">
        <f>IF(COUNTBLANK(J11)=0,J11,"")</f>
        <v>0</v>
      </c>
      <c r="K39" s="700" t="str">
        <f>IF(COUNTBLANK(K11)=0,K11,"")</f>
        <v>0</v>
      </c>
      <c r="L39" s="700" t="str">
        <f>IF(COUNTBLANK(L11)=0,L11,"")</f>
        <v>0</v>
      </c>
      <c r="M39" s="700" t="str">
        <f>IF(COUNTBLANK(M11)=0,M11,"")</f>
        <v>0</v>
      </c>
      <c r="N39" s="700" t="str">
        <f>IF(COUNTBLANK(N11)=0,N11,"")</f>
        <v>0</v>
      </c>
      <c r="O39" s="700" t="str">
        <f>IF(COUNTBLANK(O11)=0,O11,"")</f>
        <v>0</v>
      </c>
      <c r="P39" s="700" t="str">
        <f>IF(COUNTBLANK(P11)=0,P11,"")</f>
        <v>0</v>
      </c>
      <c r="Q39" s="700" t="str">
        <f>IF(COUNTBLANK(Q11)=0,Q11,"")</f>
        <v>0</v>
      </c>
      <c r="R39" s="700"/>
      <c r="S39" s="700"/>
      <c r="T39" s="700"/>
      <c r="U39" s="700"/>
    </row>
    <row r="40" spans="1:28">
      <c r="B40" s="645" t="s">
        <v>64</v>
      </c>
      <c r="F40" s="694" t="str">
        <f>J13</f>
        <v>0</v>
      </c>
      <c r="G40" s="695"/>
      <c r="H40" s="696"/>
    </row>
    <row r="41" spans="1:28">
      <c r="B41" s="645" t="s">
        <v>206</v>
      </c>
      <c r="F41" s="694" t="str">
        <f>J14</f>
        <v>0</v>
      </c>
      <c r="G41" s="695"/>
      <c r="H41" s="696"/>
    </row>
    <row r="42" spans="1:28" customHeight="1" ht="6.75"/>
    <row r="43" spans="1:28">
      <c r="B43" s="645" t="s">
        <v>65</v>
      </c>
      <c r="F43" s="694" t="str">
        <f>R11</f>
        <v>0</v>
      </c>
      <c r="G43" s="695"/>
      <c r="H43" s="696"/>
    </row>
    <row r="44" spans="1:28">
      <c r="B44" s="645" t="s">
        <v>66</v>
      </c>
      <c r="F44" s="694" t="str">
        <f>R14</f>
        <v>0</v>
      </c>
      <c r="G44" s="695"/>
      <c r="H44" s="696"/>
    </row>
    <row r="45" spans="1:28" customHeight="1" ht="6.75"/>
    <row r="46" spans="1:28">
      <c r="B46" s="645" t="s">
        <v>67</v>
      </c>
      <c r="F46" s="694" t="str">
        <f>S11</f>
        <v>0</v>
      </c>
      <c r="G46" s="695"/>
      <c r="H46" s="696"/>
    </row>
    <row r="47" spans="1:28">
      <c r="B47" s="645" t="s">
        <v>68</v>
      </c>
      <c r="F47" s="694" t="str">
        <f>S12</f>
        <v>0</v>
      </c>
      <c r="G47" s="695"/>
      <c r="H47" s="696"/>
    </row>
    <row r="48" spans="1:28">
      <c r="B48" s="645" t="s">
        <v>69</v>
      </c>
      <c r="F48" s="694" t="str">
        <f>S14</f>
        <v>0</v>
      </c>
      <c r="G48" s="695"/>
      <c r="H48" s="696"/>
    </row>
    <row r="49" spans="1:28" customHeight="1" ht="15">
      <c r="B49" s="645" t="s">
        <v>27</v>
      </c>
      <c r="C49" s="701"/>
      <c r="D49" s="701"/>
      <c r="E49" s="701"/>
      <c r="F49" s="694" t="str">
        <f>T11</f>
        <v>0</v>
      </c>
      <c r="G49" s="695"/>
      <c r="H49" s="696"/>
    </row>
    <row r="50" spans="1:28" customHeight="1" ht="6.75"/>
    <row r="51" spans="1:28">
      <c r="B51" s="645" t="s">
        <v>70</v>
      </c>
      <c r="F51" s="694" t="str">
        <f>U11</f>
        <v>0</v>
      </c>
      <c r="G51" s="695"/>
      <c r="H51" s="696"/>
    </row>
    <row r="52" spans="1:28">
      <c r="B52" s="702" t="s">
        <v>71</v>
      </c>
      <c r="F52" s="694" t="str">
        <f>U14</f>
        <v>0</v>
      </c>
      <c r="G52" s="695"/>
      <c r="H52" s="696"/>
    </row>
    <row r="53" spans="1:28" customHeight="1" ht="6.75"/>
    <row r="54" spans="1:28">
      <c r="B54" s="645" t="s">
        <v>207</v>
      </c>
      <c r="F54" s="694" t="str">
        <f>V11</f>
        <v>0</v>
      </c>
      <c r="G54" s="695"/>
      <c r="H54" s="696"/>
    </row>
    <row r="55" spans="1:28">
      <c r="B55" s="645" t="s">
        <v>208</v>
      </c>
      <c r="F55" s="694" t="str">
        <f>V12</f>
        <v>0</v>
      </c>
      <c r="G55" s="695"/>
      <c r="H55" s="696"/>
    </row>
    <row r="56" spans="1:28">
      <c r="B56" s="645" t="s">
        <v>209</v>
      </c>
      <c r="F56" s="694" t="str">
        <f>W12</f>
        <v>0</v>
      </c>
      <c r="G56" s="695"/>
      <c r="H56" s="696"/>
    </row>
    <row r="57" spans="1:28">
      <c r="B57" s="645" t="s">
        <v>210</v>
      </c>
      <c r="F57" s="694" t="str">
        <f>W11</f>
        <v>0</v>
      </c>
      <c r="G57" s="695"/>
      <c r="H57" s="696"/>
    </row>
    <row r="58" spans="1:28" customHeight="1" ht="6.75"/>
    <row r="59" spans="1:28">
      <c r="B59" s="645" t="s">
        <v>211</v>
      </c>
      <c r="F59" s="694" t="str">
        <f>X11</f>
        <v>0</v>
      </c>
      <c r="G59" s="695"/>
      <c r="H59" s="696"/>
    </row>
    <row r="60" spans="1:28">
      <c r="B60" s="645" t="s">
        <v>212</v>
      </c>
      <c r="F60" s="694" t="str">
        <f>X14</f>
        <v>0</v>
      </c>
      <c r="G60" s="695"/>
      <c r="H60" s="696"/>
    </row>
    <row r="61" spans="1:28" customHeight="1" ht="6.75"/>
    <row r="62" spans="1:28">
      <c r="B62" s="645" t="s">
        <v>213</v>
      </c>
      <c r="F62" s="694" t="str">
        <f>W14</f>
        <v>0</v>
      </c>
      <c r="G62" s="695"/>
      <c r="H62" s="696"/>
    </row>
    <row r="63" spans="1:28" customHeight="1" ht="6.75"/>
    <row r="64" spans="1:28">
      <c r="B64" s="645" t="s">
        <v>214</v>
      </c>
      <c r="F64" s="694" t="str">
        <f>Y11</f>
        <v>0</v>
      </c>
      <c r="G64" s="695"/>
      <c r="H64" s="696"/>
    </row>
    <row r="65" spans="1:28">
      <c r="B65" s="645" t="s">
        <v>215</v>
      </c>
      <c r="F65" s="694" t="str">
        <f>Y14</f>
        <v>0</v>
      </c>
      <c r="G65" s="695"/>
      <c r="H65" s="696"/>
    </row>
    <row r="66" spans="1:28">
      <c r="B66" s="645" t="s">
        <v>216</v>
      </c>
      <c r="F66" s="694" t="str">
        <f>Y13</f>
        <v>0</v>
      </c>
      <c r="G66" s="695"/>
      <c r="H66" s="696"/>
    </row>
    <row r="67" spans="1:28">
      <c r="B67" s="645" t="s">
        <v>217</v>
      </c>
      <c r="F67" s="694" t="str">
        <f>Z11</f>
        <v>0</v>
      </c>
      <c r="G67" s="695"/>
      <c r="H67" s="696"/>
    </row>
    <row r="68" spans="1:28">
      <c r="B68" s="645" t="s">
        <v>218</v>
      </c>
      <c r="F68" s="694" t="str">
        <f>Z13</f>
        <v>0</v>
      </c>
      <c r="G68" s="695"/>
      <c r="H68" s="696"/>
    </row>
    <row r="69" spans="1:28">
      <c r="B69" s="645" t="s">
        <v>219</v>
      </c>
      <c r="F69" s="694" t="str">
        <f>Z14</f>
        <v>0</v>
      </c>
      <c r="G69" s="695"/>
      <c r="H69" s="696"/>
    </row>
    <row r="70" spans="1:28" customHeight="1" ht="6.75"/>
    <row r="71" spans="1:28">
      <c r="B71" s="645" t="s">
        <v>23</v>
      </c>
      <c r="F71" s="694" t="str">
        <f>AA11</f>
        <v>0</v>
      </c>
      <c r="G71" s="695"/>
      <c r="H71" s="696"/>
    </row>
    <row r="73" spans="1:28">
      <c r="C73" s="645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1:A14"/>
    <mergeCell ref="B11:B14"/>
    <mergeCell ref="C11:C14"/>
    <mergeCell ref="D11:D14"/>
    <mergeCell ref="E11:E14"/>
    <mergeCell ref="F3:G3"/>
    <mergeCell ref="J3:R3"/>
    <mergeCell ref="F2:G2"/>
    <mergeCell ref="A5:A9"/>
    <mergeCell ref="B5:B9"/>
    <mergeCell ref="C5:C9"/>
    <mergeCell ref="D5:D9"/>
    <mergeCell ref="E5:E9"/>
    <mergeCell ref="F6:F8"/>
    <mergeCell ref="G6:G7"/>
    <mergeCell ref="I6:I7"/>
    <mergeCell ref="J8:Q8"/>
    <mergeCell ref="J9:Q9"/>
    <mergeCell ref="H5:H9"/>
    <mergeCell ref="J5:Q5"/>
    <mergeCell ref="J2:R2"/>
    <mergeCell ref="U2:V3"/>
    <mergeCell ref="Y2:AA2"/>
    <mergeCell ref="AA5:AA9"/>
    <mergeCell ref="J6:Q6"/>
    <mergeCell ref="R6:R8"/>
    <mergeCell ref="S6:S7"/>
    <mergeCell ref="U6:U8"/>
    <mergeCell ref="V6:V7"/>
    <mergeCell ref="X6:X8"/>
    <mergeCell ref="Z6:Z7"/>
    <mergeCell ref="J7:Q7"/>
    <mergeCell ref="W6:W7"/>
    <mergeCell ref="S2:T3"/>
    <mergeCell ref="S5:T5"/>
    <mergeCell ref="T6:T9"/>
    <mergeCell ref="J12:Q12"/>
    <mergeCell ref="S12:S13"/>
    <mergeCell ref="V12:V13"/>
    <mergeCell ref="F13:F14"/>
    <mergeCell ref="J13:Q13"/>
    <mergeCell ref="J14:Q14"/>
    <mergeCell ref="G11:G12"/>
    <mergeCell ref="H11:H14"/>
    <mergeCell ref="I11:I12"/>
    <mergeCell ref="R11:R13"/>
    <mergeCell ref="U11:U13"/>
    <mergeCell ref="F11:F12"/>
    <mergeCell ref="T11:T14"/>
    <mergeCell ref="AA11:AA14"/>
    <mergeCell ref="Y11:Y12"/>
    <mergeCell ref="X11:X13"/>
    <mergeCell ref="Z11:Z12"/>
    <mergeCell ref="V5:W5"/>
    <mergeCell ref="Y5:Z5"/>
    <mergeCell ref="Y6:Y7"/>
    <mergeCell ref="W12:W13"/>
  </mergeCells>
  <conditionalFormatting sqref="B11">
    <cfRule type="cellIs" dxfId="13" priority="1" operator="greaterThan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1">
    <cfRule type="expression" dxfId="5" priority="25">
      <formula>$E11="Hinged"</formula>
    </cfRule>
  </conditionalFormatting>
  <conditionalFormatting sqref="X12">
    <cfRule type="expression" dxfId="5" priority="26">
      <formula>$E11="Hinged"</formula>
    </cfRule>
  </conditionalFormatting>
  <conditionalFormatting sqref="X12">
    <cfRule type="expression" dxfId="5" priority="27">
      <formula>$E11="Hinged"</formula>
    </cfRule>
  </conditionalFormatting>
  <conditionalFormatting sqref="X13">
    <cfRule type="expression" dxfId="5" priority="28">
      <formula>$E11="Hinged"</formula>
    </cfRule>
  </conditionalFormatting>
  <conditionalFormatting sqref="X13">
    <cfRule type="expression" dxfId="5" priority="29">
      <formula>$E11="Hinged"</formula>
    </cfRule>
  </conditionalFormatting>
  <conditionalFormatting sqref="Y11">
    <cfRule type="expression" dxfId="5" priority="30">
      <formula>$E11="Hinged"</formula>
    </cfRule>
  </conditionalFormatting>
  <conditionalFormatting sqref="Y12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9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J27"/>
  <sheetViews>
    <sheetView tabSelected="0" workbookViewId="0" showGridLines="true" showRowColHeaders="1">
      <selection activeCell="D8" sqref="D8"/>
    </sheetView>
  </sheetViews>
  <sheetFormatPr defaultRowHeight="14.4" outlineLevelRow="0" outlineLevelCol="0"/>
  <cols>
    <col min="1" max="1" width="31.83203125" customWidth="true" style="0"/>
    <col min="2" max="2" width="11" customWidth="true" style="0"/>
    <col min="3" max="3" width="11" customWidth="true" style="0"/>
    <col min="4" max="4" width="10.83203125" customWidth="true" style="0"/>
    <col min="5" max="5" width="10.1640625" customWidth="true" style="0"/>
    <col min="6" max="6" width="11.6640625" customWidth="true" style="0"/>
    <col min="10" max="10" width="14.5" customWidth="true" style="0"/>
  </cols>
  <sheetData>
    <row r="1" spans="1:10" customHeight="1" ht="15">
      <c r="A1" s="4" t="s">
        <v>220</v>
      </c>
      <c r="B1" s="2"/>
      <c r="C1" s="2"/>
    </row>
    <row r="2" spans="1:10" customHeight="1" ht="15">
      <c r="A2" s="4" t="s">
        <v>73</v>
      </c>
      <c r="B2" s="2"/>
      <c r="C2" s="2"/>
    </row>
    <row r="3" spans="1:10">
      <c r="A3" s="2"/>
      <c r="B3" s="2"/>
      <c r="C3" s="2"/>
    </row>
    <row r="4" spans="1:10">
      <c r="A4" s="1" t="s">
        <v>74</v>
      </c>
      <c r="B4" s="10" t="str">
        <f>'BF - INPUT'!F36</f>
        <v>0</v>
      </c>
    </row>
    <row r="5" spans="1:10">
      <c r="A5" s="1" t="s">
        <v>75</v>
      </c>
      <c r="B5" s="11" t="str">
        <f>'BF - INPUT'!F37</f>
        <v>0</v>
      </c>
    </row>
    <row r="6" spans="1:10">
      <c r="A6" s="1" t="s">
        <v>76</v>
      </c>
      <c r="B6" s="10" t="str">
        <f>IF(AND('BF - INPUT'!F35="Window Size",'BF - INPUT'!F33="Inside Reveal"),VLOOKUP('BF - INPUT'!F30,'Opening BF'!A19:B27,2,FALSE),IF(AND('BF - INPUT'!F35="Window Size",'BF - INPUT'!F33="Outside Reveal"),VLOOKUP('BF - INPUT'!F30,'Opening BF'!A19:D27,4,FALSE),0))</f>
        <v>0</v>
      </c>
      <c r="D6" s="1"/>
    </row>
    <row r="7" spans="1:10">
      <c r="A7" s="1" t="s">
        <v>77</v>
      </c>
      <c r="B7" s="11" t="str">
        <f>IF(AND('BF - INPUT'!F35="Window Size",'BF - INPUT'!F33="Inside Reveal"),VLOOKUP('BF - INPUT'!F30,'Opening BF'!A19:C27,3,FALSE),IF(AND('BF - INPUT'!F35="Window Size",'BF - INPUT'!F33="Outside Reveal"),VLOOKUP('BF - INPUT'!F30,'Opening BF'!A19:E27,5,FALSE),0))</f>
        <v>0</v>
      </c>
      <c r="D7" s="1"/>
    </row>
    <row r="8" spans="1:10">
      <c r="A8" s="1" t="s">
        <v>78</v>
      </c>
      <c r="B8" s="12" t="str">
        <f>B4+B6</f>
        <v>0</v>
      </c>
    </row>
    <row r="9" spans="1:10">
      <c r="A9" s="1" t="s">
        <v>79</v>
      </c>
      <c r="B9" s="13" t="str">
        <f>B5+B7</f>
        <v>0</v>
      </c>
    </row>
    <row r="11" spans="1:10">
      <c r="B11" t="s">
        <v>221</v>
      </c>
      <c r="E11" s="458">
        <v>0</v>
      </c>
    </row>
    <row r="12" spans="1:10">
      <c r="B12" t="s">
        <v>222</v>
      </c>
      <c r="E12" s="458">
        <v>2</v>
      </c>
    </row>
    <row r="13" spans="1:10">
      <c r="B13" t="s">
        <v>223</v>
      </c>
      <c r="E13" s="458">
        <v>90</v>
      </c>
    </row>
    <row r="14" spans="1:10">
      <c r="B14" t="s">
        <v>224</v>
      </c>
      <c r="E14" s="458">
        <v>66</v>
      </c>
    </row>
    <row r="15" spans="1:10" customHeight="1" ht="12.75"/>
    <row r="16" spans="1:10" customHeight="1" ht="12.75">
      <c r="B16" s="1100" t="s">
        <v>82</v>
      </c>
      <c r="C16" s="1101"/>
      <c r="D16" s="1101"/>
      <c r="E16" s="1102"/>
    </row>
    <row r="17" spans="1:10" customHeight="1" ht="12.75">
      <c r="B17" s="1103" t="s">
        <v>83</v>
      </c>
      <c r="C17" s="989"/>
      <c r="D17" s="1103" t="s">
        <v>84</v>
      </c>
      <c r="E17" s="989"/>
    </row>
    <row r="18" spans="1:10">
      <c r="A18" s="542" t="s">
        <v>139</v>
      </c>
      <c r="B18" s="535" t="s">
        <v>85</v>
      </c>
      <c r="C18" s="537" t="s">
        <v>86</v>
      </c>
      <c r="D18" s="535" t="s">
        <v>85</v>
      </c>
      <c r="E18" s="537" t="s">
        <v>86</v>
      </c>
    </row>
    <row r="19" spans="1:10">
      <c r="A19" s="543" t="s">
        <v>49</v>
      </c>
      <c r="B19" s="538">
        <v>0</v>
      </c>
      <c r="C19" s="539" t="str">
        <f>$E$11</f>
        <v>0</v>
      </c>
      <c r="D19" s="538" t="str">
        <f>$E$13</f>
        <v>0</v>
      </c>
      <c r="E19" s="539" t="str">
        <f>$E$14</f>
        <v>0</v>
      </c>
    </row>
    <row r="20" spans="1:10">
      <c r="A20" s="543" t="s">
        <v>141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3" t="s">
        <v>142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3" t="s">
        <v>87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3" t="s">
        <v>162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3" t="s">
        <v>163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3" t="s">
        <v>225</v>
      </c>
      <c r="B25" s="538">
        <v>-4</v>
      </c>
      <c r="C25" s="539">
        <v>0</v>
      </c>
      <c r="D25" s="538">
        <v>90</v>
      </c>
      <c r="E25" s="539">
        <v>66</v>
      </c>
    </row>
    <row r="26" spans="1:10">
      <c r="A26" s="543" t="s">
        <v>226</v>
      </c>
      <c r="B26" s="538" t="str">
        <f>-2*E12</f>
        <v>0</v>
      </c>
      <c r="C26" s="539" t="str">
        <f>$E$11</f>
        <v>0</v>
      </c>
      <c r="D26" s="538" t="str">
        <f>$E$13</f>
        <v>0</v>
      </c>
      <c r="E26" s="539" t="str">
        <f>$E$14</f>
        <v>0</v>
      </c>
    </row>
    <row r="27" spans="1:10" customHeight="1" ht="12.75">
      <c r="A27" s="544" t="s">
        <v>227</v>
      </c>
      <c r="B27" s="540" t="str">
        <f>-2*E12</f>
        <v>0</v>
      </c>
      <c r="C27" s="541" t="str">
        <f>$E$11</f>
        <v>0</v>
      </c>
      <c r="D27" s="540" t="str">
        <f>$E$13</f>
        <v>0</v>
      </c>
      <c r="E27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O74"/>
  <sheetViews>
    <sheetView tabSelected="0" workbookViewId="0" showGridLines="true" showRowColHeaders="1">
      <selection activeCell="E20" sqref="E20"/>
    </sheetView>
  </sheetViews>
  <sheetFormatPr defaultRowHeight="14.4" outlineLevelRow="0" outlineLevelCol="0"/>
  <cols>
    <col min="1" max="1" width="28.6640625" customWidth="true" style="0"/>
    <col min="2" max="2" width="10.83203125" customWidth="true" style="0"/>
    <col min="3" max="3" width="12.5" customWidth="true" style="0"/>
    <col min="4" max="4" width="12.5" customWidth="true" style="0"/>
    <col min="5" max="5" width="11.1640625" customWidth="true" style="0"/>
    <col min="6" max="6" width="11.1640625" customWidth="true" style="0"/>
    <col min="7" max="7" width="10.6640625" customWidth="true" style="0"/>
    <col min="8" max="8" width="13.1640625" customWidth="true" style="0"/>
    <col min="9" max="9" width="10.6640625" customWidth="true" style="0"/>
    <col min="10" max="10" width="11.1640625" customWidth="true" style="0"/>
    <col min="11" max="11" width="11.1640625" customWidth="true" style="0"/>
    <col min="12" max="12" width="11.1640625" customWidth="true" style="0"/>
    <col min="13" max="13" width="1.83203125" customWidth="true" style="0"/>
    <col min="14" max="14" width="9.5" customWidth="true" style="0"/>
  </cols>
  <sheetData>
    <row r="1" spans="1:15" customHeight="1" ht="15">
      <c r="A1" s="4" t="s">
        <v>220</v>
      </c>
      <c r="B1" s="2"/>
      <c r="C1" s="2"/>
      <c r="D1" s="2"/>
    </row>
    <row r="2" spans="1:15" customHeight="1" ht="15">
      <c r="A2" s="4" t="s">
        <v>228</v>
      </c>
      <c r="B2" s="2"/>
      <c r="C2" s="2"/>
      <c r="D2" s="2"/>
    </row>
    <row r="3" spans="1:15">
      <c r="A3" s="2"/>
      <c r="B3" s="2"/>
      <c r="C3" s="2"/>
      <c r="D3" s="2"/>
    </row>
    <row r="4" spans="1:15">
      <c r="A4" s="1" t="s">
        <v>78</v>
      </c>
      <c r="B4" s="14" t="str">
        <f>'Opening BF'!B8</f>
        <v>0</v>
      </c>
    </row>
    <row r="5" spans="1:15">
      <c r="A5" s="1" t="s">
        <v>79</v>
      </c>
      <c r="B5" s="15" t="str">
        <f>'Opening BF'!B9</f>
        <v>0</v>
      </c>
    </row>
    <row r="6" spans="1:15">
      <c r="A6" s="9" t="s">
        <v>112</v>
      </c>
      <c r="B6" s="14" t="str">
        <f>'BF - INPUT'!F40</f>
        <v>0</v>
      </c>
    </row>
    <row r="7" spans="1:15">
      <c r="A7" s="9" t="s">
        <v>115</v>
      </c>
      <c r="B7" s="16" t="str">
        <f>K16</f>
        <v>0</v>
      </c>
    </row>
    <row r="8" spans="1:15">
      <c r="A8" s="9" t="s">
        <v>116</v>
      </c>
      <c r="B8" s="17" t="str">
        <f>K21</f>
        <v>0</v>
      </c>
    </row>
    <row r="9" spans="1:15">
      <c r="A9" s="9" t="s">
        <v>117</v>
      </c>
      <c r="B9" s="19" t="str">
        <f>ROUNDDOWN((B4+B7)/B6,0)</f>
        <v>0</v>
      </c>
      <c r="C9" s="18" t="s">
        <v>118</v>
      </c>
      <c r="D9" s="18"/>
    </row>
    <row r="10" spans="1:15">
      <c r="A10" s="9" t="s">
        <v>119</v>
      </c>
      <c r="B10" s="20" t="str">
        <f>ROUNDDOWN(B5+B8,0)</f>
        <v>0</v>
      </c>
      <c r="C10" s="18" t="s">
        <v>118</v>
      </c>
      <c r="D10" s="18"/>
    </row>
    <row r="12" spans="1:15">
      <c r="F12" s="209"/>
    </row>
    <row r="13" spans="1:15" customHeight="1" ht="12.75">
      <c r="B13" s="5" t="s">
        <v>121</v>
      </c>
    </row>
    <row r="14" spans="1:15" customHeight="1" ht="48.75">
      <c r="B14" s="38" t="s">
        <v>229</v>
      </c>
      <c r="C14" s="39" t="s">
        <v>230</v>
      </c>
      <c r="D14" s="39" t="s">
        <v>231</v>
      </c>
      <c r="E14" s="39" t="s">
        <v>122</v>
      </c>
      <c r="F14" s="39" t="s">
        <v>232</v>
      </c>
      <c r="G14" s="39" t="s">
        <v>233</v>
      </c>
      <c r="H14" s="39" t="s">
        <v>234</v>
      </c>
      <c r="I14" s="40" t="s">
        <v>235</v>
      </c>
      <c r="K14" s="41" t="s">
        <v>236</v>
      </c>
    </row>
    <row r="15" spans="1:15" customHeight="1" ht="12.75">
      <c r="B15" s="48"/>
      <c r="C15" s="200">
        <v>-7</v>
      </c>
      <c r="D15" s="201">
        <v>-3</v>
      </c>
      <c r="E15" s="310">
        <v>-3.25</v>
      </c>
      <c r="F15" s="201">
        <v>-3.5</v>
      </c>
      <c r="G15" s="201">
        <v>-3</v>
      </c>
      <c r="H15" s="202">
        <v>-7</v>
      </c>
      <c r="I15" s="48"/>
      <c r="K15" s="43"/>
    </row>
    <row r="16" spans="1:15">
      <c r="B16" s="46" t="str">
        <f>IFERROR(-VLOOKUP('BF - INPUT'!F29&amp;'BF - INPUT'!F30,'Panel BF'!H32:J61,2,FALSE),0)</f>
        <v>0</v>
      </c>
      <c r="C16" s="545" t="str">
        <f>IF(AND(B16=0,'BF - INPUT'!F35="Max frame to frame"),0,IF(LEFT('BF - INPUT'!K39,1)="L",C15,0))</f>
        <v>0</v>
      </c>
      <c r="D16" s="545" t="str">
        <f>IF(AND(B16=0,'BF - INPUT'!F35="Max frame to frame"),0,IF(C16&lt;0,0,D15))</f>
        <v>0</v>
      </c>
      <c r="E16" s="46" t="str">
        <f>SUM(C26:H26)*E15</f>
        <v>0</v>
      </c>
      <c r="F16" s="46" t="str">
        <f>IF(COUNTBLANK('BF - INPUT'!J39)=0,((12-COUNTBLANK('BF - INPUT'!J39:U39))/2-1)*F15,0)</f>
        <v>0</v>
      </c>
      <c r="G16" s="545" t="str">
        <f>IF(AND(B16=0,'BF - INPUT'!F35="Max frame to frame"),0,IF(H16&lt;0,0,G15))</f>
        <v>0</v>
      </c>
      <c r="H16" s="545" t="str">
        <f>IF(AND(B16=0,'BF - INPUT'!F35="Max frame to frame"),0,IF(AND(RIGHT('BF - INPUT'!F39,1)="R",NOT(LEFT(RIGHT('BF - INPUT'!F39,3),1)="F")),H15,0))</f>
        <v>0</v>
      </c>
      <c r="I16" s="545" t="str">
        <f>IFERROR(-VLOOKUP('BF - INPUT'!F29&amp;'BF - INPUT'!F30,'Panel BF'!H32:J61,3,FALSE),0)</f>
        <v>0</v>
      </c>
      <c r="J16" s="47"/>
      <c r="K16" s="45" t="str">
        <f>SUM(B16:I16)</f>
        <v>0</v>
      </c>
    </row>
    <row r="17" spans="1:15">
      <c r="C17" s="48"/>
      <c r="D17" s="48"/>
      <c r="E17" s="48"/>
      <c r="F17" s="48"/>
      <c r="G17" s="48"/>
      <c r="H17" s="48"/>
      <c r="I17" s="48"/>
      <c r="J17" s="48"/>
      <c r="K17" s="48"/>
      <c r="L17" s="48"/>
      <c r="N17" s="23"/>
    </row>
    <row r="18" spans="1:15" customHeight="1" ht="12.75">
      <c r="B18" s="37" t="s">
        <v>125</v>
      </c>
      <c r="F18" s="209"/>
    </row>
    <row r="19" spans="1:15" customHeight="1" ht="24.75">
      <c r="B19" s="38" t="str">
        <f>'BF - INPUT'!F54</f>
        <v>0</v>
      </c>
      <c r="C19" s="39" t="s">
        <v>237</v>
      </c>
      <c r="D19" s="39" t="s">
        <v>238</v>
      </c>
      <c r="E19" s="78" t="str">
        <f>'BF - INPUT'!F56</f>
        <v>0</v>
      </c>
      <c r="F19" s="40" t="s">
        <v>21</v>
      </c>
      <c r="K19" s="41" t="s">
        <v>236</v>
      </c>
    </row>
    <row r="20" spans="1:15" customHeight="1" ht="12.75">
      <c r="B20" s="42">
        <v>-18</v>
      </c>
      <c r="C20" s="42">
        <v>-10</v>
      </c>
      <c r="D20" s="42">
        <v>-6</v>
      </c>
      <c r="E20" s="42" t="str">
        <f>IFERROR(-VLOOKUP(E19,'Tracks&amp;Frames'!A3:B6,2,FALSE),0)</f>
        <v>0</v>
      </c>
      <c r="F20" s="42">
        <v>-19</v>
      </c>
      <c r="K20" s="43"/>
    </row>
    <row r="21" spans="1:15">
      <c r="B21" s="44" t="str">
        <f>B20</f>
        <v>0</v>
      </c>
      <c r="C21" s="44" t="str">
        <f>C20</f>
        <v>0</v>
      </c>
      <c r="D21" s="44" t="str">
        <f>D20</f>
        <v>0</v>
      </c>
      <c r="E21" s="44" t="str">
        <f>E20</f>
        <v>0</v>
      </c>
      <c r="F21" s="369" t="str">
        <f>IF(NOT('BF - INPUT'!F59="N/A"),'Panel BF'!F20,0)</f>
        <v>0</v>
      </c>
      <c r="K21" s="45" t="str">
        <f>SUM(B21:I21)</f>
        <v>0</v>
      </c>
    </row>
    <row r="23" spans="1:15" customHeight="1" ht="12.75"/>
    <row r="24" spans="1:15" customHeight="1" ht="12.75">
      <c r="B24" s="49"/>
      <c r="C24" s="1106" t="s">
        <v>239</v>
      </c>
      <c r="D24" s="1107"/>
      <c r="E24" s="1107"/>
      <c r="F24" s="1107"/>
      <c r="G24" s="1107"/>
      <c r="H24" s="1108"/>
      <c r="I24" s="48"/>
      <c r="J24" s="48"/>
      <c r="K24" s="48"/>
      <c r="L24" s="48"/>
      <c r="M24" s="48"/>
      <c r="O24" s="23"/>
    </row>
    <row r="25" spans="1:15">
      <c r="B25" s="49"/>
      <c r="C25" s="50" t="s">
        <v>240</v>
      </c>
      <c r="D25" s="50" t="s">
        <v>241</v>
      </c>
      <c r="E25" s="50" t="s">
        <v>242</v>
      </c>
      <c r="F25" s="50" t="s">
        <v>243</v>
      </c>
      <c r="G25" s="50" t="s">
        <v>244</v>
      </c>
      <c r="H25" s="50" t="s">
        <v>245</v>
      </c>
      <c r="I25" s="48"/>
      <c r="J25" s="48"/>
      <c r="K25" s="48"/>
      <c r="L25" s="48"/>
      <c r="M25" s="48"/>
      <c r="O25" s="23"/>
    </row>
    <row r="26" spans="1:15">
      <c r="B26" s="49"/>
      <c r="C26" s="51" t="str">
        <f>IFERROR(VLOOKUP('BF - INPUT'!J39&amp;'BF - INPUT'!K39,'Panel BF'!B29:C74,2,FALSE),"")</f>
        <v>0</v>
      </c>
      <c r="D26" s="51" t="str">
        <f>IFERROR(VLOOKUP('BF - INPUT'!L39&amp;'BF - INPUT'!M39,'Panel BF'!B29:C74,2,FALSE),"")</f>
        <v>0</v>
      </c>
      <c r="E26" s="51" t="str">
        <f>IFERROR(VLOOKUP('BF - INPUT'!N39&amp;'BF - INPUT'!O39,'Panel BF'!B29:C74,2,FALSE),"")</f>
        <v>0</v>
      </c>
      <c r="F26" s="51" t="str">
        <f>IFERROR(VLOOKUP('BF - INPUT'!P39&amp;'BF - INPUT'!Q39,'Panel BF'!B29:C74,2,FALSE),"")</f>
        <v>0</v>
      </c>
      <c r="G26" s="51" t="str">
        <f>IFERROR(VLOOKUP('BF - INPUT'!R39&amp;'BF - INPUT'!S39,'Panel BF'!B29:C74,2,FALSE),"")</f>
        <v>0</v>
      </c>
      <c r="H26" s="51" t="str">
        <f>IFERROR(VLOOKUP('BF - INPUT'!T39&amp;'BF - INPUT'!U39,'Panel BF'!B29:C74,2,FALSE),"")</f>
        <v>0</v>
      </c>
      <c r="I26" s="48"/>
      <c r="J26" s="48"/>
      <c r="K26" s="48"/>
      <c r="L26" s="48"/>
      <c r="M26" s="48"/>
      <c r="O26" s="23"/>
    </row>
    <row r="27" spans="1:15">
      <c r="B27" s="49"/>
      <c r="C27" s="52"/>
      <c r="D27" s="52"/>
      <c r="E27" s="52"/>
      <c r="F27" s="52"/>
      <c r="G27" s="52"/>
      <c r="H27" s="52"/>
      <c r="I27" s="48"/>
      <c r="J27" s="48"/>
      <c r="K27" s="48"/>
      <c r="L27" s="48"/>
      <c r="M27" s="48"/>
      <c r="O27" s="23"/>
    </row>
    <row r="28" spans="1:15">
      <c r="B28" s="49"/>
      <c r="C28" s="53" t="s">
        <v>54</v>
      </c>
      <c r="D28" s="54"/>
      <c r="E28" s="49"/>
      <c r="F28" s="49"/>
      <c r="G28" s="49"/>
      <c r="H28" s="49"/>
      <c r="L28" s="55"/>
      <c r="M28" s="48"/>
      <c r="O28" s="23"/>
    </row>
    <row r="29" spans="1:15" customHeight="1" ht="12.75">
      <c r="B29" s="49" t="s">
        <v>246</v>
      </c>
      <c r="C29" s="51">
        <v>0</v>
      </c>
      <c r="D29" s="6"/>
      <c r="L29" s="6"/>
    </row>
    <row r="30" spans="1:15" customHeight="1" ht="12">
      <c r="B30" s="49" t="s">
        <v>247</v>
      </c>
      <c r="C30" s="51">
        <v>0</v>
      </c>
      <c r="D30" s="6"/>
      <c r="E30" s="1109" t="s">
        <v>248</v>
      </c>
      <c r="F30" s="1110"/>
      <c r="G30" s="1110"/>
      <c r="H30" s="1110"/>
      <c r="I30" s="1110"/>
      <c r="J30" s="1111"/>
    </row>
    <row r="31" spans="1:15" customHeight="1" ht="12.75">
      <c r="B31" s="49" t="s">
        <v>249</v>
      </c>
      <c r="C31" s="51">
        <v>1</v>
      </c>
      <c r="D31" s="6"/>
      <c r="E31" s="1104" t="s">
        <v>250</v>
      </c>
      <c r="F31" s="1105"/>
      <c r="G31" s="293" t="s">
        <v>251</v>
      </c>
      <c r="H31" s="293" t="s">
        <v>252</v>
      </c>
      <c r="I31" s="293" t="s">
        <v>253</v>
      </c>
      <c r="J31" s="27" t="s">
        <v>254</v>
      </c>
    </row>
    <row r="32" spans="1:15">
      <c r="B32" s="49" t="s">
        <v>255</v>
      </c>
      <c r="C32" s="51">
        <v>1</v>
      </c>
      <c r="D32" s="6"/>
      <c r="E32" s="56" t="s">
        <v>196</v>
      </c>
      <c r="F32" s="57"/>
      <c r="G32" s="31" t="s">
        <v>49</v>
      </c>
      <c r="H32" s="105" t="str">
        <f>E32&amp;G32</f>
        <v>0</v>
      </c>
      <c r="I32" s="74" t="s">
        <v>181</v>
      </c>
      <c r="J32" s="30" t="s">
        <v>181</v>
      </c>
      <c r="K32" s="23"/>
    </row>
    <row r="33" spans="1:15">
      <c r="B33" s="49" t="s">
        <v>256</v>
      </c>
      <c r="C33" s="51">
        <v>1</v>
      </c>
      <c r="D33" s="6"/>
      <c r="E33" s="59" t="s">
        <v>257</v>
      </c>
      <c r="F33" s="60"/>
      <c r="G33" s="185" t="s">
        <v>141</v>
      </c>
      <c r="H33" s="105" t="str">
        <f>E33&amp;G33</f>
        <v>0</v>
      </c>
      <c r="I33" s="58">
        <v>34</v>
      </c>
      <c r="J33" s="30" t="s">
        <v>181</v>
      </c>
      <c r="K33" s="23"/>
    </row>
    <row r="34" spans="1:15">
      <c r="B34" s="49" t="s">
        <v>258</v>
      </c>
      <c r="C34" s="51">
        <v>1</v>
      </c>
      <c r="D34" s="6"/>
      <c r="E34" s="59" t="s">
        <v>257</v>
      </c>
      <c r="F34" s="60"/>
      <c r="G34" s="185" t="s">
        <v>142</v>
      </c>
      <c r="H34" s="105" t="str">
        <f>E34&amp;G34</f>
        <v>0</v>
      </c>
      <c r="I34" s="74" t="s">
        <v>181</v>
      </c>
      <c r="J34" s="36">
        <v>34</v>
      </c>
      <c r="K34" s="23"/>
    </row>
    <row r="35" spans="1:15">
      <c r="B35" s="49" t="s">
        <v>259</v>
      </c>
      <c r="C35" s="51">
        <v>2</v>
      </c>
      <c r="D35" s="6"/>
      <c r="E35" s="59" t="s">
        <v>257</v>
      </c>
      <c r="F35" s="60"/>
      <c r="G35" s="185" t="s">
        <v>87</v>
      </c>
      <c r="H35" s="105" t="str">
        <f>E35&amp;G35</f>
        <v>0</v>
      </c>
      <c r="I35" s="58">
        <v>34</v>
      </c>
      <c r="J35" s="36">
        <v>34</v>
      </c>
      <c r="K35" s="23"/>
    </row>
    <row r="36" spans="1:15">
      <c r="B36" s="49" t="s">
        <v>260</v>
      </c>
      <c r="C36" s="51">
        <v>2</v>
      </c>
      <c r="D36" s="6"/>
      <c r="E36" s="59" t="s">
        <v>261</v>
      </c>
      <c r="F36" s="60"/>
      <c r="G36" s="185" t="s">
        <v>141</v>
      </c>
      <c r="H36" s="105" t="str">
        <f>E36&amp;G36</f>
        <v>0</v>
      </c>
      <c r="I36" s="58">
        <v>34</v>
      </c>
      <c r="J36" s="30" t="s">
        <v>181</v>
      </c>
      <c r="K36" s="23"/>
    </row>
    <row r="37" spans="1:15">
      <c r="B37" s="49" t="s">
        <v>262</v>
      </c>
      <c r="C37" s="51">
        <v>2</v>
      </c>
      <c r="D37" s="6"/>
      <c r="E37" s="59" t="s">
        <v>261</v>
      </c>
      <c r="F37" s="60"/>
      <c r="G37" s="185" t="s">
        <v>142</v>
      </c>
      <c r="H37" s="105" t="str">
        <f>E37&amp;G37</f>
        <v>0</v>
      </c>
      <c r="I37" s="74" t="s">
        <v>181</v>
      </c>
      <c r="J37" s="36">
        <v>34</v>
      </c>
      <c r="K37" s="23"/>
    </row>
    <row r="38" spans="1:15">
      <c r="B38" s="49" t="s">
        <v>263</v>
      </c>
      <c r="C38" s="51">
        <v>2</v>
      </c>
      <c r="D38" s="6"/>
      <c r="E38" s="59" t="s">
        <v>261</v>
      </c>
      <c r="F38" s="60"/>
      <c r="G38" s="185" t="s">
        <v>87</v>
      </c>
      <c r="H38" s="105" t="str">
        <f>E38&amp;G38</f>
        <v>0</v>
      </c>
      <c r="I38" s="58">
        <v>34</v>
      </c>
      <c r="J38" s="36">
        <v>34</v>
      </c>
      <c r="K38" s="23"/>
    </row>
    <row r="39" spans="1:15">
      <c r="B39" s="49" t="s">
        <v>264</v>
      </c>
      <c r="C39" s="51">
        <v>3</v>
      </c>
      <c r="D39" s="6"/>
      <c r="E39" s="59" t="s">
        <v>261</v>
      </c>
      <c r="F39" s="60"/>
      <c r="G39" s="185" t="s">
        <v>162</v>
      </c>
      <c r="H39" s="105" t="str">
        <f>E39&amp;G39</f>
        <v>0</v>
      </c>
      <c r="I39" s="58">
        <v>34</v>
      </c>
      <c r="J39" s="30" t="s">
        <v>181</v>
      </c>
      <c r="K39" s="23"/>
    </row>
    <row r="40" spans="1:15">
      <c r="B40" s="49" t="s">
        <v>265</v>
      </c>
      <c r="C40" s="51">
        <v>3</v>
      </c>
      <c r="D40" s="6"/>
      <c r="E40" s="59" t="s">
        <v>261</v>
      </c>
      <c r="F40" s="60"/>
      <c r="G40" s="185" t="s">
        <v>163</v>
      </c>
      <c r="H40" s="105" t="str">
        <f>E40&amp;G40</f>
        <v>0</v>
      </c>
      <c r="I40" s="74" t="s">
        <v>181</v>
      </c>
      <c r="J40" s="36">
        <v>34</v>
      </c>
      <c r="K40" s="23"/>
    </row>
    <row r="41" spans="1:15">
      <c r="B41" s="49" t="s">
        <v>266</v>
      </c>
      <c r="C41" s="51">
        <v>3</v>
      </c>
      <c r="D41" s="6"/>
      <c r="E41" s="59" t="s">
        <v>261</v>
      </c>
      <c r="F41" s="60"/>
      <c r="G41" s="185" t="s">
        <v>226</v>
      </c>
      <c r="H41" s="105" t="str">
        <f>E41&amp;G41</f>
        <v>0</v>
      </c>
      <c r="I41" s="58">
        <v>34</v>
      </c>
      <c r="J41" s="36">
        <v>34</v>
      </c>
      <c r="K41" s="23"/>
    </row>
    <row r="42" spans="1:15">
      <c r="B42" s="49" t="s">
        <v>267</v>
      </c>
      <c r="C42" s="51">
        <v>3</v>
      </c>
      <c r="D42" s="6"/>
      <c r="E42" s="59" t="s">
        <v>261</v>
      </c>
      <c r="F42" s="60"/>
      <c r="G42" s="185" t="s">
        <v>225</v>
      </c>
      <c r="H42" s="105" t="str">
        <f>E42&amp;G42</f>
        <v>0</v>
      </c>
      <c r="I42" s="58">
        <v>34</v>
      </c>
      <c r="J42" s="36">
        <v>34</v>
      </c>
      <c r="K42" s="23"/>
    </row>
    <row r="43" spans="1:15">
      <c r="B43" s="49" t="s">
        <v>268</v>
      </c>
      <c r="C43" s="51">
        <v>4</v>
      </c>
      <c r="D43" s="6"/>
      <c r="E43" s="59" t="s">
        <v>261</v>
      </c>
      <c r="F43" s="60"/>
      <c r="G43" s="185" t="s">
        <v>227</v>
      </c>
      <c r="H43" s="105" t="str">
        <f>E43&amp;G43</f>
        <v>0</v>
      </c>
      <c r="I43" s="58">
        <v>34</v>
      </c>
      <c r="J43" s="36">
        <v>34</v>
      </c>
      <c r="K43" s="23"/>
    </row>
    <row r="44" spans="1:15">
      <c r="B44" s="49" t="s">
        <v>269</v>
      </c>
      <c r="C44" s="51">
        <v>4</v>
      </c>
      <c r="D44" s="6"/>
      <c r="E44" s="59" t="s">
        <v>270</v>
      </c>
      <c r="F44" s="60"/>
      <c r="G44" s="185" t="s">
        <v>141</v>
      </c>
      <c r="H44" s="105" t="str">
        <f>E44&amp;G44</f>
        <v>0</v>
      </c>
      <c r="I44" s="58">
        <v>27</v>
      </c>
      <c r="J44" s="30" t="s">
        <v>181</v>
      </c>
      <c r="K44" s="23"/>
    </row>
    <row r="45" spans="1:15">
      <c r="B45" s="49" t="s">
        <v>271</v>
      </c>
      <c r="C45" s="51">
        <v>4</v>
      </c>
      <c r="D45" s="6"/>
      <c r="E45" s="59" t="s">
        <v>270</v>
      </c>
      <c r="F45" s="60"/>
      <c r="G45" s="185" t="s">
        <v>142</v>
      </c>
      <c r="H45" s="105" t="str">
        <f>E45&amp;G45</f>
        <v>0</v>
      </c>
      <c r="I45" s="74" t="s">
        <v>181</v>
      </c>
      <c r="J45" s="36">
        <v>27</v>
      </c>
      <c r="K45" s="23"/>
    </row>
    <row r="46" spans="1:15">
      <c r="B46" s="49" t="s">
        <v>272</v>
      </c>
      <c r="C46" s="51">
        <v>4</v>
      </c>
      <c r="D46" s="6"/>
      <c r="E46" s="59" t="s">
        <v>270</v>
      </c>
      <c r="F46" s="60"/>
      <c r="G46" s="185" t="s">
        <v>87</v>
      </c>
      <c r="H46" s="105" t="str">
        <f>E46&amp;G46</f>
        <v>0</v>
      </c>
      <c r="I46" s="58">
        <v>27</v>
      </c>
      <c r="J46" s="36">
        <v>27</v>
      </c>
      <c r="K46" s="23"/>
    </row>
    <row r="47" spans="1:15">
      <c r="B47" s="49" t="s">
        <v>273</v>
      </c>
      <c r="C47" s="51">
        <v>5</v>
      </c>
      <c r="D47" s="6"/>
      <c r="E47" s="59" t="s">
        <v>274</v>
      </c>
      <c r="F47" s="60"/>
      <c r="G47" s="185" t="s">
        <v>141</v>
      </c>
      <c r="H47" s="105" t="str">
        <f>E47&amp;G47</f>
        <v>0</v>
      </c>
      <c r="I47" s="58">
        <v>46</v>
      </c>
      <c r="J47" s="30" t="s">
        <v>181</v>
      </c>
      <c r="K47" s="23"/>
    </row>
    <row r="48" spans="1:15">
      <c r="B48" s="49" t="s">
        <v>275</v>
      </c>
      <c r="C48" s="51">
        <v>5</v>
      </c>
      <c r="D48" s="6"/>
      <c r="E48" s="59" t="s">
        <v>274</v>
      </c>
      <c r="F48" s="60"/>
      <c r="G48" s="185" t="s">
        <v>142</v>
      </c>
      <c r="H48" s="105" t="str">
        <f>E48&amp;G48</f>
        <v>0</v>
      </c>
      <c r="I48" s="74" t="s">
        <v>181</v>
      </c>
      <c r="J48" s="36">
        <v>46</v>
      </c>
      <c r="K48" s="23"/>
    </row>
    <row r="49" spans="1:15">
      <c r="B49" s="49" t="s">
        <v>276</v>
      </c>
      <c r="C49" s="51">
        <v>5</v>
      </c>
      <c r="D49" s="6"/>
      <c r="E49" s="59" t="s">
        <v>274</v>
      </c>
      <c r="F49" s="60"/>
      <c r="G49" s="185" t="s">
        <v>87</v>
      </c>
      <c r="H49" s="105" t="str">
        <f>E49&amp;G49</f>
        <v>0</v>
      </c>
      <c r="I49" s="58">
        <v>46</v>
      </c>
      <c r="J49" s="36">
        <v>46</v>
      </c>
      <c r="K49" s="23"/>
    </row>
    <row r="50" spans="1:15">
      <c r="B50" s="49" t="s">
        <v>277</v>
      </c>
      <c r="C50" s="51">
        <v>5</v>
      </c>
      <c r="D50" s="6"/>
      <c r="E50" s="59" t="s">
        <v>278</v>
      </c>
      <c r="F50" s="60"/>
      <c r="G50" s="185" t="s">
        <v>141</v>
      </c>
      <c r="H50" s="105" t="str">
        <f>E50&amp;G50</f>
        <v>0</v>
      </c>
      <c r="I50" s="58">
        <v>19</v>
      </c>
      <c r="J50" s="30" t="s">
        <v>181</v>
      </c>
      <c r="K50" s="23"/>
    </row>
    <row r="51" spans="1:15">
      <c r="B51" s="49" t="s">
        <v>279</v>
      </c>
      <c r="C51" s="51">
        <v>6</v>
      </c>
      <c r="D51" s="6"/>
      <c r="E51" s="59" t="s">
        <v>278</v>
      </c>
      <c r="F51" s="60"/>
      <c r="G51" s="185" t="s">
        <v>142</v>
      </c>
      <c r="H51" s="105" t="str">
        <f>E51&amp;G51</f>
        <v>0</v>
      </c>
      <c r="I51" s="74" t="s">
        <v>181</v>
      </c>
      <c r="J51" s="36">
        <v>19</v>
      </c>
      <c r="K51" s="23"/>
    </row>
    <row r="52" spans="1:15">
      <c r="B52" s="49" t="s">
        <v>280</v>
      </c>
      <c r="C52" s="51">
        <v>6</v>
      </c>
      <c r="D52" s="6"/>
      <c r="E52" s="59" t="s">
        <v>278</v>
      </c>
      <c r="F52" s="60"/>
      <c r="G52" s="185" t="s">
        <v>87</v>
      </c>
      <c r="H52" s="105" t="str">
        <f>E52&amp;G52</f>
        <v>0</v>
      </c>
      <c r="I52" s="58">
        <v>19</v>
      </c>
      <c r="J52" s="36">
        <v>19</v>
      </c>
    </row>
    <row r="53" spans="1:15">
      <c r="B53" s="49" t="s">
        <v>281</v>
      </c>
      <c r="C53" s="51">
        <v>6</v>
      </c>
      <c r="D53" s="6"/>
      <c r="E53" s="59" t="s">
        <v>282</v>
      </c>
      <c r="F53" s="60"/>
      <c r="G53" s="185" t="s">
        <v>141</v>
      </c>
      <c r="H53" s="105" t="str">
        <f>E53&amp;G53</f>
        <v>0</v>
      </c>
      <c r="I53" s="58">
        <v>19</v>
      </c>
      <c r="J53" s="30" t="s">
        <v>181</v>
      </c>
    </row>
    <row r="54" spans="1:15">
      <c r="B54" s="49" t="s">
        <v>283</v>
      </c>
      <c r="C54" s="51">
        <v>6</v>
      </c>
      <c r="D54" s="6"/>
      <c r="E54" s="59" t="s">
        <v>282</v>
      </c>
      <c r="F54" s="60"/>
      <c r="G54" s="185" t="s">
        <v>142</v>
      </c>
      <c r="H54" s="105" t="str">
        <f>E54&amp;G54</f>
        <v>0</v>
      </c>
      <c r="I54" s="74" t="s">
        <v>181</v>
      </c>
      <c r="J54" s="36">
        <v>19</v>
      </c>
    </row>
    <row r="55" spans="1:15">
      <c r="B55" s="49" t="s">
        <v>284</v>
      </c>
      <c r="C55" s="51">
        <v>7</v>
      </c>
      <c r="D55" s="6"/>
      <c r="E55" s="59" t="s">
        <v>282</v>
      </c>
      <c r="F55" s="60"/>
      <c r="G55" s="185" t="s">
        <v>87</v>
      </c>
      <c r="H55" s="105" t="str">
        <f>E55&amp;G55</f>
        <v>0</v>
      </c>
      <c r="I55" s="58">
        <v>19</v>
      </c>
      <c r="J55" s="36">
        <v>19</v>
      </c>
    </row>
    <row r="56" spans="1:15">
      <c r="B56" s="49" t="s">
        <v>285</v>
      </c>
      <c r="C56" s="51">
        <v>7</v>
      </c>
      <c r="D56" s="6"/>
      <c r="E56" s="59" t="s">
        <v>286</v>
      </c>
      <c r="F56" s="60"/>
      <c r="G56" s="185" t="s">
        <v>141</v>
      </c>
      <c r="H56" s="105" t="str">
        <f>E56&amp;G56</f>
        <v>0</v>
      </c>
      <c r="I56" s="58">
        <v>19</v>
      </c>
      <c r="J56" s="30" t="s">
        <v>181</v>
      </c>
    </row>
    <row r="57" spans="1:15">
      <c r="B57" s="49" t="s">
        <v>287</v>
      </c>
      <c r="C57" s="51">
        <v>7</v>
      </c>
      <c r="D57" s="6"/>
      <c r="E57" s="59" t="s">
        <v>286</v>
      </c>
      <c r="F57" s="60"/>
      <c r="G57" s="185" t="s">
        <v>142</v>
      </c>
      <c r="H57" s="105" t="str">
        <f>E57&amp;G57</f>
        <v>0</v>
      </c>
      <c r="I57" s="74" t="s">
        <v>181</v>
      </c>
      <c r="J57" s="36">
        <v>19</v>
      </c>
    </row>
    <row r="58" spans="1:15">
      <c r="B58" s="49" t="s">
        <v>288</v>
      </c>
      <c r="C58" s="51">
        <v>7</v>
      </c>
      <c r="D58" s="6"/>
      <c r="E58" s="59" t="s">
        <v>286</v>
      </c>
      <c r="F58" s="60"/>
      <c r="G58" s="185" t="s">
        <v>87</v>
      </c>
      <c r="H58" s="105" t="str">
        <f>E58&amp;G58</f>
        <v>0</v>
      </c>
      <c r="I58" s="58">
        <v>19</v>
      </c>
      <c r="J58" s="36">
        <v>19</v>
      </c>
    </row>
    <row r="59" spans="1:15">
      <c r="B59" s="49" t="s">
        <v>289</v>
      </c>
      <c r="C59" s="51">
        <v>8</v>
      </c>
      <c r="D59" s="6"/>
      <c r="E59" s="59" t="s">
        <v>290</v>
      </c>
      <c r="F59" s="60"/>
      <c r="G59" s="185" t="s">
        <v>141</v>
      </c>
      <c r="H59" s="105" t="str">
        <f>E59&amp;G59</f>
        <v>0</v>
      </c>
      <c r="I59" s="58">
        <v>19</v>
      </c>
      <c r="J59" s="30" t="s">
        <v>181</v>
      </c>
    </row>
    <row r="60" spans="1:15">
      <c r="B60" s="49" t="s">
        <v>291</v>
      </c>
      <c r="C60" s="51">
        <v>8</v>
      </c>
      <c r="D60" s="6"/>
      <c r="E60" s="59" t="s">
        <v>290</v>
      </c>
      <c r="F60" s="60"/>
      <c r="G60" s="185" t="s">
        <v>142</v>
      </c>
      <c r="H60" s="105" t="str">
        <f>E60&amp;G60</f>
        <v>0</v>
      </c>
      <c r="I60" s="74" t="s">
        <v>181</v>
      </c>
      <c r="J60" s="36">
        <v>19</v>
      </c>
    </row>
    <row r="61" spans="1:15">
      <c r="B61" s="49" t="s">
        <v>292</v>
      </c>
      <c r="C61" s="51">
        <v>8</v>
      </c>
      <c r="D61" s="6"/>
      <c r="E61" s="59" t="s">
        <v>290</v>
      </c>
      <c r="F61" s="60"/>
      <c r="G61" s="185" t="s">
        <v>87</v>
      </c>
      <c r="H61" s="7" t="str">
        <f>E61&amp;G61</f>
        <v>0</v>
      </c>
      <c r="I61" s="31">
        <v>19</v>
      </c>
      <c r="J61" s="309">
        <v>19</v>
      </c>
    </row>
    <row r="62" spans="1:15">
      <c r="B62" s="49" t="s">
        <v>293</v>
      </c>
      <c r="C62" s="51">
        <v>8</v>
      </c>
      <c r="D62" s="6"/>
    </row>
    <row r="63" spans="1:15">
      <c r="B63" s="49" t="s">
        <v>294</v>
      </c>
      <c r="C63" s="51">
        <v>9</v>
      </c>
      <c r="D63" s="6"/>
    </row>
    <row r="64" spans="1:15">
      <c r="B64" s="49" t="s">
        <v>295</v>
      </c>
      <c r="C64" s="51">
        <v>9</v>
      </c>
      <c r="D64" s="6"/>
    </row>
    <row r="65" spans="1:15">
      <c r="B65" s="49" t="s">
        <v>296</v>
      </c>
      <c r="C65" s="51">
        <v>9</v>
      </c>
      <c r="D65" s="6"/>
    </row>
    <row r="66" spans="1:15">
      <c r="B66" s="49" t="s">
        <v>297</v>
      </c>
      <c r="C66" s="51">
        <v>9</v>
      </c>
      <c r="D66" s="6"/>
    </row>
    <row r="67" spans="1:15">
      <c r="B67" s="49" t="s">
        <v>298</v>
      </c>
      <c r="C67" s="51">
        <v>10</v>
      </c>
    </row>
    <row r="68" spans="1:15">
      <c r="B68" s="49" t="s">
        <v>299</v>
      </c>
      <c r="C68" s="51">
        <v>10</v>
      </c>
    </row>
    <row r="69" spans="1:15">
      <c r="B69" s="49" t="s">
        <v>300</v>
      </c>
      <c r="C69" s="51">
        <v>10</v>
      </c>
    </row>
    <row r="70" spans="1:15">
      <c r="B70" s="49" t="s">
        <v>301</v>
      </c>
      <c r="C70" s="51">
        <v>10</v>
      </c>
    </row>
    <row r="71" spans="1:15">
      <c r="B71" s="49" t="s">
        <v>302</v>
      </c>
      <c r="C71" s="51">
        <v>11</v>
      </c>
    </row>
    <row r="72" spans="1:15">
      <c r="B72" s="49" t="s">
        <v>303</v>
      </c>
      <c r="C72" s="51">
        <v>11</v>
      </c>
    </row>
    <row r="73" spans="1:15">
      <c r="B73" s="49" t="s">
        <v>304</v>
      </c>
      <c r="C73" s="51">
        <v>11</v>
      </c>
    </row>
    <row r="74" spans="1:15">
      <c r="B74" s="49" t="s">
        <v>305</v>
      </c>
      <c r="C74" s="51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1:F31"/>
    <mergeCell ref="C24:H24"/>
    <mergeCell ref="E30:J3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  <pageSetUpPr fitToPage="1"/>
  </sheetPr>
  <dimension ref="A1:AB74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96"/>
    <col min="2" max="2" width="4.83203125" customWidth="true" style="96"/>
    <col min="3" max="3" width="14.1640625" customWidth="true" style="96"/>
    <col min="4" max="4" width="10.83203125" customWidth="true" style="96"/>
    <col min="5" max="5" width="8.6640625" customWidth="true" style="96"/>
    <col min="6" max="6" width="10.83203125" customWidth="true" style="96"/>
    <col min="7" max="7" width="14.5" customWidth="true" style="96"/>
    <col min="8" max="8" width="9.33203125" customWidth="true" style="96"/>
    <col min="9" max="9" width="11.33203125" customWidth="true" style="96"/>
    <col min="10" max="10" width="3.6640625" customWidth="true" style="96"/>
    <col min="11" max="11" width="4.6640625" customWidth="true" style="96"/>
    <col min="12" max="12" width="3.6640625" customWidth="true" style="96"/>
    <col min="13" max="13" width="4.6640625" customWidth="true" style="96"/>
    <col min="14" max="14" width="3.6640625" customWidth="true" style="96"/>
    <col min="15" max="15" width="4.6640625" customWidth="true" style="96"/>
    <col min="16" max="16" width="3.6640625" customWidth="true" style="96"/>
    <col min="17" max="17" width="4.6640625" customWidth="true" style="96"/>
    <col min="18" max="18" width="12.5" customWidth="true" style="96"/>
    <col min="19" max="19" width="11.5" customWidth="true" style="96"/>
    <col min="20" max="20" width="11.5" customWidth="true" style="96"/>
    <col min="21" max="21" width="11.5" customWidth="true" style="96"/>
    <col min="22" max="22" width="14" customWidth="true" style="96"/>
    <col min="23" max="23" width="13.83203125" customWidth="true" style="96"/>
    <col min="24" max="24" width="11.1640625" customWidth="true" style="96"/>
    <col min="25" max="25" width="11.33203125" customWidth="true" style="96"/>
    <col min="26" max="26" width="11.33203125" customWidth="true" style="96"/>
    <col min="27" max="27" width="17.33203125" customWidth="true" style="96"/>
    <col min="28" max="28" width="9.33203125" customWidth="true" style="96"/>
  </cols>
  <sheetData>
    <row r="1" spans="1:28" customHeight="1" ht="8.25"/>
    <row r="2" spans="1:28" customHeight="1" ht="17.25">
      <c r="A2" s="424" t="s">
        <v>0</v>
      </c>
      <c r="B2" s="425"/>
      <c r="C2" s="426"/>
      <c r="D2" s="426"/>
      <c r="E2" s="427"/>
      <c r="F2" s="881"/>
      <c r="G2" s="882"/>
      <c r="H2" s="432" t="s">
        <v>1</v>
      </c>
      <c r="I2" s="433"/>
      <c r="J2" s="878"/>
      <c r="K2" s="879"/>
      <c r="L2" s="879"/>
      <c r="M2" s="879"/>
      <c r="N2" s="879"/>
      <c r="O2" s="879"/>
      <c r="P2" s="879"/>
      <c r="Q2" s="879"/>
      <c r="R2" s="880"/>
      <c r="S2" s="892" t="s">
        <v>2</v>
      </c>
      <c r="T2" s="893"/>
      <c r="U2" s="883"/>
      <c r="V2" s="884"/>
      <c r="W2" s="432" t="s">
        <v>3</v>
      </c>
      <c r="X2" s="426"/>
      <c r="Y2" s="878"/>
      <c r="Z2" s="879"/>
      <c r="AA2" s="880"/>
    </row>
    <row r="3" spans="1:28" customHeight="1" ht="18">
      <c r="A3" s="428" t="s">
        <v>4</v>
      </c>
      <c r="B3" s="429"/>
      <c r="C3" s="429"/>
      <c r="D3" s="430"/>
      <c r="E3" s="431"/>
      <c r="F3" s="887"/>
      <c r="G3" s="888"/>
      <c r="H3" s="434" t="s">
        <v>5</v>
      </c>
      <c r="I3" s="435"/>
      <c r="J3" s="889"/>
      <c r="K3" s="890"/>
      <c r="L3" s="890"/>
      <c r="M3" s="890"/>
      <c r="N3" s="890"/>
      <c r="O3" s="890"/>
      <c r="P3" s="890"/>
      <c r="Q3" s="890"/>
      <c r="R3" s="891"/>
      <c r="S3" s="894"/>
      <c r="T3" s="895"/>
      <c r="U3" s="885"/>
      <c r="V3" s="886"/>
      <c r="W3" s="436" t="s">
        <v>6</v>
      </c>
      <c r="X3" s="429"/>
      <c r="Y3" s="351"/>
      <c r="Z3" s="350"/>
      <c r="AA3" s="352"/>
    </row>
    <row r="4" spans="1:28" customHeight="1" ht="9">
      <c r="A4" s="325"/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5"/>
      <c r="W4" s="325"/>
      <c r="X4" s="325"/>
      <c r="Y4" s="325"/>
      <c r="Z4" s="325"/>
      <c r="AA4" s="325"/>
    </row>
    <row r="5" spans="1:28" customHeight="1" ht="15">
      <c r="A5" s="1134" t="s">
        <v>7</v>
      </c>
      <c r="B5" s="1112" t="s">
        <v>8</v>
      </c>
      <c r="C5" s="1112" t="s">
        <v>9</v>
      </c>
      <c r="D5" s="1112" t="s">
        <v>10</v>
      </c>
      <c r="E5" s="1112" t="s">
        <v>11</v>
      </c>
      <c r="F5" s="345" t="s">
        <v>12</v>
      </c>
      <c r="G5" s="345" t="s">
        <v>13</v>
      </c>
      <c r="H5" s="1112" t="s">
        <v>14</v>
      </c>
      <c r="I5" s="349" t="s">
        <v>15</v>
      </c>
      <c r="J5" s="1115" t="s">
        <v>16</v>
      </c>
      <c r="K5" s="1116"/>
      <c r="L5" s="1116"/>
      <c r="M5" s="1116"/>
      <c r="N5" s="1116"/>
      <c r="O5" s="1116"/>
      <c r="P5" s="1116"/>
      <c r="Q5" s="1117"/>
      <c r="R5" s="345" t="s">
        <v>17</v>
      </c>
      <c r="S5" s="1153" t="s">
        <v>18</v>
      </c>
      <c r="T5" s="1154"/>
      <c r="U5" s="345" t="s">
        <v>19</v>
      </c>
      <c r="V5" s="1139" t="s">
        <v>20</v>
      </c>
      <c r="W5" s="1139"/>
      <c r="X5" s="345" t="s">
        <v>21</v>
      </c>
      <c r="Y5" s="1139" t="s">
        <v>22</v>
      </c>
      <c r="Z5" s="1139"/>
      <c r="AA5" s="1140" t="s">
        <v>23</v>
      </c>
    </row>
    <row r="6" spans="1:28" customHeight="1" ht="15">
      <c r="A6" s="1135"/>
      <c r="B6" s="1113"/>
      <c r="C6" s="1113"/>
      <c r="D6" s="1113"/>
      <c r="E6" s="1137"/>
      <c r="F6" s="1118" t="s">
        <v>11</v>
      </c>
      <c r="G6" s="1120" t="s">
        <v>11</v>
      </c>
      <c r="H6" s="1113"/>
      <c r="I6" s="1120" t="s">
        <v>11</v>
      </c>
      <c r="J6" s="1122" t="s">
        <v>24</v>
      </c>
      <c r="K6" s="1123"/>
      <c r="L6" s="1123"/>
      <c r="M6" s="1123"/>
      <c r="N6" s="1123"/>
      <c r="O6" s="1123"/>
      <c r="P6" s="1123"/>
      <c r="Q6" s="1124"/>
      <c r="R6" s="1120" t="s">
        <v>25</v>
      </c>
      <c r="S6" s="1120" t="s">
        <v>26</v>
      </c>
      <c r="T6" s="1150" t="s">
        <v>27</v>
      </c>
      <c r="U6" s="1120" t="s">
        <v>25</v>
      </c>
      <c r="V6" s="1143" t="s">
        <v>28</v>
      </c>
      <c r="W6" s="1150" t="s">
        <v>29</v>
      </c>
      <c r="X6" s="1120" t="s">
        <v>11</v>
      </c>
      <c r="Y6" s="1143" t="s">
        <v>11</v>
      </c>
      <c r="Z6" s="1145" t="s">
        <v>30</v>
      </c>
      <c r="AA6" s="1141"/>
    </row>
    <row r="7" spans="1:28" customHeight="1" ht="15">
      <c r="A7" s="1135"/>
      <c r="B7" s="1113"/>
      <c r="C7" s="1113"/>
      <c r="D7" s="1113"/>
      <c r="E7" s="1137"/>
      <c r="F7" s="1119"/>
      <c r="G7" s="1121"/>
      <c r="H7" s="1113"/>
      <c r="I7" s="1121"/>
      <c r="J7" s="1128" t="s">
        <v>31</v>
      </c>
      <c r="K7" s="1129"/>
      <c r="L7" s="1129"/>
      <c r="M7" s="1129"/>
      <c r="N7" s="1129"/>
      <c r="O7" s="1129"/>
      <c r="P7" s="1129"/>
      <c r="Q7" s="1130"/>
      <c r="R7" s="1121"/>
      <c r="S7" s="1121"/>
      <c r="T7" s="1155"/>
      <c r="U7" s="1121"/>
      <c r="V7" s="1144"/>
      <c r="W7" s="1151"/>
      <c r="X7" s="1121"/>
      <c r="Y7" s="1144"/>
      <c r="Z7" s="1146"/>
      <c r="AA7" s="1141"/>
    </row>
    <row r="8" spans="1:28" customHeight="1" ht="30">
      <c r="A8" s="1135"/>
      <c r="B8" s="1113"/>
      <c r="C8" s="1113"/>
      <c r="D8" s="1113"/>
      <c r="E8" s="1137"/>
      <c r="F8" s="1119"/>
      <c r="G8" s="348" t="s">
        <v>32</v>
      </c>
      <c r="H8" s="1113"/>
      <c r="I8" s="353" t="s">
        <v>33</v>
      </c>
      <c r="J8" s="1131" t="s">
        <v>30</v>
      </c>
      <c r="K8" s="1132"/>
      <c r="L8" s="1132"/>
      <c r="M8" s="1132"/>
      <c r="N8" s="1132"/>
      <c r="O8" s="1132"/>
      <c r="P8" s="1132"/>
      <c r="Q8" s="1133"/>
      <c r="R8" s="1121"/>
      <c r="S8" s="446" t="s">
        <v>34</v>
      </c>
      <c r="T8" s="1155"/>
      <c r="U8" s="1121"/>
      <c r="V8" s="354" t="s">
        <v>35</v>
      </c>
      <c r="W8" s="413" t="s">
        <v>36</v>
      </c>
      <c r="X8" s="1121"/>
      <c r="Y8" s="346" t="s">
        <v>37</v>
      </c>
      <c r="Z8" s="347" t="s">
        <v>38</v>
      </c>
      <c r="AA8" s="1141"/>
    </row>
    <row r="9" spans="1:28" customHeight="1" ht="51.75">
      <c r="A9" s="1136"/>
      <c r="B9" s="1114"/>
      <c r="C9" s="1114"/>
      <c r="D9" s="1114"/>
      <c r="E9" s="1138"/>
      <c r="F9" s="355" t="s">
        <v>39</v>
      </c>
      <c r="G9" s="335" t="s">
        <v>40</v>
      </c>
      <c r="H9" s="1114"/>
      <c r="I9" s="356" t="s">
        <v>41</v>
      </c>
      <c r="J9" s="1125" t="s">
        <v>42</v>
      </c>
      <c r="K9" s="1126"/>
      <c r="L9" s="1126"/>
      <c r="M9" s="1126"/>
      <c r="N9" s="1126"/>
      <c r="O9" s="1126"/>
      <c r="P9" s="1126"/>
      <c r="Q9" s="1127"/>
      <c r="R9" s="335" t="s">
        <v>43</v>
      </c>
      <c r="S9" s="335" t="s">
        <v>43</v>
      </c>
      <c r="T9" s="1156"/>
      <c r="U9" s="335" t="s">
        <v>43</v>
      </c>
      <c r="V9" s="334" t="s">
        <v>192</v>
      </c>
      <c r="W9" s="336" t="s">
        <v>45</v>
      </c>
      <c r="X9" s="335" t="s">
        <v>46</v>
      </c>
      <c r="Y9" s="337" t="s">
        <v>46</v>
      </c>
      <c r="Z9" s="336" t="s">
        <v>47</v>
      </c>
      <c r="AA9" s="1142"/>
    </row>
    <row r="10" spans="1:28" customHeight="1" ht="13.5">
      <c r="A10" s="325"/>
      <c r="B10" s="325"/>
      <c r="C10" s="325"/>
      <c r="D10" s="325"/>
      <c r="E10" s="325"/>
      <c r="F10" s="325"/>
      <c r="G10" s="325"/>
      <c r="H10" s="325"/>
      <c r="I10" s="325"/>
      <c r="J10" s="325"/>
      <c r="K10" s="325"/>
      <c r="L10" s="325"/>
      <c r="M10" s="325"/>
      <c r="N10" s="325"/>
      <c r="O10" s="325"/>
      <c r="P10" s="325"/>
      <c r="Q10" s="325"/>
      <c r="R10" s="325"/>
      <c r="S10" s="325"/>
      <c r="T10" s="325"/>
      <c r="U10" s="325"/>
      <c r="V10" s="325"/>
      <c r="W10" s="325"/>
      <c r="X10" s="325"/>
      <c r="Y10" s="325"/>
      <c r="Z10" s="325"/>
      <c r="AA10" s="325"/>
    </row>
    <row r="11" spans="1:28" customHeight="1" ht="12.75">
      <c r="A11" s="921"/>
      <c r="B11" s="924"/>
      <c r="C11" s="927"/>
      <c r="D11" s="930"/>
      <c r="E11" s="924" t="s">
        <v>306</v>
      </c>
      <c r="F11" s="856"/>
      <c r="G11" s="903"/>
      <c r="H11" s="1164"/>
      <c r="I11" s="927"/>
      <c r="J11" s="338"/>
      <c r="K11" s="381"/>
      <c r="L11" s="381"/>
      <c r="M11" s="381"/>
      <c r="N11" s="381"/>
      <c r="O11" s="381"/>
      <c r="P11" s="381"/>
      <c r="Q11" s="382"/>
      <c r="R11" s="1157"/>
      <c r="S11" s="372"/>
      <c r="T11" s="1167"/>
      <c r="U11" s="1157"/>
      <c r="V11" s="448"/>
      <c r="W11" s="449"/>
      <c r="X11" s="856"/>
      <c r="Y11" s="859"/>
      <c r="Z11" s="861"/>
      <c r="AA11" s="1147"/>
    </row>
    <row r="12" spans="1:28">
      <c r="A12" s="922"/>
      <c r="B12" s="925"/>
      <c r="C12" s="928"/>
      <c r="D12" s="931"/>
      <c r="E12" s="925"/>
      <c r="F12" s="858"/>
      <c r="G12" s="869"/>
      <c r="H12" s="1165"/>
      <c r="I12" s="928"/>
      <c r="J12" s="866"/>
      <c r="K12" s="867"/>
      <c r="L12" s="867"/>
      <c r="M12" s="867"/>
      <c r="N12" s="867"/>
      <c r="O12" s="867"/>
      <c r="P12" s="867"/>
      <c r="Q12" s="868"/>
      <c r="R12" s="1158"/>
      <c r="S12" s="869"/>
      <c r="T12" s="1159"/>
      <c r="U12" s="1158"/>
      <c r="V12" s="1159"/>
      <c r="W12" s="1152"/>
      <c r="X12" s="857"/>
      <c r="Y12" s="860"/>
      <c r="Z12" s="862"/>
      <c r="AA12" s="1148"/>
    </row>
    <row r="13" spans="1:28">
      <c r="A13" s="922"/>
      <c r="B13" s="925"/>
      <c r="C13" s="928"/>
      <c r="D13" s="931"/>
      <c r="E13" s="925"/>
      <c r="F13" s="1158"/>
      <c r="G13" s="373"/>
      <c r="H13" s="1165"/>
      <c r="I13" s="375"/>
      <c r="J13" s="1161"/>
      <c r="K13" s="1162"/>
      <c r="L13" s="1162"/>
      <c r="M13" s="1162"/>
      <c r="N13" s="1162"/>
      <c r="O13" s="1162"/>
      <c r="P13" s="1162"/>
      <c r="Q13" s="1163"/>
      <c r="R13" s="1158"/>
      <c r="S13" s="869"/>
      <c r="T13" s="1159"/>
      <c r="U13" s="1158"/>
      <c r="V13" s="1159"/>
      <c r="W13" s="1152"/>
      <c r="X13" s="858"/>
      <c r="Y13" s="340"/>
      <c r="Z13" s="339"/>
      <c r="AA13" s="1148"/>
    </row>
    <row r="14" spans="1:28" customHeight="1" ht="13.5">
      <c r="A14" s="923"/>
      <c r="B14" s="926"/>
      <c r="C14" s="929"/>
      <c r="D14" s="932"/>
      <c r="E14" s="926"/>
      <c r="F14" s="1160"/>
      <c r="G14" s="341"/>
      <c r="H14" s="1166"/>
      <c r="I14" s="376"/>
      <c r="J14" s="912"/>
      <c r="K14" s="913"/>
      <c r="L14" s="913"/>
      <c r="M14" s="913"/>
      <c r="N14" s="913"/>
      <c r="O14" s="913"/>
      <c r="P14" s="913"/>
      <c r="Q14" s="914"/>
      <c r="R14" s="341"/>
      <c r="S14" s="374"/>
      <c r="T14" s="1168"/>
      <c r="U14" s="341"/>
      <c r="V14" s="445"/>
      <c r="W14" s="450"/>
      <c r="X14" s="341"/>
      <c r="Y14" s="343"/>
      <c r="Z14" s="342"/>
      <c r="AA14" s="1149"/>
    </row>
    <row r="16" spans="1:28">
      <c r="B16" s="96" t="s">
        <v>0</v>
      </c>
      <c r="F16" s="361" t="str">
        <f>IF(F2="AMERICAN Shutters","AS",F2)</f>
        <v>0</v>
      </c>
      <c r="G16" s="359"/>
      <c r="H16" s="360"/>
    </row>
    <row r="17" spans="1:28">
      <c r="B17" s="96" t="s">
        <v>52</v>
      </c>
      <c r="F17" s="361" t="str">
        <f>F3</f>
        <v>0</v>
      </c>
      <c r="G17" s="359"/>
      <c r="H17" s="360"/>
    </row>
    <row r="18" spans="1:28">
      <c r="B18" s="96" t="s">
        <v>1</v>
      </c>
      <c r="F18" s="361" t="str">
        <f>J2</f>
        <v>0</v>
      </c>
      <c r="G18" s="359"/>
      <c r="H18" s="360"/>
    </row>
    <row r="19" spans="1:28">
      <c r="B19" s="96" t="s">
        <v>5</v>
      </c>
      <c r="F19" s="361" t="str">
        <f>J3</f>
        <v>0</v>
      </c>
      <c r="G19" s="359"/>
      <c r="H19" s="360"/>
    </row>
    <row r="20" spans="1:28">
      <c r="B20" s="96" t="s">
        <v>53</v>
      </c>
      <c r="F20" s="361" t="str">
        <f>A11</f>
        <v>0</v>
      </c>
      <c r="G20" s="359"/>
      <c r="H20" s="360"/>
    </row>
    <row r="21" spans="1:28">
      <c r="B21" s="96" t="s">
        <v>54</v>
      </c>
      <c r="F21" s="361" t="str">
        <f>B11</f>
        <v>0</v>
      </c>
      <c r="G21" s="359"/>
      <c r="H21" s="360"/>
    </row>
    <row r="22" spans="1:28">
      <c r="B22" s="96" t="s">
        <v>9</v>
      </c>
      <c r="F22" s="361" t="str">
        <f>C11</f>
        <v>0</v>
      </c>
      <c r="G22" s="359"/>
      <c r="H22" s="360"/>
    </row>
    <row r="23" spans="1:28">
      <c r="B23" s="96" t="s">
        <v>10</v>
      </c>
      <c r="F23" s="361" t="str">
        <f>D11</f>
        <v>0</v>
      </c>
      <c r="G23" s="359"/>
      <c r="H23" s="360"/>
    </row>
    <row r="24" spans="1:28">
      <c r="B24" s="96" t="s">
        <v>55</v>
      </c>
      <c r="F24" s="361" t="str">
        <f>U2</f>
        <v>0</v>
      </c>
      <c r="G24" s="359"/>
      <c r="H24" s="360"/>
    </row>
    <row r="25" spans="1:28">
      <c r="F25" s="357"/>
    </row>
    <row r="26" spans="1:28">
      <c r="B26" s="96" t="s">
        <v>56</v>
      </c>
      <c r="F26" s="361" t="str">
        <f>F11</f>
        <v>0</v>
      </c>
      <c r="G26" s="359"/>
      <c r="H26" s="360"/>
    </row>
    <row r="27" spans="1:28">
      <c r="B27" s="96" t="s">
        <v>57</v>
      </c>
      <c r="F27" s="361" t="str">
        <f>F13</f>
        <v>0</v>
      </c>
      <c r="G27" s="359"/>
      <c r="H27" s="360"/>
    </row>
    <row r="28" spans="1:28">
      <c r="F28" s="357"/>
    </row>
    <row r="29" spans="1:28">
      <c r="B29" s="96" t="s">
        <v>58</v>
      </c>
      <c r="F29" s="361" t="str">
        <f>G11</f>
        <v>0</v>
      </c>
      <c r="G29" s="359"/>
      <c r="H29" s="360"/>
    </row>
    <row r="30" spans="1:28">
      <c r="B30" s="96" t="s">
        <v>59</v>
      </c>
      <c r="F30" s="361" t="str">
        <f>G13</f>
        <v>0</v>
      </c>
      <c r="G30" s="359"/>
      <c r="H30" s="360"/>
    </row>
    <row r="31" spans="1:28">
      <c r="B31" s="96" t="s">
        <v>205</v>
      </c>
      <c r="F31" s="361" t="str">
        <f>G14</f>
        <v>0</v>
      </c>
      <c r="G31" s="359"/>
      <c r="H31" s="360"/>
    </row>
    <row r="32" spans="1:28">
      <c r="F32" s="357"/>
    </row>
    <row r="33" spans="1:28">
      <c r="B33" s="96" t="s">
        <v>14</v>
      </c>
      <c r="F33" s="361" t="str">
        <f>H11</f>
        <v>0</v>
      </c>
      <c r="G33" s="362"/>
      <c r="H33" s="363"/>
    </row>
    <row r="34" spans="1:28">
      <c r="F34" s="357"/>
    </row>
    <row r="35" spans="1:28">
      <c r="B35" s="96" t="s">
        <v>60</v>
      </c>
      <c r="F35" s="361" t="str">
        <f>I11</f>
        <v>0</v>
      </c>
      <c r="G35" s="362"/>
      <c r="H35" s="363"/>
    </row>
    <row r="36" spans="1:28">
      <c r="B36" s="96" t="s">
        <v>61</v>
      </c>
      <c r="F36" s="361" t="str">
        <f>I13</f>
        <v>0</v>
      </c>
      <c r="G36" s="362"/>
      <c r="H36" s="363"/>
    </row>
    <row r="37" spans="1:28">
      <c r="B37" s="96" t="s">
        <v>62</v>
      </c>
      <c r="F37" s="361" t="str">
        <f>I14</f>
        <v>0</v>
      </c>
      <c r="G37" s="362"/>
      <c r="H37" s="363"/>
    </row>
    <row r="38" spans="1:28">
      <c r="F38" s="357"/>
    </row>
    <row r="39" spans="1:28">
      <c r="B39" s="96" t="s">
        <v>63</v>
      </c>
      <c r="F39" s="361" t="str">
        <f>J12</f>
        <v>0</v>
      </c>
      <c r="G39" s="362"/>
      <c r="H39" s="363"/>
    </row>
    <row r="40" spans="1:28">
      <c r="B40" s="96" t="s">
        <v>64</v>
      </c>
      <c r="F40" s="361" t="str">
        <f>J13</f>
        <v>0</v>
      </c>
      <c r="G40" s="362"/>
      <c r="H40" s="363"/>
    </row>
    <row r="41" spans="1:28">
      <c r="F41" s="357"/>
    </row>
    <row r="42" spans="1:28">
      <c r="B42" s="96" t="s">
        <v>65</v>
      </c>
      <c r="F42" s="361" t="str">
        <f>R11</f>
        <v>0</v>
      </c>
      <c r="G42" s="362"/>
      <c r="H42" s="363"/>
    </row>
    <row r="43" spans="1:28">
      <c r="B43" s="96" t="s">
        <v>66</v>
      </c>
      <c r="F43" s="361" t="str">
        <f>R14</f>
        <v>0</v>
      </c>
      <c r="G43" s="362"/>
      <c r="H43" s="363"/>
    </row>
    <row r="44" spans="1:28">
      <c r="F44" s="357"/>
    </row>
    <row r="45" spans="1:28">
      <c r="B45" s="96" t="s">
        <v>67</v>
      </c>
      <c r="F45" s="361" t="str">
        <f>S11</f>
        <v>0</v>
      </c>
      <c r="G45" s="362"/>
      <c r="H45" s="363"/>
    </row>
    <row r="46" spans="1:28">
      <c r="B46" s="96" t="s">
        <v>68</v>
      </c>
      <c r="F46" s="361" t="str">
        <f>S12</f>
        <v>0</v>
      </c>
      <c r="G46" s="362"/>
      <c r="H46" s="363"/>
    </row>
    <row r="47" spans="1:28">
      <c r="B47" s="96" t="s">
        <v>69</v>
      </c>
      <c r="C47" s="357"/>
      <c r="D47" s="357"/>
      <c r="E47" s="357"/>
      <c r="F47" s="361" t="str">
        <f>S14</f>
        <v>0</v>
      </c>
      <c r="G47" s="362"/>
      <c r="H47" s="363"/>
    </row>
    <row r="48" spans="1:28" customHeight="1" ht="15">
      <c r="B48" s="96" t="s">
        <v>27</v>
      </c>
      <c r="C48" s="333"/>
      <c r="D48" s="333"/>
      <c r="E48" s="333"/>
      <c r="F48" s="361" t="str">
        <f>T11</f>
        <v>0</v>
      </c>
      <c r="G48" s="362"/>
      <c r="H48" s="363"/>
    </row>
    <row r="49" spans="1:28">
      <c r="F49" s="357"/>
    </row>
    <row r="50" spans="1:28">
      <c r="B50" s="96" t="s">
        <v>70</v>
      </c>
      <c r="F50" s="361" t="str">
        <f>U11</f>
        <v>0</v>
      </c>
      <c r="G50" s="362"/>
      <c r="H50" s="363"/>
    </row>
    <row r="51" spans="1:28">
      <c r="B51" s="96" t="s">
        <v>71</v>
      </c>
      <c r="C51" s="357"/>
      <c r="D51" s="357"/>
      <c r="E51" s="357"/>
      <c r="F51" s="361" t="str">
        <f>U14</f>
        <v>0</v>
      </c>
      <c r="G51" s="362"/>
      <c r="H51" s="363"/>
    </row>
    <row r="52" spans="1:28">
      <c r="F52" s="357"/>
    </row>
    <row r="53" spans="1:28">
      <c r="B53" s="96" t="s">
        <v>207</v>
      </c>
      <c r="F53" s="361" t="str">
        <f>V11</f>
        <v>0</v>
      </c>
      <c r="G53" s="362"/>
      <c r="H53" s="363"/>
    </row>
    <row r="54" spans="1:28">
      <c r="B54" s="96" t="s">
        <v>208</v>
      </c>
      <c r="F54" s="361" t="str">
        <f>V12</f>
        <v>0</v>
      </c>
      <c r="G54" s="362"/>
      <c r="H54" s="363"/>
    </row>
    <row r="55" spans="1:28">
      <c r="B55" s="96" t="s">
        <v>209</v>
      </c>
      <c r="F55" s="361" t="str">
        <f>W12</f>
        <v>0</v>
      </c>
      <c r="G55" s="362"/>
      <c r="H55" s="363"/>
    </row>
    <row r="56" spans="1:28">
      <c r="B56" s="96" t="s">
        <v>210</v>
      </c>
      <c r="F56" s="361" t="str">
        <f>W11</f>
        <v>0</v>
      </c>
      <c r="G56" s="362"/>
      <c r="H56" s="363"/>
    </row>
    <row r="57" spans="1:28">
      <c r="B57" s="96" t="s">
        <v>307</v>
      </c>
      <c r="F57" s="361" t="str">
        <f>V14</f>
        <v>0</v>
      </c>
      <c r="G57" s="362"/>
      <c r="H57" s="363"/>
    </row>
    <row r="58" spans="1:28">
      <c r="F58" s="344"/>
    </row>
    <row r="59" spans="1:28">
      <c r="B59" s="96" t="s">
        <v>211</v>
      </c>
      <c r="F59" s="361" t="str">
        <f>X11</f>
        <v>0</v>
      </c>
      <c r="G59" s="362"/>
      <c r="H59" s="363"/>
    </row>
    <row r="60" spans="1:28">
      <c r="B60" s="96" t="s">
        <v>212</v>
      </c>
      <c r="F60" s="361" t="str">
        <f>X14</f>
        <v>0</v>
      </c>
      <c r="G60" s="362"/>
      <c r="H60" s="363"/>
    </row>
    <row r="61" spans="1:28">
      <c r="F61" s="344"/>
    </row>
    <row r="62" spans="1:28">
      <c r="B62" s="96" t="s">
        <v>213</v>
      </c>
      <c r="F62" s="361" t="str">
        <f>W14</f>
        <v>0</v>
      </c>
      <c r="G62" s="362"/>
      <c r="H62" s="363"/>
    </row>
    <row r="63" spans="1:28">
      <c r="F63" s="344"/>
    </row>
    <row r="64" spans="1:28">
      <c r="B64" s="96" t="s">
        <v>214</v>
      </c>
      <c r="F64" s="361" t="str">
        <f>Y11</f>
        <v>0</v>
      </c>
      <c r="G64" s="362"/>
      <c r="H64" s="363"/>
    </row>
    <row r="65" spans="1:28">
      <c r="B65" s="96" t="s">
        <v>215</v>
      </c>
      <c r="F65" s="361" t="str">
        <f>Y14</f>
        <v>0</v>
      </c>
      <c r="G65" s="362"/>
      <c r="H65" s="363"/>
    </row>
    <row r="66" spans="1:28">
      <c r="B66" s="96" t="s">
        <v>216</v>
      </c>
      <c r="F66" s="361" t="str">
        <f>Y13</f>
        <v>0</v>
      </c>
      <c r="G66" s="362"/>
      <c r="H66" s="363"/>
    </row>
    <row r="67" spans="1:28">
      <c r="B67" s="96" t="s">
        <v>217</v>
      </c>
      <c r="F67" s="361" t="str">
        <f>Z11</f>
        <v>0</v>
      </c>
      <c r="G67" s="362"/>
      <c r="H67" s="363"/>
    </row>
    <row r="68" spans="1:28">
      <c r="B68" s="96" t="s">
        <v>218</v>
      </c>
      <c r="F68" s="361" t="str">
        <f>Z13</f>
        <v>0</v>
      </c>
      <c r="G68" s="362"/>
      <c r="H68" s="363"/>
    </row>
    <row r="69" spans="1:28">
      <c r="B69" s="96" t="s">
        <v>219</v>
      </c>
      <c r="F69" s="361" t="str">
        <f>Z14</f>
        <v>0</v>
      </c>
      <c r="G69" s="362"/>
      <c r="H69" s="363"/>
    </row>
    <row r="70" spans="1:28">
      <c r="F70" s="357"/>
    </row>
    <row r="71" spans="1:28">
      <c r="B71" s="96" t="s">
        <v>23</v>
      </c>
      <c r="C71" s="358"/>
      <c r="D71" s="358"/>
      <c r="E71" s="358"/>
      <c r="F71" s="361" t="str">
        <f>AA11</f>
        <v>0</v>
      </c>
      <c r="G71" s="362"/>
      <c r="H71" s="363"/>
    </row>
    <row r="72" spans="1:28">
      <c r="B72" s="358"/>
      <c r="C72" s="358"/>
      <c r="D72" s="358"/>
      <c r="E72" s="358"/>
      <c r="F72" s="358"/>
    </row>
    <row r="73" spans="1:28">
      <c r="B73" s="358"/>
      <c r="C73" s="358"/>
      <c r="D73" s="358"/>
      <c r="E73" s="358"/>
      <c r="F73" s="358"/>
    </row>
    <row r="74" spans="1:28">
      <c r="B74" s="358"/>
      <c r="C74" s="358"/>
      <c r="D74" s="358"/>
      <c r="E74" s="358"/>
      <c r="F74" s="35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R11:R13"/>
    <mergeCell ref="J12:Q12"/>
    <mergeCell ref="S12:S13"/>
    <mergeCell ref="V12:V13"/>
    <mergeCell ref="F13:F14"/>
    <mergeCell ref="J13:Q13"/>
    <mergeCell ref="J14:Q14"/>
    <mergeCell ref="U11:U13"/>
    <mergeCell ref="F11:F12"/>
    <mergeCell ref="G11:G12"/>
    <mergeCell ref="H11:H14"/>
    <mergeCell ref="I11:I12"/>
    <mergeCell ref="T11:T14"/>
    <mergeCell ref="A11:A14"/>
    <mergeCell ref="B11:B14"/>
    <mergeCell ref="C11:C14"/>
    <mergeCell ref="D11:D14"/>
    <mergeCell ref="E11:E14"/>
    <mergeCell ref="S6:S7"/>
    <mergeCell ref="U6:U8"/>
    <mergeCell ref="V6:V7"/>
    <mergeCell ref="S2:T3"/>
    <mergeCell ref="S5:T5"/>
    <mergeCell ref="T6:T9"/>
    <mergeCell ref="X11:X13"/>
    <mergeCell ref="Y11:Y12"/>
    <mergeCell ref="Z11:Z12"/>
    <mergeCell ref="Y2:AA2"/>
    <mergeCell ref="V5:W5"/>
    <mergeCell ref="Y5:Z5"/>
    <mergeCell ref="AA5:AA9"/>
    <mergeCell ref="X6:X8"/>
    <mergeCell ref="Y6:Y7"/>
    <mergeCell ref="Z6:Z7"/>
    <mergeCell ref="AA11:AA14"/>
    <mergeCell ref="W6:W7"/>
    <mergeCell ref="W12:W13"/>
    <mergeCell ref="U2:V3"/>
    <mergeCell ref="A5:A9"/>
    <mergeCell ref="B5:B9"/>
    <mergeCell ref="C5:C9"/>
    <mergeCell ref="D5:D9"/>
    <mergeCell ref="E5:E9"/>
    <mergeCell ref="F2:G2"/>
    <mergeCell ref="F3:G3"/>
    <mergeCell ref="J3:R3"/>
    <mergeCell ref="H5:H9"/>
    <mergeCell ref="J5:Q5"/>
    <mergeCell ref="F6:F8"/>
    <mergeCell ref="G6:G7"/>
    <mergeCell ref="I6:I7"/>
    <mergeCell ref="J6:Q6"/>
    <mergeCell ref="R6:R8"/>
    <mergeCell ref="J9:Q9"/>
    <mergeCell ref="J2:R2"/>
    <mergeCell ref="J7:Q7"/>
    <mergeCell ref="J8:Q8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2">
    <cfRule type="expression" dxfId="5" priority="25">
      <formula>$E11="Hinged"</formula>
    </cfRule>
  </conditionalFormatting>
  <conditionalFormatting sqref="X13">
    <cfRule type="expression" dxfId="5" priority="26">
      <formula>$E11="Hinged"</formula>
    </cfRule>
  </conditionalFormatting>
  <conditionalFormatting sqref="Y11">
    <cfRule type="expression" dxfId="5" priority="27">
      <formula>$E11="Hinged"</formula>
    </cfRule>
  </conditionalFormatting>
  <conditionalFormatting sqref="Y11">
    <cfRule type="expression" dxfId="5" priority="28">
      <formula>$E11="Hinged"</formula>
    </cfRule>
  </conditionalFormatting>
  <conditionalFormatting sqref="Y12">
    <cfRule type="expression" dxfId="5" priority="29">
      <formula>$E11="Hinged"</formula>
    </cfRule>
  </conditionalFormatting>
  <conditionalFormatting sqref="Y12">
    <cfRule type="expression" dxfId="5" priority="30">
      <formula>$E11="Hinged"</formula>
    </cfRule>
  </conditionalFormatting>
  <conditionalFormatting sqref="Y13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26"/>
  <sheetViews>
    <sheetView tabSelected="0" workbookViewId="0" showGridLines="true" showRowColHeaders="1">
      <selection activeCell="B8" sqref="B8"/>
    </sheetView>
  </sheetViews>
  <sheetFormatPr defaultRowHeight="14.4" outlineLevelRow="0" outlineLevelCol="0"/>
  <cols>
    <col min="1" max="1" width="31.83203125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1.83203125" customWidth="true" style="0"/>
    <col min="10" max="10" width="13.33203125" customWidth="true" style="0"/>
  </cols>
  <sheetData>
    <row r="1" spans="1:10" customHeight="1" ht="15">
      <c r="A1" s="4" t="s">
        <v>308</v>
      </c>
      <c r="B1" s="2"/>
      <c r="C1" s="2"/>
    </row>
    <row r="2" spans="1:10" customHeight="1" ht="15">
      <c r="A2" s="4" t="s">
        <v>309</v>
      </c>
      <c r="B2" s="2"/>
      <c r="C2" s="2"/>
    </row>
    <row r="3" spans="1:10">
      <c r="A3" s="2"/>
      <c r="B3" s="2"/>
      <c r="C3" s="2"/>
    </row>
    <row r="4" spans="1:10">
      <c r="A4" s="1" t="s">
        <v>74</v>
      </c>
      <c r="B4" s="10" t="str">
        <f>'BP - INPUT'!F36</f>
        <v>0</v>
      </c>
    </row>
    <row r="5" spans="1:10">
      <c r="A5" s="1" t="s">
        <v>75</v>
      </c>
      <c r="B5" s="11" t="str">
        <f>'BP - INPUT'!F37</f>
        <v>0</v>
      </c>
    </row>
    <row r="6" spans="1:10">
      <c r="A6" s="1" t="s">
        <v>76</v>
      </c>
      <c r="B6" s="10" t="str">
        <f>IF(AND('BP - INPUT'!F35="Window Size",'BP - INPUT'!F33="Inside Reveal"),VLOOKUP('BP - INPUT'!F30,'Opening BP'!A19:B26,2,FALSE),IF(AND('BP - INPUT'!F35="Window Size",'BP - INPUT'!F33="Outside Reveal"),VLOOKUP('BP - INPUT'!F30,'Opening BP'!A19:D26,4,FALSE),0))</f>
        <v>0</v>
      </c>
      <c r="D6" s="1"/>
    </row>
    <row r="7" spans="1:10">
      <c r="A7" s="1" t="s">
        <v>77</v>
      </c>
      <c r="B7" s="11" t="str">
        <f>IF(AND('BP - INPUT'!F35="Window Size",'BP - INPUT'!F33="Inside Reveal"),VLOOKUP('BP - INPUT'!F30,'Opening BP'!A19:C26,3,FALSE),IF(AND('BP - INPUT'!F35="Window Size",'BP - INPUT'!F33="Outside Reveal"),VLOOKUP('BP - INPUT'!F30,'Opening BP'!A19:E26,5,FALSE),0))</f>
        <v>0</v>
      </c>
      <c r="D7" s="1"/>
    </row>
    <row r="8" spans="1:10">
      <c r="A8" s="1" t="s">
        <v>78</v>
      </c>
      <c r="B8" s="12" t="str">
        <f>B4+B6</f>
        <v>0</v>
      </c>
    </row>
    <row r="9" spans="1:10">
      <c r="A9" s="1" t="s">
        <v>79</v>
      </c>
      <c r="B9" s="13" t="str">
        <f>B5+B7</f>
        <v>0</v>
      </c>
    </row>
    <row r="11" spans="1:10">
      <c r="B11" t="s">
        <v>221</v>
      </c>
      <c r="E11" s="458">
        <v>0</v>
      </c>
    </row>
    <row r="12" spans="1:10">
      <c r="B12" t="s">
        <v>222</v>
      </c>
      <c r="E12" s="458">
        <v>2</v>
      </c>
    </row>
    <row r="13" spans="1:10">
      <c r="B13" t="s">
        <v>223</v>
      </c>
      <c r="E13" s="458">
        <v>90</v>
      </c>
    </row>
    <row r="14" spans="1:10">
      <c r="B14" t="s">
        <v>224</v>
      </c>
      <c r="E14" s="458">
        <v>66</v>
      </c>
    </row>
    <row r="15" spans="1:10" customHeight="1" ht="12.75"/>
    <row r="16" spans="1:10" customHeight="1" ht="12.75">
      <c r="B16" s="1100" t="s">
        <v>82</v>
      </c>
      <c r="C16" s="1101"/>
      <c r="D16" s="1101"/>
      <c r="E16" s="1102"/>
    </row>
    <row r="17" spans="1:10" customHeight="1" ht="12.75">
      <c r="B17" s="994" t="s">
        <v>83</v>
      </c>
      <c r="C17" s="990"/>
      <c r="D17" s="994" t="s">
        <v>84</v>
      </c>
      <c r="E17" s="990"/>
    </row>
    <row r="18" spans="1:10">
      <c r="A18" s="546" t="s">
        <v>139</v>
      </c>
      <c r="B18" s="550" t="s">
        <v>85</v>
      </c>
      <c r="C18" s="549" t="s">
        <v>86</v>
      </c>
      <c r="D18" s="550" t="s">
        <v>85</v>
      </c>
      <c r="E18" s="549" t="s">
        <v>86</v>
      </c>
    </row>
    <row r="19" spans="1:10">
      <c r="A19" s="547" t="s">
        <v>49</v>
      </c>
      <c r="B19" s="551">
        <v>0</v>
      </c>
      <c r="C19" s="552" t="str">
        <f>$E$11</f>
        <v>0</v>
      </c>
      <c r="D19" s="551" t="str">
        <f>$E$13</f>
        <v>0</v>
      </c>
      <c r="E19" s="552" t="str">
        <f>$E$14</f>
        <v>0</v>
      </c>
    </row>
    <row r="20" spans="1:10">
      <c r="A20" s="547" t="s">
        <v>141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7" t="s">
        <v>142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7" t="s">
        <v>87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7" t="s">
        <v>162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7" t="s">
        <v>163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7" t="s">
        <v>226</v>
      </c>
      <c r="B25" s="538" t="str">
        <f>-2*E12</f>
        <v>0</v>
      </c>
      <c r="C25" s="539" t="str">
        <f>$E$11</f>
        <v>0</v>
      </c>
      <c r="D25" s="538" t="str">
        <f>$E$13</f>
        <v>0</v>
      </c>
      <c r="E25" s="539" t="str">
        <f>$E$14</f>
        <v>0</v>
      </c>
    </row>
    <row r="26" spans="1:10" customHeight="1" ht="12.75">
      <c r="A26" s="548" t="s">
        <v>227</v>
      </c>
      <c r="B26" s="540" t="str">
        <f>-2*E12</f>
        <v>0</v>
      </c>
      <c r="C26" s="541" t="str">
        <f>$E$11</f>
        <v>0</v>
      </c>
      <c r="D26" s="540" t="str">
        <f>$E$13</f>
        <v>0</v>
      </c>
      <c r="E26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H - INPUT</vt:lpstr>
      <vt:lpstr>Opening H</vt:lpstr>
      <vt:lpstr>Panel H</vt:lpstr>
      <vt:lpstr>Frames</vt:lpstr>
      <vt:lpstr>BF - INPUT</vt:lpstr>
      <vt:lpstr>Opening BF</vt:lpstr>
      <vt:lpstr>Panel BF</vt:lpstr>
      <vt:lpstr>BP - INPUT</vt:lpstr>
      <vt:lpstr>Opening BP</vt:lpstr>
      <vt:lpstr>Panel BP</vt:lpstr>
      <vt:lpstr>Panel Details</vt:lpstr>
      <vt:lpstr>Stiles</vt:lpstr>
      <vt:lpstr>Hardware</vt:lpstr>
      <vt:lpstr>Tracks&amp;Frames</vt:lpstr>
      <vt:lpstr>H - MO</vt:lpstr>
      <vt:lpstr>BF - MO</vt:lpstr>
      <vt:lpstr>BP - MO</vt:lpstr>
      <vt:lpstr>Stock</vt:lpstr>
    </vt:vector>
  </TitlesOfParts>
  <Company>Microsoft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Manager</dc:creator>
  <cp:lastModifiedBy>Rachel Mogano</cp:lastModifiedBy>
  <dcterms:created xsi:type="dcterms:W3CDTF">2015-10-19T10:52:05+02:00</dcterms:created>
  <dcterms:modified xsi:type="dcterms:W3CDTF">2018-02-16T10:47:42+02:00</dcterms:modified>
  <dc:title/>
  <dc:description/>
  <dc:subject/>
  <cp:keywords/>
  <cp:category/>
</cp:coreProperties>
</file>