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MO'!$A$1:$N$61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<sst xmlns="http://schemas.openxmlformats.org/spreadsheetml/2006/main" uniqueCount="705">
  <si>
    <t>AMERICAN shutters/ Dealer</t>
  </si>
  <si>
    <t>AS Cape Town</t>
  </si>
  <si>
    <t>Order Number</t>
  </si>
  <si>
    <t>test php7</t>
  </si>
  <si>
    <t>Order Colour</t>
  </si>
  <si>
    <t>Satin White</t>
  </si>
  <si>
    <t>Key all same</t>
  </si>
  <si>
    <t>Yes</t>
  </si>
  <si>
    <t>Consultant/ Dealer Name</t>
  </si>
  <si>
    <t>Rachel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</si>
  <si>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</si>
  <si>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</si>
  <si>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</si>
  <si>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</si>
  <si>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</si>
  <si>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</si>
  <si>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</si>
  <si>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</si>
  <si>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</si>
  <si>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</si>
  <si>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</si>
  <si>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</si>
  <si>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</si>
  <si>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</si>
  <si>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</si>
  <si>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</si>
  <si>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</si>
  <si>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</si>
  <si>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</si>
  <si>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</si>
  <si>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</si>
  <si>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</si>
  <si>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</si>
  <si>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</si>
  <si>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</si>
  <si>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</si>
  <si>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</si>
  <si>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</si>
  <si>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</si>
  <si>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</si>
  <si>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</si>
  <si>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</si>
  <si>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</si>
  <si>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</si>
  <si>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</si>
  <si>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</si>
  <si>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</si>
  <si>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</si>
  <si>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</si>
  <si>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</si>
  <si>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</si>
  <si>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</si>
  <si>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</si>
  <si>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Internal</t>
  </si>
  <si>
    <t>Hinged</t>
  </si>
  <si>
    <t>Top Rail</t>
  </si>
  <si>
    <t>No Frame</t>
  </si>
  <si>
    <t>Inside Reveal</t>
  </si>
  <si>
    <t>Window Size</t>
  </si>
  <si>
    <t>Centre of Panel</t>
  </si>
  <si>
    <t>1 side</t>
  </si>
  <si>
    <t>Yes, white</t>
  </si>
  <si>
    <t>N/A</t>
  </si>
  <si>
    <t>Above bottom rail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</si>
  <si>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</si>
  <si>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</si>
  <si>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</si>
  <si>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</si>
  <si>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</si>
  <si>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</si>
  <si>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</si>
  <si>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</si>
  <si>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</si>
  <si>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</si>
  <si>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</si>
  <si>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</si>
  <si>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</si>
  <si>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</si>
  <si>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</si>
  <si>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</si>
  <si>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</si>
  <si>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</si>
  <si>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</si>
  <si>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</si>
  <si>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</si>
  <si>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</si>
  <si>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</si>
  <si>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</si>
  <si>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</si>
  <si>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</si>
  <si>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</si>
  <si>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</si>
  <si>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</si>
  <si>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</si>
  <si>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</si>
  <si>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</si>
  <si>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</si>
  <si>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</si>
  <si>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</si>
  <si>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</si>
  <si>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</si>
  <si>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</si>
  <si>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</si>
  <si>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</si>
  <si>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</si>
  <si>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</si>
  <si>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</si>
  <si>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</si>
  <si>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</si>
  <si>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</si>
  <si>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</si>
  <si>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</si>
  <si>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</si>
  <si>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</si>
  <si>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</si>
  <si>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</si>
  <si>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</si>
  <si>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</si>
  <si>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</si>
  <si>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</si>
  <si>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</si>
  <si>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</si>
  <si>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</si>
  <si>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</si>
  <si>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</si>
  <si>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</si>
  <si>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</si>
  <si>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</si>
  <si>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</si>
  <si>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</si>
  <si>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</si>
  <si>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</si>
  <si>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</si>
  <si>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</si>
  <si>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</si>
  <si>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</si>
  <si>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</si>
  <si>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</si>
  <si>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</si>
  <si>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</si>
  <si>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</si>
  <si>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</si>
  <si>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</si>
  <si>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</si>
  <si>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</si>
  <si>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</si>
  <si>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</si>
  <si>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</si>
  <si>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</si>
  <si>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</si>
  <si>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</si>
  <si>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</si>
  <si>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</si>
  <si>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</si>
  <si>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</si>
  <si>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</si>
  <si>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</si>
  <si>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</si>
  <si>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</si>
  <si>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</si>
  <si>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</si>
  <si>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</si>
  <si>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</si>
  <si>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</si>
  <si>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</si>
  <si>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</si>
  <si>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</si>
  <si>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</si>
  <si>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</si>
  <si>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</si>
  <si>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</si>
  <si>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</si>
  <si>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</si>
  <si>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</si>
  <si>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</si>
  <si>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</si>
  <si>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</si>
  <si>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</si>
  <si>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</si>
  <si>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</si>
  <si>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</si>
  <si>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</si>
  <si>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</si>
  <si>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</si>
  <si>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</si>
  <si>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</si>
  <si>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</si>
  <si>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</si>
  <si>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</si>
  <si>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</si>
  <si>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</si>
  <si>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</si>
  <si>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</si>
  <si>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</si>
  <si>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</si>
  <si>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</si>
  <si>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</si>
  <si>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</si>
  <si>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</si>
  <si>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</si>
  <si>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</si>
  <si>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</si>
  <si>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</si>
  <si>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</si>
  <si>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</si>
  <si>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</si>
  <si>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</si>
  <si>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</si>
  <si>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</si>
  <si>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</si>
  <si>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</si>
  <si>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</si>
  <si>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</si>
  <si>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</si>
  <si>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</si>
  <si>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</si>
  <si>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</si>
  <si>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</si>
  <si>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</si>
  <si>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</si>
  <si>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</si>
  <si>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</si>
  <si>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</si>
  <si>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</si>
  <si>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</si>
  <si>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</si>
  <si>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</si>
  <si>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</si>
  <si>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</si>
  <si>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</si>
  <si>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</si>
  <si>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</si>
  <si>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</si>
  <si>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</si>
  <si>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</si>
  <si>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</si>
  <si>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</si>
  <si>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</si>
  <si>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</si>
  <si>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</si>
  <si>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</si>
  <si>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</si>
  <si>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</si>
  <si>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</si>
  <si>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</si>
  <si>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</si>
  <si>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</si>
  <si>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</si>
  <si>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</si>
  <si>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</si>
  <si>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</si>
  <si>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</si>
  <si>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</si>
  <si>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</si>
  <si>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</si>
  <si>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</si>
  <si>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</si>
  <si>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</si>
  <si>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</si>
  <si>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</si>
  <si>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</si>
  <si>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</si>
  <si>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</si>
  <si>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</si>
  <si>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</si>
  <si>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</si>
  <si>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</si>
  <si>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</si>
  <si>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</si>
  <si>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</si>
  <si>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</si>
  <si>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</si>
  <si>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</si>
  <si>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</si>
  <si>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</si>
  <si>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</si>
  <si>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</si>
  <si>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</si>
  <si>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</si>
  <si>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</si>
  <si>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</si>
  <si>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</si>
  <si>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</si>
  <si>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</si>
  <si>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</si>
  <si>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</si>
  <si>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</si>
  <si>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</si>
  <si>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</si>
  <si>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</si>
  <si>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</si>
  <si>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</si>
  <si>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</si>
  <si>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</si>
  <si>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</si>
  <si>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</si>
  <si>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</si>
  <si>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</si>
  <si>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</si>
  <si>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</si>
  <si>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</si>
  <si>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</si>
  <si>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</si>
  <si>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</si>
  <si>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</si>
  <si>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</si>
  <si>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</si>
  <si>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</si>
  <si>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</si>
  <si>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</si>
  <si>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</si>
  <si>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</si>
  <si>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</si>
  <si>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</si>
  <si>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</si>
  <si>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</si>
  <si>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</si>
  <si>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</si>
  <si>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</si>
  <si>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</si>
  <si>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</si>
  <si>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</si>
  <si>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</si>
  <si>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</si>
  <si>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</si>
  <si>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</si>
  <si>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</si>
  <si>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</si>
  <si>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</si>
  <si>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</si>
  <si>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</si>
  <si>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</si>
  <si>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</si>
  <si>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</si>
  <si>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</si>
  <si>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</si>
  <si>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</si>
  <si>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</si>
  <si>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</si>
  <si>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</si>
  <si>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</si>
  <si>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</si>
  <si>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</si>
  <si>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</si>
  <si>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</si>
  <si>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</si>
  <si>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</si>
  <si>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</si>
  <si>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</si>
  <si>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</si>
  <si>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</si>
  <si>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</si>
  <si>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</si>
  <si>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</si>
  <si>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</si>
  <si>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</si>
  <si>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</si>
  <si>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</si>
  <si>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</si>
  <si>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</si>
  <si>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</si>
  <si>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</si>
  <si>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</si>
  <si>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</si>
  <si>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</si>
  <si>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</si>
  <si>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</si>
  <si>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</si>
  <si>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</si>
  <si>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</si>
  <si>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</si>
  <si>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</si>
  <si>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</si>
  <si>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</si>
  <si>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</si>
  <si>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</si>
  <si>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</si>
  <si>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</si>
  <si>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</si>
  <si>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</si>
  <si>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</si>
  <si>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</si>
  <si>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</si>
  <si>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</si>
  <si>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</si>
  <si>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</si>
  <si>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</si>
  <si>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</si>
  <si>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</si>
  <si>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</si>
  <si>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</si>
  <si>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</si>
  <si>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</si>
  <si>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</si>
  <si>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</si>
  <si>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</si>
  <si>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</si>
  <si>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</si>
  <si>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</si>
  <si>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</si>
  <si>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</si>
  <si>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</si>
  <si>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</si>
  <si>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</si>
  <si>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</si>
  <si>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</si>
  <si>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</si>
  <si>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</si>
  <si>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</si>
  <si>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</si>
  <si>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</si>
  <si>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</si>
  <si>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</si>
  <si>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</si>
  <si>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</si>
  <si>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</si>
  <si>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</si>
  <si>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</si>
  <si>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</si>
  <si>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</si>
  <si>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</si>
  <si>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</si>
  <si>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</si>
  <si>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</si>
  <si>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</si>
  <si>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</si>
  <si>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</si>
  <si>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</si>
  <si>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</si>
  <si>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</si>
  <si>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</si>
  <si>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</si>
  <si>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</si>
  <si>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</si>
  <si>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</si>
  <si>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</si>
  <si>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</si>
  <si>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</si>
  <si>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</si>
  <si>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</si>
  <si>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</si>
  <si>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</si>
  <si>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</si>
  <si>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</si>
  <si>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</si>
  <si>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</si>
  <si>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</si>
  <si>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</si>
  <si>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</si>
  <si>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</si>
  <si>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</si>
  <si>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</si>
  <si>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</si>
  <si>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</si>
  <si>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</si>
  <si>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</si>
  <si>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</si>
  <si>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</si>
  <si>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</si>
  <si>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</si>
  <si>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</si>
  <si>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</si>
  <si>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</si>
  <si>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</si>
  <si>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</si>
  <si>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</si>
  <si>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</si>
  <si>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</si>
  <si>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</si>
  <si>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</si>
  <si>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</si>
  <si>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</si>
  <si>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</si>
  <si>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</si>
  <si>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</si>
  <si>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</si>
  <si>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</si>
  <si>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</si>
  <si>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</si>
  <si>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</si>
  <si>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</si>
  <si>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</si>
  <si>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</si>
  <si>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</si>
  <si>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</si>
  <si>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</si>
  <si>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</si>
  <si>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</si>
  <si>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</si>
  <si>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</si>
  <si>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</si>
  <si>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</si>
  <si>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</si>
  <si>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</si>
  <si>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</si>
  <si>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</si>
  <si>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</si>
  <si>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</si>
  <si>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</si>
  <si>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</si>
  <si>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</si>
  <si>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</si>
  <si>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</si>
  <si>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</si>
  <si>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</si>
  <si>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</si>
  <si>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</si>
  <si>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</si>
  <si>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</si>
  <si>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</si>
  <si>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</si>
  <si>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</si>
  <si>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</si>
  <si>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</si>
  <si>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</si>
  <si>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</si>
  <si>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</si>
  <si>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</si>
  <si>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</si>
  <si>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</si>
  <si>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</si>
  <si>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</si>
  <si>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</si>
  <si>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</si>
  <si>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</si>
  <si>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</si>
  <si>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</si>
  <si>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</si>
  <si>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</si>
  <si>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</si>
  <si>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</si>
  <si>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</si>
  <si>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</si>
  <si>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</si>
  <si>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</si>
  <si>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</si>
  <si>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</si>
  <si>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</si>
  <si>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</si>
  <si>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</si>
  <si>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</si>
  <si>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</si>
  <si>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</si>
  <si>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</si>
  <si>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</si>
  <si>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</si>
  <si>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</si>
  <si>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</si>
  <si>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</si>
  <si>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</si>
  <si>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</si>
  <si>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</si>
  <si>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</si>
  <si>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</si>
  <si>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</si>
  <si>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</si>
  <si>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</si>
  <si>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</si>
  <si>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</si>
  <si>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</si>
  <si>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</si>
  <si>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</si>
  <si>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</si>
  <si>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</si>
  <si>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</si>
  <si>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</si>
  <si>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</si>
  <si>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</si>
  <si>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</si>
  <si>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</si>
  <si>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</si>
  <si>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</si>
  <si>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</si>
  <si>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</si>
  <si>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</si>
  <si>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</si>
  <si>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</si>
  <si>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</si>
  <si>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</si>
  <si>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</si>
  <si>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</si>
  <si>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</si>
  <si>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</si>
  <si>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</si>
  <si>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</si>
  <si>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</si>
  <si>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</si>
  <si>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</si>
  <si>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</si>
  <si>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</si>
  <si>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</si>
  <si>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</si>
  <si>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</si>
  <si>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</si>
  <si>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</si>
  <si>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Plug 5mm</t>
  </si>
  <si>
    <t>Plug 8mm</t>
  </si>
  <si>
    <t>Cap - 12mm nut cover</t>
  </si>
  <si>
    <t>Sundries</t>
  </si>
  <si>
    <t>Hinge 100mm</t>
  </si>
  <si>
    <t>Hinge spacers</t>
  </si>
  <si>
    <t>Dust Keeps</t>
  </si>
  <si>
    <t>Clear bumpers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</si>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</sst>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6" numFmtId="0" fillId="6" borderId="54" applyFont="1" applyNumberFormat="0" applyFill="1" applyBorder="1" applyAlignment="1">
      <alignment horizontal="center" vertical="bottom" textRotation="0" wrapText="false" shrinkToFit="false"/>
    </xf>
    <xf xfId="0" fontId="6" numFmtId="0" fillId="6" borderId="55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righ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true" shrinkToFit="false"/>
    </xf>
    <xf xfId="0" fontId="6" numFmtId="0" fillId="6" borderId="155" applyFont="1" applyNumberFormat="0" applyFill="1" applyBorder="1" applyAlignment="1">
      <alignment horizontal="center" vertical="top" textRotation="0" wrapText="true" shrinkToFit="false"/>
    </xf>
    <xf xfId="0" fontId="6" numFmtId="0" fillId="6" borderId="156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2" borderId="98" applyFont="1" applyNumberFormat="0" applyFill="0" applyBorder="1" applyAlignment="1">
      <alignment horizontal="center" vertical="center" textRotation="0" wrapText="true" shrinkToFit="false"/>
    </xf>
    <xf xfId="0" fontId="6" numFmtId="0" fillId="2" borderId="159" applyFont="1" applyNumberFormat="0" applyFill="0" applyBorder="1" applyAlignment="1">
      <alignment horizontal="center" vertical="center" textRotation="0" wrapText="true" shrinkToFit="false"/>
    </xf>
    <xf xfId="0" fontId="6" numFmtId="0" fillId="2" borderId="98" applyFont="1" applyNumberFormat="0" applyFill="0" applyBorder="1" applyAlignment="1">
      <alignment horizontal="center" vertical="top" textRotation="0" wrapText="true" shrinkToFit="false"/>
    </xf>
    <xf xfId="0" fontId="6" numFmtId="0" fillId="2" borderId="155" applyFont="1" applyNumberFormat="0" applyFill="0" applyBorder="1" applyAlignment="1">
      <alignment horizontal="center" vertical="top" textRotation="0" wrapText="true" shrinkToFit="false"/>
    </xf>
    <xf xfId="0" fontId="6" numFmtId="0" fillId="2" borderId="156" applyFont="1" applyNumberFormat="0" applyFill="0" applyBorder="1" applyAlignment="1">
      <alignment horizontal="center" vertical="top" textRotation="0" wrapText="true" shrinkToFit="false"/>
    </xf>
    <xf xfId="0" fontId="6" numFmtId="0" fillId="2" borderId="159" applyFont="1" applyNumberFormat="0" applyFill="0" applyBorder="1" applyAlignment="1">
      <alignment horizontal="center" vertical="top" textRotation="0" wrapText="true" shrinkToFit="false"/>
    </xf>
    <xf xfId="0" fontId="6" numFmtId="0" fillId="2" borderId="160" applyFont="1" applyNumberFormat="0" applyFill="0" applyBorder="1" applyAlignment="1">
      <alignment horizontal="center" vertical="center" textRotation="0" wrapText="true" shrinkToFit="false"/>
    </xf>
    <xf xfId="0" fontId="6" numFmtId="0" fillId="2" borderId="156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2" borderId="175" applyFont="1" applyNumberFormat="0" applyFill="0" applyBorder="1" applyAlignment="1">
      <alignment horizontal="left" vertical="top" textRotation="0" wrapText="true" shrinkToFit="false"/>
    </xf>
    <xf xfId="0" fontId="6" numFmtId="0" fillId="6" borderId="144" applyFont="1" applyNumberFormat="0" applyFill="1" applyBorder="1" applyAlignment="1">
      <alignment horizontal="left" vertical="center" textRotation="0" wrapText="true" shrinkToFit="false"/>
    </xf>
    <xf xfId="0" fontId="6" numFmtId="0" fillId="6" borderId="150" applyFont="1" applyNumberFormat="0" applyFill="1" applyBorder="1" applyAlignment="1">
      <alignment horizontal="left" vertical="center" textRotation="0" wrapText="true" shrinkToFit="false"/>
    </xf>
    <xf xfId="0" fontId="6" numFmtId="0" fillId="6" borderId="151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4" applyFont="1" applyNumberFormat="0" applyFill="1" applyBorder="1" applyAlignment="1">
      <alignment horizontal="center" vertical="center" textRotation="0" wrapText="false" shrinkToFit="false"/>
    </xf>
    <xf xfId="0" fontId="6" numFmtId="0" fillId="8" borderId="150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8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false" shrinkToFit="false"/>
    </xf>
    <xf xfId="0" fontId="6" numFmtId="0" fillId="6" borderId="150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4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5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8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false" shrinkToFit="false"/>
    </xf>
    <xf xfId="0" fontId="6" numFmtId="0" fillId="6" borderId="150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7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59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4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52" applyFont="1" applyNumberFormat="0" applyFill="1" applyBorder="1" applyAlignment="1">
      <alignment horizontal="center" vertical="top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2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155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5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3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3" applyFont="1" applyNumberFormat="0" applyFill="1" applyBorder="1" applyAlignment="1">
      <alignment horizontal="center" vertical="bottom" textRotation="0" wrapText="false" shrinkToFit="false"/>
    </xf>
    <xf xfId="0" fontId="14" numFmtId="0" fillId="5" borderId="146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7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50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false" shrinkToFit="false"/>
    </xf>
    <xf xfId="0" fontId="14" numFmtId="0" fillId="5" borderId="150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2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2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64" applyFont="1" applyNumberFormat="0" applyFill="1" applyBorder="1" applyAlignment="1">
      <alignment horizontal="left" vertical="top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2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2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64" applyFont="1" applyNumberFormat="0" applyFill="1" applyBorder="1" applyAlignment="1">
      <alignment horizontal="left" vertical="top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19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W14" sqref="W14"/>
    </sheetView>
  </sheetViews>
  <sheetFormatPr defaultRowHeight="14.4" outlineLevelRow="0" outlineLevelCol="0"/>
  <cols>
    <col min="1" max="1" width="4.83203125" customWidth="true" style="701"/>
    <col min="2" max="2" width="4.83203125" customWidth="true" style="701"/>
    <col min="3" max="3" width="14.1640625" customWidth="true" style="701"/>
    <col min="4" max="4" width="10.83203125" customWidth="true" style="702"/>
    <col min="5" max="5" width="8.6640625" customWidth="true" style="701"/>
    <col min="6" max="6" width="10.83203125" customWidth="true" style="701"/>
    <col min="7" max="7" width="14.5" customWidth="true" style="701"/>
    <col min="8" max="8" width="9.33203125" customWidth="true" style="701"/>
    <col min="9" max="9" width="11.33203125" customWidth="true" style="701"/>
    <col min="10" max="10" width="3.6640625" customWidth="true" style="701"/>
    <col min="11" max="11" width="4.6640625" customWidth="true" style="701"/>
    <col min="12" max="12" width="3.6640625" customWidth="true" style="701"/>
    <col min="13" max="13" width="4.6640625" customWidth="true" style="701"/>
    <col min="14" max="14" width="3.6640625" customWidth="true" style="701"/>
    <col min="15" max="15" width="4.6640625" customWidth="true" style="701"/>
    <col min="16" max="16" width="3.6640625" customWidth="true" style="701"/>
    <col min="17" max="17" width="4.6640625" customWidth="true" style="701"/>
    <col min="18" max="18" width="12.5" customWidth="true" style="701"/>
    <col min="19" max="19" width="11.5" customWidth="true" style="701"/>
    <col min="20" max="20" width="11.5" customWidth="true" style="701"/>
    <col min="21" max="21" width="11.5" customWidth="true" style="701"/>
    <col min="22" max="22" width="13.1640625" customWidth="true" style="701"/>
    <col min="23" max="23" width="13.1640625" customWidth="true" style="701"/>
    <col min="24" max="24" width="11.1640625" customWidth="true" style="701"/>
    <col min="25" max="25" width="11.33203125" customWidth="true" style="701"/>
    <col min="26" max="26" width="11.33203125" customWidth="true" style="701"/>
    <col min="27" max="27" width="17.33203125" customWidth="true" style="701"/>
    <col min="28" max="28" width="9.33203125" customWidth="true" style="701"/>
  </cols>
  <sheetData>
    <row r="1" spans="1:28" customHeight="1" ht="6"/>
    <row r="2" spans="1:28" customHeight="1" ht="17.25">
      <c r="A2" s="703" t="s">
        <v>0</v>
      </c>
      <c r="B2" s="704"/>
      <c r="C2" s="705"/>
      <c r="D2" s="705"/>
      <c r="E2" s="706"/>
      <c r="F2" s="947" t="s">
        <v>1</v>
      </c>
      <c r="G2" s="948"/>
      <c r="H2" s="707" t="s">
        <v>2</v>
      </c>
      <c r="I2" s="708"/>
      <c r="J2" s="944" t="s">
        <v>3</v>
      </c>
      <c r="K2" s="945"/>
      <c r="L2" s="945"/>
      <c r="M2" s="945"/>
      <c r="N2" s="945"/>
      <c r="O2" s="945"/>
      <c r="P2" s="945"/>
      <c r="Q2" s="945"/>
      <c r="R2" s="946"/>
      <c r="S2" s="958" t="s">
        <v>4</v>
      </c>
      <c r="T2" s="959"/>
      <c r="U2" s="949" t="s">
        <v>5</v>
      </c>
      <c r="V2" s="950"/>
      <c r="W2" s="707" t="s">
        <v>6</v>
      </c>
      <c r="X2" s="705"/>
      <c r="Y2" s="944" t="s">
        <v>7</v>
      </c>
      <c r="Z2" s="945"/>
      <c r="AA2" s="946"/>
    </row>
    <row r="3" spans="1:28" customHeight="1" ht="18">
      <c r="A3" s="709" t="s">
        <v>8</v>
      </c>
      <c r="B3" s="710"/>
      <c r="C3" s="710"/>
      <c r="D3" s="711"/>
      <c r="E3" s="712"/>
      <c r="F3" s="953" t="s">
        <v>9</v>
      </c>
      <c r="G3" s="954"/>
      <c r="H3" s="713" t="s">
        <v>10</v>
      </c>
      <c r="I3" s="714"/>
      <c r="J3" s="955" t="s">
        <v>3</v>
      </c>
      <c r="K3" s="956"/>
      <c r="L3" s="956"/>
      <c r="M3" s="956"/>
      <c r="N3" s="956"/>
      <c r="O3" s="956"/>
      <c r="P3" s="956"/>
      <c r="Q3" s="956"/>
      <c r="R3" s="957"/>
      <c r="S3" s="960"/>
      <c r="T3" s="961"/>
      <c r="U3" s="951"/>
      <c r="V3" s="952"/>
      <c r="W3" s="715" t="s">
        <v>11</v>
      </c>
      <c r="X3" s="710"/>
      <c r="Y3" s="716"/>
      <c r="Z3" s="717"/>
      <c r="AA3" s="718"/>
    </row>
    <row r="4" spans="1:28" customHeight="1" ht="6.75">
      <c r="A4" s="719"/>
      <c r="B4" s="719"/>
      <c r="C4" s="719"/>
      <c r="D4" s="719"/>
      <c r="E4" s="719"/>
      <c r="F4" s="719"/>
      <c r="G4" s="719"/>
      <c r="H4" s="719"/>
      <c r="I4" s="719"/>
      <c r="J4" s="719"/>
      <c r="K4" s="719"/>
      <c r="L4" s="719"/>
      <c r="M4" s="719"/>
      <c r="N4" s="719"/>
      <c r="O4" s="719"/>
      <c r="P4" s="719"/>
      <c r="Q4" s="719"/>
      <c r="R4" s="719"/>
      <c r="S4" s="719"/>
      <c r="T4" s="719"/>
      <c r="U4" s="719"/>
      <c r="V4" s="719"/>
      <c r="W4" s="719"/>
      <c r="X4" s="719"/>
      <c r="Y4" s="719"/>
      <c r="Z4" s="719"/>
      <c r="AA4" s="719"/>
    </row>
    <row r="5" spans="1:28" customHeight="1" ht="15">
      <c r="A5" s="901" t="s">
        <v>12</v>
      </c>
      <c r="B5" s="898" t="s">
        <v>13</v>
      </c>
      <c r="C5" s="898" t="s">
        <v>14</v>
      </c>
      <c r="D5" s="898" t="s">
        <v>15</v>
      </c>
      <c r="E5" s="898" t="s">
        <v>16</v>
      </c>
      <c r="F5" s="720" t="s">
        <v>17</v>
      </c>
      <c r="G5" s="720" t="s">
        <v>18</v>
      </c>
      <c r="H5" s="898" t="s">
        <v>19</v>
      </c>
      <c r="I5" s="721" t="s">
        <v>20</v>
      </c>
      <c r="J5" s="915" t="s">
        <v>21</v>
      </c>
      <c r="K5" s="916"/>
      <c r="L5" s="916"/>
      <c r="M5" s="916"/>
      <c r="N5" s="916"/>
      <c r="O5" s="916"/>
      <c r="P5" s="916"/>
      <c r="Q5" s="917"/>
      <c r="R5" s="720" t="s">
        <v>22</v>
      </c>
      <c r="S5" s="938" t="s">
        <v>23</v>
      </c>
      <c r="T5" s="939"/>
      <c r="U5" s="720" t="s">
        <v>24</v>
      </c>
      <c r="V5" s="877" t="s">
        <v>25</v>
      </c>
      <c r="W5" s="877"/>
      <c r="X5" s="720" t="s">
        <v>26</v>
      </c>
      <c r="Y5" s="877" t="s">
        <v>27</v>
      </c>
      <c r="Z5" s="877"/>
      <c r="AA5" s="878" t="s">
        <v>28</v>
      </c>
    </row>
    <row r="6" spans="1:28" customHeight="1" ht="15">
      <c r="A6" s="902"/>
      <c r="B6" s="899"/>
      <c r="C6" s="899"/>
      <c r="D6" s="899"/>
      <c r="E6" s="904"/>
      <c r="F6" s="881" t="s">
        <v>16</v>
      </c>
      <c r="G6" s="883" t="s">
        <v>16</v>
      </c>
      <c r="H6" s="899"/>
      <c r="I6" s="883" t="s">
        <v>16</v>
      </c>
      <c r="J6" s="885" t="s">
        <v>29</v>
      </c>
      <c r="K6" s="886"/>
      <c r="L6" s="886"/>
      <c r="M6" s="886"/>
      <c r="N6" s="886"/>
      <c r="O6" s="886"/>
      <c r="P6" s="886"/>
      <c r="Q6" s="887"/>
      <c r="R6" s="883" t="s">
        <v>30</v>
      </c>
      <c r="S6" s="883" t="s">
        <v>31</v>
      </c>
      <c r="T6" s="940" t="s">
        <v>32</v>
      </c>
      <c r="U6" s="883" t="s">
        <v>30</v>
      </c>
      <c r="V6" s="888" t="s">
        <v>33</v>
      </c>
      <c r="W6" s="940" t="s">
        <v>34</v>
      </c>
      <c r="X6" s="883" t="s">
        <v>16</v>
      </c>
      <c r="Y6" s="888" t="s">
        <v>16</v>
      </c>
      <c r="Z6" s="890" t="s">
        <v>35</v>
      </c>
      <c r="AA6" s="879"/>
    </row>
    <row r="7" spans="1:28">
      <c r="A7" s="902"/>
      <c r="B7" s="899"/>
      <c r="C7" s="899"/>
      <c r="D7" s="899"/>
      <c r="E7" s="904"/>
      <c r="F7" s="882"/>
      <c r="G7" s="884"/>
      <c r="H7" s="899"/>
      <c r="I7" s="884"/>
      <c r="J7" s="892" t="s">
        <v>36</v>
      </c>
      <c r="K7" s="893"/>
      <c r="L7" s="893"/>
      <c r="M7" s="893"/>
      <c r="N7" s="893"/>
      <c r="O7" s="893"/>
      <c r="P7" s="893"/>
      <c r="Q7" s="894"/>
      <c r="R7" s="884"/>
      <c r="S7" s="884"/>
      <c r="T7" s="941"/>
      <c r="U7" s="884"/>
      <c r="V7" s="889"/>
      <c r="W7" s="943"/>
      <c r="X7" s="884"/>
      <c r="Y7" s="889"/>
      <c r="Z7" s="891"/>
      <c r="AA7" s="879"/>
    </row>
    <row r="8" spans="1:28" customHeight="1" ht="30">
      <c r="A8" s="902"/>
      <c r="B8" s="899"/>
      <c r="C8" s="899"/>
      <c r="D8" s="899"/>
      <c r="E8" s="904"/>
      <c r="F8" s="882"/>
      <c r="G8" s="722" t="s">
        <v>37</v>
      </c>
      <c r="H8" s="899"/>
      <c r="I8" s="723" t="s">
        <v>38</v>
      </c>
      <c r="J8" s="895" t="s">
        <v>35</v>
      </c>
      <c r="K8" s="896"/>
      <c r="L8" s="896"/>
      <c r="M8" s="896"/>
      <c r="N8" s="896"/>
      <c r="O8" s="896"/>
      <c r="P8" s="896"/>
      <c r="Q8" s="897"/>
      <c r="R8" s="884"/>
      <c r="S8" s="722" t="s">
        <v>39</v>
      </c>
      <c r="T8" s="941"/>
      <c r="U8" s="884"/>
      <c r="V8" s="724" t="s">
        <v>40</v>
      </c>
      <c r="W8" s="725" t="s">
        <v>41</v>
      </c>
      <c r="X8" s="884"/>
      <c r="Y8" s="726" t="s">
        <v>42</v>
      </c>
      <c r="Z8" s="727" t="s">
        <v>43</v>
      </c>
      <c r="AA8" s="879"/>
    </row>
    <row r="9" spans="1:28" customHeight="1" ht="52.5">
      <c r="A9" s="903"/>
      <c r="B9" s="900"/>
      <c r="C9" s="900"/>
      <c r="D9" s="900"/>
      <c r="E9" s="905"/>
      <c r="F9" s="728" t="s">
        <v>44</v>
      </c>
      <c r="G9" s="729" t="s">
        <v>45</v>
      </c>
      <c r="H9" s="900"/>
      <c r="I9" s="730" t="s">
        <v>46</v>
      </c>
      <c r="J9" s="918" t="s">
        <v>47</v>
      </c>
      <c r="K9" s="919"/>
      <c r="L9" s="919"/>
      <c r="M9" s="919"/>
      <c r="N9" s="919"/>
      <c r="O9" s="919"/>
      <c r="P9" s="919"/>
      <c r="Q9" s="920"/>
      <c r="R9" s="729" t="s">
        <v>48</v>
      </c>
      <c r="S9" s="729" t="s">
        <v>48</v>
      </c>
      <c r="T9" s="942"/>
      <c r="U9" s="729" t="s">
        <v>48</v>
      </c>
      <c r="V9" s="731" t="s">
        <v>49</v>
      </c>
      <c r="W9" s="732" t="s">
        <v>50</v>
      </c>
      <c r="X9" s="729" t="s">
        <v>51</v>
      </c>
      <c r="Y9" s="733" t="s">
        <v>51</v>
      </c>
      <c r="Z9" s="732" t="s">
        <v>52</v>
      </c>
      <c r="AA9" s="880"/>
    </row>
    <row r="10" spans="1:28" customHeight="1" ht="8.25">
      <c r="A10" s="719"/>
      <c r="B10" s="719"/>
      <c r="C10" s="719"/>
      <c r="D10" s="719"/>
      <c r="E10" s="719"/>
      <c r="F10" s="719"/>
      <c r="G10" s="719"/>
      <c r="H10" s="719"/>
      <c r="I10" s="719"/>
      <c r="J10" s="719"/>
      <c r="K10" s="719"/>
      <c r="L10" s="719"/>
      <c r="M10" s="719"/>
      <c r="N10" s="719"/>
      <c r="O10" s="719"/>
      <c r="P10" s="719"/>
      <c r="Q10" s="719"/>
      <c r="R10" s="719"/>
      <c r="S10" s="719"/>
      <c r="T10" s="719"/>
      <c r="U10" s="719"/>
      <c r="V10" s="719"/>
      <c r="W10" s="719"/>
      <c r="X10" s="719"/>
      <c r="Y10" s="719"/>
      <c r="Z10" s="719"/>
      <c r="AA10" s="719"/>
    </row>
    <row r="11" spans="1:28" customHeight="1" ht="15">
      <c r="A11" s="906">
        <v>1</v>
      </c>
      <c r="B11" s="909">
        <v>1</v>
      </c>
      <c r="C11" s="912" t="s">
        <v>3</v>
      </c>
      <c r="D11" s="909" t="s">
        <v>53</v>
      </c>
      <c r="E11" s="909" t="s">
        <v>54</v>
      </c>
      <c r="F11" s="925" t="s">
        <v>55</v>
      </c>
      <c r="G11" s="927" t="s">
        <v>56</v>
      </c>
      <c r="H11" s="929" t="s">
        <v>57</v>
      </c>
      <c r="I11" s="929" t="s">
        <v>58</v>
      </c>
      <c r="J11" s="734"/>
      <c r="K11" s="735"/>
      <c r="L11" s="735"/>
      <c r="M11" s="735"/>
      <c r="N11" s="735"/>
      <c r="O11" s="735"/>
      <c r="P11" s="735"/>
      <c r="Q11" s="736"/>
      <c r="R11" s="921" t="s">
        <v>59</v>
      </c>
      <c r="S11" s="737" t="s">
        <v>60</v>
      </c>
      <c r="T11" s="977" t="s">
        <v>61</v>
      </c>
      <c r="U11" s="921" t="s">
        <v>59</v>
      </c>
      <c r="V11" s="738"/>
      <c r="W11" s="739"/>
      <c r="X11" s="925"/>
      <c r="Y11" s="963"/>
      <c r="Z11" s="965"/>
      <c r="AA11" s="967" t="s">
        <v>3</v>
      </c>
    </row>
    <row r="12" spans="1:28">
      <c r="A12" s="907"/>
      <c r="B12" s="910"/>
      <c r="C12" s="913"/>
      <c r="D12" s="910"/>
      <c r="E12" s="910"/>
      <c r="F12" s="926"/>
      <c r="G12" s="928"/>
      <c r="H12" s="930"/>
      <c r="I12" s="932"/>
      <c r="J12" s="970" t="s">
        <v>62</v>
      </c>
      <c r="K12" s="971"/>
      <c r="L12" s="971"/>
      <c r="M12" s="971"/>
      <c r="N12" s="971"/>
      <c r="O12" s="971"/>
      <c r="P12" s="971"/>
      <c r="Q12" s="972"/>
      <c r="R12" s="922"/>
      <c r="S12" s="922" t="s">
        <v>63</v>
      </c>
      <c r="T12" s="978"/>
      <c r="U12" s="922"/>
      <c r="V12" s="973"/>
      <c r="W12" s="980"/>
      <c r="X12" s="962"/>
      <c r="Y12" s="964"/>
      <c r="Z12" s="966"/>
      <c r="AA12" s="968"/>
    </row>
    <row r="13" spans="1:28">
      <c r="A13" s="907"/>
      <c r="B13" s="910"/>
      <c r="C13" s="913"/>
      <c r="D13" s="910"/>
      <c r="E13" s="910"/>
      <c r="F13" s="933" t="s">
        <v>3</v>
      </c>
      <c r="G13" s="740"/>
      <c r="H13" s="930"/>
      <c r="I13" s="741">
        <v>900</v>
      </c>
      <c r="J13" s="974">
        <v>1</v>
      </c>
      <c r="K13" s="975"/>
      <c r="L13" s="975"/>
      <c r="M13" s="975"/>
      <c r="N13" s="975"/>
      <c r="O13" s="975"/>
      <c r="P13" s="975"/>
      <c r="Q13" s="976"/>
      <c r="R13" s="922"/>
      <c r="S13" s="922"/>
      <c r="T13" s="978"/>
      <c r="U13" s="922"/>
      <c r="V13" s="973"/>
      <c r="W13" s="980"/>
      <c r="X13" s="926"/>
      <c r="Y13" s="742"/>
      <c r="Z13" s="743"/>
      <c r="AA13" s="968"/>
    </row>
    <row r="14" spans="1:28" customHeight="1" ht="15.75">
      <c r="A14" s="908"/>
      <c r="B14" s="911"/>
      <c r="C14" s="914"/>
      <c r="D14" s="911"/>
      <c r="E14" s="911"/>
      <c r="F14" s="934"/>
      <c r="G14" s="744"/>
      <c r="H14" s="931"/>
      <c r="I14" s="745">
        <v>1200</v>
      </c>
      <c r="J14" s="935"/>
      <c r="K14" s="936"/>
      <c r="L14" s="936"/>
      <c r="M14" s="936"/>
      <c r="N14" s="936"/>
      <c r="O14" s="936"/>
      <c r="P14" s="936"/>
      <c r="Q14" s="937"/>
      <c r="R14" s="746"/>
      <c r="S14" s="746"/>
      <c r="T14" s="979"/>
      <c r="U14" s="746"/>
      <c r="V14" s="747"/>
      <c r="W14" s="748"/>
      <c r="X14" s="744"/>
      <c r="Y14" s="749"/>
      <c r="Z14" s="750"/>
      <c r="AA14" s="969"/>
    </row>
    <row r="16" spans="1:28">
      <c r="B16" s="751" t="s">
        <v>0</v>
      </c>
      <c r="D16" s="701"/>
      <c r="F16" s="752" t="str">
        <f>IF(F2="AMERICAN Shutters","AS",F2)</f>
        <v>0</v>
      </c>
      <c r="G16" s="753"/>
      <c r="H16" s="754"/>
    </row>
    <row r="17" spans="1:28">
      <c r="B17" s="702" t="s">
        <v>64</v>
      </c>
      <c r="D17" s="701"/>
      <c r="F17" s="752" t="str">
        <f>F3</f>
        <v>0</v>
      </c>
      <c r="G17" s="753"/>
      <c r="H17" s="754"/>
    </row>
    <row r="18" spans="1:28">
      <c r="B18" s="702" t="s">
        <v>2</v>
      </c>
      <c r="D18" s="701"/>
      <c r="F18" s="752" t="str">
        <f>J2</f>
        <v>0</v>
      </c>
      <c r="G18" s="753"/>
      <c r="H18" s="754"/>
    </row>
    <row r="19" spans="1:28">
      <c r="B19" s="702" t="s">
        <v>10</v>
      </c>
      <c r="D19" s="701"/>
      <c r="F19" s="752" t="str">
        <f>J3</f>
        <v>0</v>
      </c>
      <c r="G19" s="753"/>
      <c r="H19" s="754"/>
    </row>
    <row r="20" spans="1:28">
      <c r="B20" s="702" t="s">
        <v>65</v>
      </c>
      <c r="D20" s="701"/>
      <c r="F20" s="752" t="str">
        <f>A11</f>
        <v>0</v>
      </c>
      <c r="G20" s="753"/>
      <c r="H20" s="754"/>
    </row>
    <row r="21" spans="1:28">
      <c r="B21" s="702" t="s">
        <v>66</v>
      </c>
      <c r="D21" s="701"/>
      <c r="F21" s="752" t="str">
        <f>B11</f>
        <v>0</v>
      </c>
      <c r="G21" s="753"/>
      <c r="H21" s="754"/>
    </row>
    <row r="22" spans="1:28">
      <c r="B22" s="702" t="s">
        <v>14</v>
      </c>
      <c r="D22" s="701"/>
      <c r="F22" s="752" t="str">
        <f>C11</f>
        <v>0</v>
      </c>
      <c r="G22" s="753"/>
      <c r="H22" s="754"/>
    </row>
    <row r="23" spans="1:28">
      <c r="B23" s="702" t="s">
        <v>15</v>
      </c>
      <c r="D23" s="701"/>
      <c r="F23" s="752" t="str">
        <f>D11</f>
        <v>0</v>
      </c>
      <c r="G23" s="753"/>
      <c r="H23" s="754"/>
    </row>
    <row r="24" spans="1:28">
      <c r="B24" s="702" t="s">
        <v>67</v>
      </c>
      <c r="D24" s="701"/>
      <c r="F24" s="752" t="str">
        <f>U2</f>
        <v>0</v>
      </c>
      <c r="G24" s="753"/>
      <c r="H24" s="754"/>
    </row>
    <row r="25" spans="1:28" customHeight="1" ht="3.75">
      <c r="B25" s="702"/>
      <c r="D25" s="701"/>
      <c r="F25" s="755"/>
      <c r="G25" s="756"/>
      <c r="H25" s="756"/>
    </row>
    <row r="26" spans="1:28">
      <c r="B26" s="702" t="s">
        <v>68</v>
      </c>
      <c r="D26" s="701"/>
      <c r="F26" s="752" t="str">
        <f>F11</f>
        <v>0</v>
      </c>
      <c r="G26" s="753"/>
      <c r="H26" s="754"/>
    </row>
    <row r="27" spans="1:28">
      <c r="B27" s="702" t="s">
        <v>69</v>
      </c>
      <c r="D27" s="701"/>
      <c r="F27" s="752" t="str">
        <f>F13</f>
        <v>0</v>
      </c>
      <c r="G27" s="753"/>
      <c r="H27" s="754"/>
    </row>
    <row r="28" spans="1:28" customHeight="1" ht="3.75">
      <c r="B28" s="702"/>
      <c r="D28" s="701"/>
      <c r="F28" s="755"/>
      <c r="G28" s="756"/>
      <c r="H28" s="756"/>
    </row>
    <row r="29" spans="1:28">
      <c r="B29" s="702" t="s">
        <v>70</v>
      </c>
      <c r="D29" s="701"/>
      <c r="F29" s="752" t="str">
        <f>G11</f>
        <v>0</v>
      </c>
      <c r="G29" s="753"/>
      <c r="H29" s="754"/>
    </row>
    <row r="30" spans="1:28">
      <c r="B30" s="702" t="s">
        <v>71</v>
      </c>
      <c r="D30" s="701"/>
      <c r="F30" s="752" t="str">
        <f>G13</f>
        <v>0</v>
      </c>
      <c r="G30" s="753"/>
      <c r="H30" s="754"/>
    </row>
    <row r="31" spans="1:28" customHeight="1" ht="3.75">
      <c r="B31" s="702"/>
      <c r="D31" s="701"/>
      <c r="F31" s="755"/>
      <c r="G31" s="756"/>
      <c r="H31" s="756"/>
    </row>
    <row r="32" spans="1:28">
      <c r="B32" s="702" t="s">
        <v>19</v>
      </c>
      <c r="D32" s="701"/>
      <c r="F32" s="752" t="str">
        <f>H11</f>
        <v>0</v>
      </c>
      <c r="G32" s="753"/>
      <c r="H32" s="754"/>
    </row>
    <row r="33" spans="1:28" customHeight="1" ht="3.75">
      <c r="B33" s="702"/>
      <c r="D33" s="701"/>
      <c r="F33" s="755"/>
      <c r="G33" s="756"/>
      <c r="H33" s="756"/>
    </row>
    <row r="34" spans="1:28">
      <c r="B34" s="702" t="s">
        <v>72</v>
      </c>
      <c r="D34" s="701"/>
      <c r="F34" s="752" t="str">
        <f>I11</f>
        <v>0</v>
      </c>
      <c r="G34" s="753"/>
      <c r="H34" s="754"/>
    </row>
    <row r="35" spans="1:28">
      <c r="B35" s="702" t="s">
        <v>73</v>
      </c>
      <c r="D35" s="701"/>
      <c r="F35" s="752" t="str">
        <f>I13</f>
        <v>0</v>
      </c>
      <c r="G35" s="753"/>
      <c r="H35" s="754"/>
    </row>
    <row r="36" spans="1:28">
      <c r="B36" s="702" t="s">
        <v>74</v>
      </c>
      <c r="D36" s="701"/>
      <c r="F36" s="752" t="str">
        <f>I14</f>
        <v>0</v>
      </c>
      <c r="G36" s="753"/>
      <c r="H36" s="754"/>
    </row>
    <row r="37" spans="1:28" customHeight="1" ht="3.75">
      <c r="B37" s="702"/>
      <c r="D37" s="701"/>
      <c r="F37" s="755"/>
      <c r="G37" s="756"/>
      <c r="H37" s="756"/>
    </row>
    <row r="38" spans="1:28">
      <c r="B38" s="702" t="s">
        <v>75</v>
      </c>
      <c r="D38" s="701"/>
      <c r="F38" s="752" t="str">
        <f>J12</f>
        <v>0</v>
      </c>
      <c r="G38" s="753"/>
      <c r="H38" s="754"/>
    </row>
    <row r="39" spans="1:28">
      <c r="B39" s="702" t="s">
        <v>76</v>
      </c>
      <c r="D39" s="701"/>
      <c r="F39" s="752" t="str">
        <f>J13</f>
        <v>0</v>
      </c>
      <c r="G39" s="753"/>
      <c r="H39" s="754"/>
    </row>
    <row r="40" spans="1:28" customHeight="1" ht="3.75">
      <c r="B40" s="702"/>
      <c r="D40" s="701"/>
      <c r="F40" s="755"/>
      <c r="G40" s="756"/>
      <c r="H40" s="756"/>
    </row>
    <row r="41" spans="1:28">
      <c r="B41" s="702" t="s">
        <v>77</v>
      </c>
      <c r="D41" s="701"/>
      <c r="F41" s="752" t="str">
        <f>R11</f>
        <v>0</v>
      </c>
      <c r="G41" s="753"/>
      <c r="H41" s="754"/>
    </row>
    <row r="42" spans="1:28">
      <c r="B42" s="702" t="s">
        <v>78</v>
      </c>
      <c r="D42" s="701"/>
      <c r="F42" s="752" t="str">
        <f>R14</f>
        <v>0</v>
      </c>
      <c r="G42" s="753"/>
      <c r="H42" s="754"/>
    </row>
    <row r="43" spans="1:28" customHeight="1" ht="3.75">
      <c r="B43" s="702"/>
      <c r="D43" s="701"/>
      <c r="F43" s="755"/>
      <c r="G43" s="756"/>
      <c r="H43" s="756"/>
    </row>
    <row r="44" spans="1:28">
      <c r="B44" s="702" t="s">
        <v>79</v>
      </c>
      <c r="D44" s="701"/>
      <c r="F44" s="752" t="str">
        <f>S11</f>
        <v>0</v>
      </c>
      <c r="G44" s="753"/>
      <c r="H44" s="754"/>
    </row>
    <row r="45" spans="1:28">
      <c r="B45" s="702" t="s">
        <v>80</v>
      </c>
      <c r="D45" s="701"/>
      <c r="F45" s="752" t="str">
        <f>S12</f>
        <v>0</v>
      </c>
      <c r="G45" s="753"/>
      <c r="H45" s="754"/>
    </row>
    <row r="46" spans="1:28">
      <c r="B46" s="702" t="s">
        <v>81</v>
      </c>
      <c r="D46" s="701"/>
      <c r="F46" s="752" t="str">
        <f>S14</f>
        <v>0</v>
      </c>
      <c r="G46" s="753"/>
      <c r="H46" s="754"/>
    </row>
    <row r="47" spans="1:28">
      <c r="B47" s="702" t="s">
        <v>32</v>
      </c>
      <c r="D47" s="701"/>
      <c r="F47" s="752" t="str">
        <f>T11</f>
        <v>0</v>
      </c>
      <c r="G47" s="753"/>
      <c r="H47" s="754"/>
    </row>
    <row r="48" spans="1:28" customHeight="1" ht="3.75">
      <c r="B48" s="702"/>
      <c r="D48" s="701"/>
      <c r="F48" s="755"/>
      <c r="G48" s="756"/>
      <c r="H48" s="756"/>
    </row>
    <row r="49" spans="1:28">
      <c r="B49" s="702" t="s">
        <v>82</v>
      </c>
      <c r="D49" s="701"/>
      <c r="F49" s="752" t="str">
        <f>U11</f>
        <v>0</v>
      </c>
      <c r="G49" s="753"/>
      <c r="H49" s="754"/>
    </row>
    <row r="50" spans="1:28">
      <c r="B50" s="702" t="s">
        <v>83</v>
      </c>
      <c r="D50" s="701"/>
      <c r="F50" s="752" t="str">
        <f>U14</f>
        <v>0</v>
      </c>
      <c r="G50" s="753"/>
      <c r="H50" s="754"/>
    </row>
    <row r="51" spans="1:28" customHeight="1" ht="6">
      <c r="D51" s="701"/>
      <c r="F51" s="755"/>
      <c r="G51" s="756"/>
      <c r="H51" s="756"/>
    </row>
    <row r="52" spans="1:28">
      <c r="B52" s="702" t="s">
        <v>28</v>
      </c>
      <c r="D52" s="701"/>
      <c r="F52" s="923" t="str">
        <f>AA11</f>
        <v>0</v>
      </c>
      <c r="G52" s="923"/>
      <c r="H52" s="923"/>
    </row>
    <row r="53" spans="1:28">
      <c r="C53" s="702"/>
      <c r="D53" s="701"/>
      <c r="F53" s="924"/>
      <c r="G53" s="924"/>
      <c r="H53" s="924"/>
    </row>
    <row r="54" spans="1:28">
      <c r="C54" s="702"/>
      <c r="D54" s="701"/>
      <c r="F54" s="924"/>
      <c r="G54" s="924"/>
      <c r="H54" s="9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B11">
    <cfRule type="cellIs" dxfId="1" priority="2" operator="greaterThan">
      <formula>1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G14">
    <cfRule type="expression" dxfId="2" priority="4">
      <formula>IFERROR(SEARCH("custom",G11),999)&gt;100</formula>
    </cfRule>
  </conditionalFormatting>
  <conditionalFormatting sqref="J11">
    <cfRule type="expression" dxfId="3" priority="5">
      <formula>OR($E11="Hinged",$E11="By-Pass")</formula>
    </cfRule>
  </conditionalFormatting>
  <conditionalFormatting sqref="J11">
    <cfRule type="expression" dxfId="3" priority="6">
      <formula>OR($E11="Hinged",$E11="By-Pass")</formula>
    </cfRule>
  </conditionalFormatting>
  <conditionalFormatting sqref="K11">
    <cfRule type="expression" dxfId="3" priority="7">
      <formula>OR($E11="Hinged",$E11="By-Pass")</formula>
    </cfRule>
  </conditionalFormatting>
  <conditionalFormatting sqref="K11">
    <cfRule type="expression" dxfId="3" priority="8">
      <formula>OR($E11="Hinged",$E11="By-Pass")</formula>
    </cfRule>
  </conditionalFormatting>
  <conditionalFormatting sqref="L11">
    <cfRule type="expression" dxfId="3" priority="9">
      <formula>OR($E11="Hinged",$E11="By-Pass")</formula>
    </cfRule>
  </conditionalFormatting>
  <conditionalFormatting sqref="L11">
    <cfRule type="expression" dxfId="3" priority="10">
      <formula>OR($E11="Hinged",$E11="By-Pass")</formula>
    </cfRule>
  </conditionalFormatting>
  <conditionalFormatting sqref="M11">
    <cfRule type="expression" dxfId="3" priority="11">
      <formula>OR($E11="Hinged",$E11="By-Pass")</formula>
    </cfRule>
  </conditionalFormatting>
  <conditionalFormatting sqref="M11">
    <cfRule type="expression" dxfId="3" priority="12">
      <formula>OR($E11="Hinged",$E11="By-Pass")</formula>
    </cfRule>
  </conditionalFormatting>
  <conditionalFormatting sqref="N11">
    <cfRule type="expression" dxfId="3" priority="13">
      <formula>OR($E11="Hinged",$E11="By-Pass")</formula>
    </cfRule>
  </conditionalFormatting>
  <conditionalFormatting sqref="N11">
    <cfRule type="expression" dxfId="3" priority="14">
      <formula>OR($E11="Hinged",$E11="By-Pass")</formula>
    </cfRule>
  </conditionalFormatting>
  <conditionalFormatting sqref="O11">
    <cfRule type="expression" dxfId="3" priority="15">
      <formula>OR($E11="Hinged",$E11="By-Pass")</formula>
    </cfRule>
  </conditionalFormatting>
  <conditionalFormatting sqref="O11">
    <cfRule type="expression" dxfId="3" priority="16">
      <formula>OR($E11="Hinged",$E11="By-Pass")</formula>
    </cfRule>
  </conditionalFormatting>
  <conditionalFormatting sqref="P11">
    <cfRule type="expression" dxfId="3" priority="17">
      <formula>OR($E11="Hinged",$E11="By-Pass")</formula>
    </cfRule>
  </conditionalFormatting>
  <conditionalFormatting sqref="P11">
    <cfRule type="expression" dxfId="3" priority="18">
      <formula>OR($E11="Hinged",$E11="By-Pass")</formula>
    </cfRule>
  </conditionalFormatting>
  <conditionalFormatting sqref="Q11">
    <cfRule type="expression" dxfId="3" priority="19">
      <formula>OR($E11="Hinged",$E11="By-Pass")</formula>
    </cfRule>
  </conditionalFormatting>
  <conditionalFormatting sqref="Q11">
    <cfRule type="expression" dxfId="3" priority="20">
      <formula>OR($E11="Hinged",$E11="By-Pass")</formula>
    </cfRule>
  </conditionalFormatting>
  <conditionalFormatting sqref="J12">
    <cfRule type="expression" dxfId="4" priority="21">
      <formula>NOT(OR($E11="Hinged",$E11="By-Pass"))</formula>
    </cfRule>
  </conditionalFormatting>
  <conditionalFormatting sqref="J12">
    <cfRule type="expression" dxfId="4" priority="22">
      <formula>NOT(OR($E11="Hinged",$E11="By-Pass"))</formula>
    </cfRule>
  </conditionalFormatting>
  <conditionalFormatting sqref="J14">
    <cfRule type="expression" dxfId="3" priority="23">
      <formula>OR($E11="Hinged",$E11="By-Pass")</formula>
    </cfRule>
  </conditionalFormatting>
  <conditionalFormatting sqref="J14">
    <cfRule type="expression" dxfId="3" priority="24">
      <formula>OR($E11="Hinged",$E11="By-Pass")</formula>
    </cfRule>
  </conditionalFormatting>
  <conditionalFormatting sqref="R14">
    <cfRule type="expression" dxfId="5" priority="25">
      <formula>IFERROR(SEARCH("custom",R11),999)&gt;100</formula>
    </cfRule>
  </conditionalFormatting>
  <conditionalFormatting sqref="R14">
    <cfRule type="expression" dxfId="5" priority="26">
      <formula>IFERROR(SEARCH("custom",R11),999)&gt;100</formula>
    </cfRule>
  </conditionalFormatting>
  <conditionalFormatting sqref="U14">
    <cfRule type="expression" dxfId="6" priority="27">
      <formula>IFERROR(SEARCH("custom",U11),999)&gt;100</formula>
    </cfRule>
  </conditionalFormatting>
  <conditionalFormatting sqref="U14">
    <cfRule type="expression" dxfId="6" priority="28">
      <formula>IFERROR(SEARCH("custom",U11),999)&gt;100</formula>
    </cfRule>
  </conditionalFormatting>
  <conditionalFormatting sqref="V11">
    <cfRule type="expression" dxfId="7" priority="29">
      <formula>$E11="Hinged"</formula>
    </cfRule>
  </conditionalFormatting>
  <conditionalFormatting sqref="V11">
    <cfRule type="expression" dxfId="7" priority="30">
      <formula>$E11="Hinged"</formula>
    </cfRule>
  </conditionalFormatting>
  <conditionalFormatting sqref="X14">
    <cfRule type="expression" dxfId="7" priority="31">
      <formula>$E11="Hinged"</formula>
    </cfRule>
  </conditionalFormatting>
  <conditionalFormatting sqref="X14">
    <cfRule type="expression" dxfId="8" priority="32">
      <formula>IFERROR(SEARCH("custom",X11),999)&gt;100</formula>
    </cfRule>
  </conditionalFormatting>
  <conditionalFormatting sqref="X14">
    <cfRule type="expression" dxfId="7" priority="33">
      <formula>$E11="Hinged"</formula>
    </cfRule>
  </conditionalFormatting>
  <conditionalFormatting sqref="X14">
    <cfRule type="expression" dxfId="8" priority="34">
      <formula>IFERROR(SEARCH("custom",X11),999)&gt;100</formula>
    </cfRule>
  </conditionalFormatting>
  <conditionalFormatting sqref="Y14">
    <cfRule type="expression" dxfId="7" priority="35">
      <formula>$E11="Hinged"</formula>
    </cfRule>
  </conditionalFormatting>
  <conditionalFormatting sqref="Y14">
    <cfRule type="expression" dxfId="8" priority="36">
      <formula>IFERROR(SEARCH("custom",X11),999)&gt;100</formula>
    </cfRule>
  </conditionalFormatting>
  <conditionalFormatting sqref="Y14">
    <cfRule type="expression" dxfId="7" priority="37">
      <formula>$E11="Hinged"</formula>
    </cfRule>
  </conditionalFormatting>
  <conditionalFormatting sqref="Y14">
    <cfRule type="expression" dxfId="8" priority="38">
      <formula>IFERROR(SEARCH("custom",X11),999)&gt;100</formula>
    </cfRule>
  </conditionalFormatting>
  <conditionalFormatting sqref="V12">
    <cfRule type="expression" dxfId="7" priority="39">
      <formula>$E11="Hinged"</formula>
    </cfRule>
  </conditionalFormatting>
  <conditionalFormatting sqref="V12">
    <cfRule type="expression" dxfId="7" priority="40">
      <formula>$E11="Hinged"</formula>
    </cfRule>
  </conditionalFormatting>
  <conditionalFormatting sqref="V13">
    <cfRule type="expression" dxfId="7" priority="41">
      <formula>$E11="Hinged"</formula>
    </cfRule>
  </conditionalFormatting>
  <conditionalFormatting sqref="V13">
    <cfRule type="expression" dxfId="7" priority="42">
      <formula>$E11="Hinged"</formula>
    </cfRule>
  </conditionalFormatting>
  <conditionalFormatting sqref="V14">
    <cfRule type="expression" dxfId="9" priority="43">
      <formula>OR($E11="Hinged",$E11="Bi-Fold")</formula>
    </cfRule>
  </conditionalFormatting>
  <conditionalFormatting sqref="V14">
    <cfRule type="expression" dxfId="9" priority="44">
      <formula>OR($E11="Hinged",$E11="Bi-Fold")</formula>
    </cfRule>
  </conditionalFormatting>
  <conditionalFormatting sqref="X11">
    <cfRule type="expression" dxfId="7" priority="45">
      <formula>$E11="Hinged"</formula>
    </cfRule>
  </conditionalFormatting>
  <conditionalFormatting sqref="Y11">
    <cfRule type="expression" dxfId="7" priority="46">
      <formula>$E11="Hinged"</formula>
    </cfRule>
  </conditionalFormatting>
  <conditionalFormatting sqref="Y13">
    <cfRule type="expression" dxfId="7" priority="47">
      <formula>$E11="Hinged"</formula>
    </cfRule>
  </conditionalFormatting>
  <conditionalFormatting sqref="Y13">
    <cfRule type="expression" dxfId="7" priority="48">
      <formula>$E11="Hinged"</formula>
    </cfRule>
  </conditionalFormatting>
  <conditionalFormatting sqref="Z11">
    <cfRule type="expression" dxfId="7" priority="49">
      <formula>$E11="Hinged"</formula>
    </cfRule>
  </conditionalFormatting>
  <conditionalFormatting sqref="Z13">
    <cfRule type="expression" dxfId="7" priority="50">
      <formula>$E11="Hinged"</formula>
    </cfRule>
  </conditionalFormatting>
  <conditionalFormatting sqref="Z13">
    <cfRule type="expression" dxfId="7" priority="51">
      <formula>$E11="Hinged"</formula>
    </cfRule>
  </conditionalFormatting>
  <conditionalFormatting sqref="Z14">
    <cfRule type="expression" dxfId="7" priority="52">
      <formula>$E11="Hinged"</formula>
    </cfRule>
  </conditionalFormatting>
  <conditionalFormatting sqref="Z14">
    <cfRule type="expression" dxfId="7" priority="53">
      <formula>$E11="Hinged"</formula>
    </cfRule>
  </conditionalFormatting>
  <conditionalFormatting sqref="W12">
    <cfRule type="expression" dxfId="7" priority="54">
      <formula>$E11="Hinged"</formula>
    </cfRule>
  </conditionalFormatting>
  <conditionalFormatting sqref="W13">
    <cfRule type="expression" dxfId="7" priority="55">
      <formula>$E11="Hinged"</formula>
    </cfRule>
  </conditionalFormatting>
  <conditionalFormatting sqref="X12">
    <cfRule type="expression" dxfId="7" priority="56">
      <formula>$E11="Hinged"</formula>
    </cfRule>
  </conditionalFormatting>
  <conditionalFormatting sqref="X13">
    <cfRule type="expression" dxfId="7" priority="57">
      <formula>$E11="Hinged"</formula>
    </cfRule>
  </conditionalFormatting>
  <conditionalFormatting sqref="Y12">
    <cfRule type="expression" dxfId="7" priority="58">
      <formula>$E11="Hinged"</formula>
    </cfRule>
  </conditionalFormatting>
  <conditionalFormatting sqref="Z12">
    <cfRule type="expression" dxfId="7" priority="59">
      <formula>$E11="Hinged"</formula>
    </cfRule>
  </conditionalFormatting>
  <conditionalFormatting sqref="S14">
    <cfRule type="expression" dxfId="10" priority="60">
      <formula>IFERROR(SEARCH("custom",S12),999)&gt;100</formula>
    </cfRule>
  </conditionalFormatting>
  <conditionalFormatting sqref="W11">
    <cfRule type="expression" dxfId="7" priority="61">
      <formula>$E11="Hinged"</formula>
    </cfRule>
  </conditionalFormatting>
  <conditionalFormatting sqref="W14">
    <cfRule type="expression" dxfId="7" priority="62">
      <formula>$E11="Hinged"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303</v>
      </c>
      <c r="B1" s="2"/>
    </row>
    <row r="2" spans="1:10" customHeight="1" ht="15">
      <c r="A2" s="4" t="s">
        <v>222</v>
      </c>
      <c r="B2" s="2"/>
    </row>
    <row r="3" spans="1:10">
      <c r="A3" s="2"/>
      <c r="B3" s="2"/>
    </row>
    <row r="4" spans="1:10">
      <c r="A4" s="1" t="s">
        <v>90</v>
      </c>
      <c r="B4" s="14" t="str">
        <f>'Opening BP'!B8</f>
        <v>0</v>
      </c>
    </row>
    <row r="5" spans="1:10">
      <c r="A5" s="1" t="s">
        <v>91</v>
      </c>
      <c r="B5" s="15" t="str">
        <f>'Opening BP'!B9</f>
        <v>0</v>
      </c>
    </row>
    <row r="6" spans="1:10">
      <c r="A6" s="9" t="s">
        <v>123</v>
      </c>
      <c r="B6" s="61" t="str">
        <f>'BP - INPUT'!F40</f>
        <v>0</v>
      </c>
    </row>
    <row r="7" spans="1:10">
      <c r="A7" s="9" t="s">
        <v>126</v>
      </c>
      <c r="B7" s="16" t="str">
        <f>I17</f>
        <v>0</v>
      </c>
    </row>
    <row r="8" spans="1:10">
      <c r="A8" s="9" t="s">
        <v>127</v>
      </c>
      <c r="B8" s="17" t="str">
        <f>I22</f>
        <v>0</v>
      </c>
    </row>
    <row r="9" spans="1:10">
      <c r="A9" s="9" t="s">
        <v>128</v>
      </c>
      <c r="B9" s="19" t="str">
        <f>ROUNDDOWN((B4+B7)/B6,0)</f>
        <v>0</v>
      </c>
      <c r="C9" s="18" t="s">
        <v>129</v>
      </c>
    </row>
    <row r="10" spans="1:10">
      <c r="A10" s="9" t="s">
        <v>130</v>
      </c>
      <c r="B10" s="20" t="str">
        <f>ROUNDDOWN(B5+B8,0)</f>
        <v>0</v>
      </c>
      <c r="C10" s="18" t="s">
        <v>129</v>
      </c>
    </row>
    <row r="13" spans="1:10" customHeight="1" ht="12.75">
      <c r="B13" s="5" t="s">
        <v>132</v>
      </c>
    </row>
    <row r="14" spans="1:10" customHeight="1" ht="24.75">
      <c r="B14" s="38" t="s">
        <v>223</v>
      </c>
      <c r="C14" s="39" t="s">
        <v>305</v>
      </c>
      <c r="D14" s="39" t="s">
        <v>306</v>
      </c>
      <c r="E14" s="39" t="s">
        <v>133</v>
      </c>
      <c r="F14" s="39" t="s">
        <v>307</v>
      </c>
      <c r="G14" s="40" t="s">
        <v>229</v>
      </c>
      <c r="I14" s="41" t="s">
        <v>230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136</v>
      </c>
      <c r="E19" s="209"/>
    </row>
    <row r="20" spans="1:10" customHeight="1" ht="24.75">
      <c r="B20" s="38" t="str">
        <f>'BP - INPUT'!F53</f>
        <v>0</v>
      </c>
      <c r="C20" s="39" t="s">
        <v>231</v>
      </c>
      <c r="D20" s="39" t="s">
        <v>232</v>
      </c>
      <c r="E20" s="78" t="str">
        <f>'BP - INPUT'!F55</f>
        <v>0</v>
      </c>
      <c r="F20" s="40" t="s">
        <v>26</v>
      </c>
      <c r="I20" s="41" t="s">
        <v>230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142</v>
      </c>
      <c r="D25" s="66"/>
      <c r="E25" s="67"/>
      <c r="F25" s="68" t="s">
        <v>306</v>
      </c>
      <c r="G25" s="69" t="s">
        <v>133</v>
      </c>
    </row>
    <row r="26" spans="1:10">
      <c r="C26" s="56" t="s">
        <v>308</v>
      </c>
      <c r="D26" s="70"/>
      <c r="E26" s="70"/>
      <c r="F26" s="71">
        <v>0</v>
      </c>
      <c r="G26" s="71">
        <v>0</v>
      </c>
    </row>
    <row r="27" spans="1:10">
      <c r="C27" s="59" t="s">
        <v>309</v>
      </c>
      <c r="D27" s="72"/>
      <c r="E27" s="72"/>
      <c r="F27" s="73">
        <v>0</v>
      </c>
      <c r="G27" s="73">
        <v>1</v>
      </c>
    </row>
    <row r="28" spans="1:10">
      <c r="C28" s="59" t="s">
        <v>310</v>
      </c>
      <c r="D28" s="72"/>
      <c r="E28" s="72"/>
      <c r="F28" s="73">
        <v>0</v>
      </c>
      <c r="G28" s="73">
        <v>0</v>
      </c>
    </row>
    <row r="29" spans="1:10">
      <c r="C29" s="59" t="s">
        <v>311</v>
      </c>
      <c r="D29" s="72"/>
      <c r="E29" s="72"/>
      <c r="F29" s="73">
        <v>1</v>
      </c>
      <c r="G29" s="73">
        <v>0</v>
      </c>
    </row>
    <row r="30" spans="1:10">
      <c r="C30" s="59" t="s">
        <v>312</v>
      </c>
      <c r="D30" s="72"/>
      <c r="E30" s="72"/>
      <c r="F30" s="73">
        <v>2</v>
      </c>
      <c r="G30" s="73">
        <v>0</v>
      </c>
    </row>
    <row r="31" spans="1:10">
      <c r="C31" s="59" t="s">
        <v>313</v>
      </c>
      <c r="D31" s="72"/>
      <c r="E31" s="72"/>
      <c r="F31" s="73">
        <v>1</v>
      </c>
      <c r="G31" s="73">
        <v>2</v>
      </c>
    </row>
    <row r="32" spans="1:10">
      <c r="C32" s="59" t="s">
        <v>314</v>
      </c>
      <c r="D32" s="72"/>
      <c r="E32" s="72"/>
      <c r="F32" s="73">
        <v>1</v>
      </c>
      <c r="G32" s="73">
        <v>0</v>
      </c>
    </row>
    <row r="33" spans="1:10">
      <c r="C33" s="59" t="s">
        <v>315</v>
      </c>
      <c r="D33" s="72"/>
      <c r="E33" s="72"/>
      <c r="F33" s="73">
        <v>2</v>
      </c>
      <c r="G33" s="73">
        <v>0</v>
      </c>
    </row>
    <row r="34" spans="1:10">
      <c r="C34" s="59" t="s">
        <v>316</v>
      </c>
      <c r="D34" s="72"/>
      <c r="E34" s="72"/>
      <c r="F34" s="73">
        <v>1</v>
      </c>
      <c r="G34" s="73">
        <v>4</v>
      </c>
    </row>
    <row r="35" spans="1:10">
      <c r="C35" s="59" t="s">
        <v>317</v>
      </c>
      <c r="D35" s="72"/>
      <c r="E35" s="72"/>
      <c r="F35" s="73">
        <v>1</v>
      </c>
      <c r="G35" s="73">
        <v>0</v>
      </c>
    </row>
    <row r="36" spans="1:10">
      <c r="C36" s="59" t="s">
        <v>318</v>
      </c>
      <c r="D36" s="72"/>
      <c r="E36" s="72"/>
      <c r="F36" s="73">
        <v>2</v>
      </c>
      <c r="G36" s="73">
        <v>2</v>
      </c>
    </row>
    <row r="37" spans="1:10">
      <c r="C37" s="59" t="s">
        <v>319</v>
      </c>
      <c r="D37" s="72"/>
      <c r="E37" s="72"/>
      <c r="F37" s="73">
        <v>1</v>
      </c>
      <c r="G37" s="73">
        <v>6</v>
      </c>
    </row>
    <row r="38" spans="1:10">
      <c r="C38" s="59" t="s">
        <v>320</v>
      </c>
      <c r="D38" s="72"/>
      <c r="E38" s="72"/>
      <c r="F38" s="73">
        <v>2</v>
      </c>
      <c r="G38" s="73">
        <v>4</v>
      </c>
    </row>
    <row r="39" spans="1:10">
      <c r="C39" s="59" t="s">
        <v>321</v>
      </c>
      <c r="D39" s="72"/>
      <c r="E39" s="72"/>
      <c r="F39" s="73">
        <v>2</v>
      </c>
      <c r="G39" s="73">
        <v>5</v>
      </c>
    </row>
    <row r="40" spans="1:10">
      <c r="C40" s="59" t="s">
        <v>322</v>
      </c>
      <c r="D40" s="72"/>
      <c r="E40" s="72"/>
      <c r="F40" s="73">
        <v>2</v>
      </c>
      <c r="G40" s="73">
        <v>0</v>
      </c>
    </row>
    <row r="41" spans="1:10">
      <c r="C41" s="59" t="s">
        <v>323</v>
      </c>
      <c r="D41" s="72"/>
      <c r="E41" s="72"/>
      <c r="F41" s="73">
        <v>2</v>
      </c>
      <c r="G41" s="73">
        <v>3</v>
      </c>
    </row>
    <row r="42" spans="1:10">
      <c r="C42" s="59" t="s">
        <v>324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233" t="s">
        <v>242</v>
      </c>
      <c r="D45" s="1234"/>
      <c r="E45" s="1234"/>
      <c r="F45" s="1234"/>
      <c r="G45" s="1234"/>
      <c r="H45" s="1235"/>
    </row>
    <row r="46" spans="1:10" customHeight="1" ht="12.75">
      <c r="C46" s="1231" t="s">
        <v>244</v>
      </c>
      <c r="D46" s="1232"/>
      <c r="E46" s="364" t="s">
        <v>245</v>
      </c>
      <c r="F46" s="364" t="s">
        <v>246</v>
      </c>
      <c r="G46" s="365" t="s">
        <v>247</v>
      </c>
      <c r="H46" s="365" t="s">
        <v>248</v>
      </c>
    </row>
    <row r="47" spans="1:10">
      <c r="C47" s="56" t="s">
        <v>250</v>
      </c>
      <c r="D47" s="57"/>
      <c r="E47" s="31" t="s">
        <v>62</v>
      </c>
      <c r="F47" s="58" t="str">
        <f>C47&amp;E47</f>
        <v>0</v>
      </c>
      <c r="G47" s="366" t="s">
        <v>192</v>
      </c>
      <c r="H47" s="367" t="s">
        <v>192</v>
      </c>
    </row>
    <row r="48" spans="1:10">
      <c r="C48" s="59" t="s">
        <v>252</v>
      </c>
      <c r="D48" s="60"/>
      <c r="E48" s="185" t="s">
        <v>152</v>
      </c>
      <c r="F48" s="58" t="str">
        <f>C48&amp;E48</f>
        <v>0</v>
      </c>
      <c r="G48" s="58">
        <v>34</v>
      </c>
      <c r="H48" s="30" t="s">
        <v>192</v>
      </c>
    </row>
    <row r="49" spans="1:10">
      <c r="C49" s="59" t="s">
        <v>252</v>
      </c>
      <c r="D49" s="60"/>
      <c r="E49" s="185" t="s">
        <v>153</v>
      </c>
      <c r="F49" s="58" t="str">
        <f>C49&amp;E49</f>
        <v>0</v>
      </c>
      <c r="G49" s="74" t="s">
        <v>192</v>
      </c>
      <c r="H49" s="36">
        <v>34</v>
      </c>
    </row>
    <row r="50" spans="1:10">
      <c r="C50" s="59" t="s">
        <v>252</v>
      </c>
      <c r="D50" s="60"/>
      <c r="E50" s="185" t="s">
        <v>98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256</v>
      </c>
      <c r="D51" s="60"/>
      <c r="E51" s="185" t="s">
        <v>152</v>
      </c>
      <c r="F51" s="58" t="str">
        <f>C51&amp;E51</f>
        <v>0</v>
      </c>
      <c r="G51" s="58">
        <v>34</v>
      </c>
      <c r="H51" s="30" t="s">
        <v>192</v>
      </c>
    </row>
    <row r="52" spans="1:10">
      <c r="C52" s="59" t="s">
        <v>256</v>
      </c>
      <c r="D52" s="60"/>
      <c r="E52" s="185" t="s">
        <v>153</v>
      </c>
      <c r="F52" s="58" t="str">
        <f>C52&amp;E52</f>
        <v>0</v>
      </c>
      <c r="G52" s="74" t="s">
        <v>192</v>
      </c>
      <c r="H52" s="36">
        <v>34</v>
      </c>
    </row>
    <row r="53" spans="1:10">
      <c r="C53" s="59" t="s">
        <v>256</v>
      </c>
      <c r="D53" s="60"/>
      <c r="E53" s="185" t="s">
        <v>98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256</v>
      </c>
      <c r="D54" s="60"/>
      <c r="E54" s="185" t="s">
        <v>173</v>
      </c>
      <c r="F54" s="58" t="str">
        <f>C54&amp;E54</f>
        <v>0</v>
      </c>
      <c r="G54" s="58">
        <v>34</v>
      </c>
      <c r="H54" s="30" t="s">
        <v>192</v>
      </c>
    </row>
    <row r="55" spans="1:10">
      <c r="C55" s="59" t="s">
        <v>256</v>
      </c>
      <c r="D55" s="60"/>
      <c r="E55" s="185" t="s">
        <v>174</v>
      </c>
      <c r="F55" s="58" t="str">
        <f>C55&amp;E55</f>
        <v>0</v>
      </c>
      <c r="G55" s="74" t="s">
        <v>192</v>
      </c>
      <c r="H55" s="36">
        <v>34</v>
      </c>
    </row>
    <row r="56" spans="1:10">
      <c r="C56" s="59" t="s">
        <v>256</v>
      </c>
      <c r="D56" s="60"/>
      <c r="E56" s="185" t="s">
        <v>220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256</v>
      </c>
      <c r="D57" s="60"/>
      <c r="E57" s="185" t="s">
        <v>219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256</v>
      </c>
      <c r="D58" s="60"/>
      <c r="E58" s="185" t="s">
        <v>221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265</v>
      </c>
      <c r="D59" s="60"/>
      <c r="E59" s="185" t="s">
        <v>152</v>
      </c>
      <c r="F59" s="58" t="str">
        <f>C59&amp;E59</f>
        <v>0</v>
      </c>
      <c r="G59" s="58">
        <v>27</v>
      </c>
      <c r="H59" s="30" t="s">
        <v>192</v>
      </c>
    </row>
    <row r="60" spans="1:10">
      <c r="C60" s="59" t="s">
        <v>265</v>
      </c>
      <c r="D60" s="60"/>
      <c r="E60" s="185" t="s">
        <v>153</v>
      </c>
      <c r="F60" s="58" t="str">
        <f>C60&amp;E60</f>
        <v>0</v>
      </c>
      <c r="G60" s="74" t="s">
        <v>192</v>
      </c>
      <c r="H60" s="36">
        <v>27</v>
      </c>
    </row>
    <row r="61" spans="1:10">
      <c r="C61" s="59" t="s">
        <v>265</v>
      </c>
      <c r="D61" s="60"/>
      <c r="E61" s="185" t="s">
        <v>98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269</v>
      </c>
      <c r="D62" s="60"/>
      <c r="E62" s="185" t="s">
        <v>152</v>
      </c>
      <c r="F62" s="58" t="str">
        <f>C62&amp;E62</f>
        <v>0</v>
      </c>
      <c r="G62" s="58">
        <v>46</v>
      </c>
      <c r="H62" s="30" t="s">
        <v>192</v>
      </c>
    </row>
    <row r="63" spans="1:10">
      <c r="C63" s="59" t="s">
        <v>269</v>
      </c>
      <c r="D63" s="60"/>
      <c r="E63" s="185" t="s">
        <v>153</v>
      </c>
      <c r="F63" s="58" t="str">
        <f>C63&amp;E63</f>
        <v>0</v>
      </c>
      <c r="G63" s="74" t="s">
        <v>192</v>
      </c>
      <c r="H63" s="36">
        <v>46</v>
      </c>
    </row>
    <row r="64" spans="1:10">
      <c r="C64" s="59" t="s">
        <v>269</v>
      </c>
      <c r="D64" s="60"/>
      <c r="E64" s="185" t="s">
        <v>98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273</v>
      </c>
      <c r="D65" s="60"/>
      <c r="E65" s="185" t="s">
        <v>152</v>
      </c>
      <c r="F65" s="58" t="str">
        <f>C65&amp;E65</f>
        <v>0</v>
      </c>
      <c r="G65" s="58">
        <v>19</v>
      </c>
      <c r="H65" s="36"/>
    </row>
    <row r="66" spans="1:10">
      <c r="C66" s="59" t="s">
        <v>273</v>
      </c>
      <c r="D66" s="60"/>
      <c r="E66" s="185" t="s">
        <v>153</v>
      </c>
      <c r="F66" s="58" t="str">
        <f>C66&amp;E66</f>
        <v>0</v>
      </c>
      <c r="G66" s="74" t="s">
        <v>192</v>
      </c>
      <c r="H66" s="36">
        <v>19</v>
      </c>
    </row>
    <row r="67" spans="1:10">
      <c r="C67" s="59" t="s">
        <v>273</v>
      </c>
      <c r="D67" s="60"/>
      <c r="E67" s="185" t="s">
        <v>98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277</v>
      </c>
      <c r="D68" s="60"/>
      <c r="E68" s="185" t="s">
        <v>152</v>
      </c>
      <c r="F68" s="58" t="str">
        <f>C68&amp;E68</f>
        <v>0</v>
      </c>
      <c r="G68" s="58">
        <v>19</v>
      </c>
      <c r="H68" s="30" t="s">
        <v>192</v>
      </c>
    </row>
    <row r="69" spans="1:10">
      <c r="C69" s="59" t="s">
        <v>277</v>
      </c>
      <c r="D69" s="60"/>
      <c r="E69" s="185" t="s">
        <v>153</v>
      </c>
      <c r="F69" s="58" t="str">
        <f>C69&amp;E69</f>
        <v>0</v>
      </c>
      <c r="G69" s="74" t="s">
        <v>192</v>
      </c>
      <c r="H69" s="36">
        <v>19</v>
      </c>
    </row>
    <row r="70" spans="1:10">
      <c r="C70" s="59" t="s">
        <v>277</v>
      </c>
      <c r="D70" s="60"/>
      <c r="E70" s="185" t="s">
        <v>98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281</v>
      </c>
      <c r="D71" s="60"/>
      <c r="E71" s="185" t="s">
        <v>152</v>
      </c>
      <c r="F71" s="58" t="str">
        <f>C71&amp;E71</f>
        <v>0</v>
      </c>
      <c r="G71" s="58">
        <v>19</v>
      </c>
      <c r="H71" s="30" t="s">
        <v>192</v>
      </c>
    </row>
    <row r="72" spans="1:10">
      <c r="C72" s="59" t="s">
        <v>281</v>
      </c>
      <c r="D72" s="60"/>
      <c r="E72" s="185" t="s">
        <v>153</v>
      </c>
      <c r="F72" s="58" t="str">
        <f>C72&amp;E72</f>
        <v>0</v>
      </c>
      <c r="G72" s="74" t="s">
        <v>192</v>
      </c>
      <c r="H72" s="36">
        <v>19</v>
      </c>
    </row>
    <row r="73" spans="1:10">
      <c r="C73" s="59" t="s">
        <v>281</v>
      </c>
      <c r="D73" s="60"/>
      <c r="E73" s="185" t="s">
        <v>98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285</v>
      </c>
      <c r="D74" s="60"/>
      <c r="E74" s="185" t="s">
        <v>152</v>
      </c>
      <c r="F74" s="58" t="str">
        <f>C74&amp;E74</f>
        <v>0</v>
      </c>
      <c r="G74" s="58">
        <v>19</v>
      </c>
      <c r="H74" s="30" t="s">
        <v>192</v>
      </c>
    </row>
    <row r="75" spans="1:10">
      <c r="C75" s="59" t="s">
        <v>285</v>
      </c>
      <c r="D75" s="60"/>
      <c r="E75" s="185" t="s">
        <v>153</v>
      </c>
      <c r="F75" s="58" t="str">
        <f>C75&amp;E75</f>
        <v>0</v>
      </c>
      <c r="G75" s="74" t="s">
        <v>192</v>
      </c>
      <c r="H75" s="36">
        <v>19</v>
      </c>
    </row>
    <row r="76" spans="1:10">
      <c r="C76" s="59" t="s">
        <v>285</v>
      </c>
      <c r="D76" s="60"/>
      <c r="E76" s="185" t="s">
        <v>98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H48" sqref="H48"/>
    </sheetView>
  </sheetViews>
  <sheetFormatPr defaultRowHeight="14.4" outlineLevelRow="0" outlineLevelCol="0"/>
  <cols>
    <col min="1" max="1" width="24.6640625" customWidth="true" style="594"/>
    <col min="2" max="2" width="9.33203125" customWidth="true" style="594"/>
    <col min="3" max="3" width="9.33203125" customWidth="true" style="594"/>
    <col min="4" max="4" width="14.5" customWidth="true" style="594"/>
    <col min="5" max="5" width="11.33203125" customWidth="true" style="594"/>
    <col min="6" max="6" width="14.33203125" customWidth="true" style="594"/>
    <col min="7" max="7" width="11.33203125" customWidth="true" style="594"/>
    <col min="8" max="8" width="11.6640625" customWidth="true" style="594"/>
    <col min="9" max="9" width="12.83203125" customWidth="true" style="594"/>
    <col min="10" max="10" width="12.33203125" customWidth="true" style="594"/>
    <col min="11" max="11" width="3.6640625" customWidth="true" style="594"/>
    <col min="12" max="12" width="9.33203125" customWidth="true" style="594"/>
  </cols>
  <sheetData>
    <row r="1" spans="1:15" customHeight="1" ht="15">
      <c r="A1" s="593" t="s">
        <v>325</v>
      </c>
    </row>
    <row r="2" spans="1:15" customHeight="1" ht="15">
      <c r="A2" s="593" t="s">
        <v>326</v>
      </c>
    </row>
    <row r="4" spans="1:15">
      <c r="A4" s="594" t="s">
        <v>327</v>
      </c>
      <c r="B4" s="595" t="str">
        <f>IF('H - INPUT'!F21&gt;0,'H - INPUT'!E11,IF('BF - INPUT'!F21&gt;0,'BF - INPUT'!E11,'BP - INPUT'!E11))</f>
        <v>0</v>
      </c>
      <c r="C4" s="596"/>
      <c r="D4" s="597"/>
    </row>
    <row r="5" spans="1:15">
      <c r="A5" s="594" t="s">
        <v>328</v>
      </c>
      <c r="B5" s="595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6"/>
    </row>
    <row r="6" spans="1:15">
      <c r="A6" s="598" t="s">
        <v>128</v>
      </c>
      <c r="B6" s="595" t="str">
        <f>IF(B4="Hinged",'Panel H'!B11,IF(B4="Bi-Fold",'Panel BF'!B9,'Panel BP'!B9))</f>
        <v>0</v>
      </c>
      <c r="C6" s="596"/>
    </row>
    <row r="7" spans="1:15">
      <c r="A7" s="598" t="s">
        <v>130</v>
      </c>
      <c r="B7" s="599" t="str">
        <f>IF(B4="Hinged",'Panel H'!B12,IF(B4="Bi-Fold",'Panel BF'!B10,'Panel BP'!B10))</f>
        <v>0</v>
      </c>
      <c r="C7" s="596"/>
    </row>
    <row r="8" spans="1:15" customHeight="1" ht="12.75"/>
    <row r="9" spans="1:15" customHeight="1" ht="24">
      <c r="D9" s="600" t="s">
        <v>329</v>
      </c>
      <c r="E9" s="601" t="s">
        <v>330</v>
      </c>
      <c r="F9" s="601" t="s">
        <v>331</v>
      </c>
      <c r="G9" s="601" t="s">
        <v>332</v>
      </c>
      <c r="H9" s="602" t="s">
        <v>333</v>
      </c>
    </row>
    <row r="10" spans="1:15" customHeight="1" ht="12.75">
      <c r="D10" s="603">
        <v>2.5</v>
      </c>
      <c r="E10" s="604">
        <v>57</v>
      </c>
      <c r="F10" s="604">
        <v>1</v>
      </c>
      <c r="G10" s="605">
        <v>1</v>
      </c>
      <c r="H10" s="606">
        <v>0.5</v>
      </c>
    </row>
    <row r="11" spans="1:15">
      <c r="B11" s="594" t="s">
        <v>334</v>
      </c>
      <c r="D11" s="607" t="str">
        <f>-D10*2</f>
        <v>0</v>
      </c>
      <c r="E11" s="607"/>
      <c r="F11" s="607"/>
      <c r="G11" s="607"/>
      <c r="H11" s="607"/>
      <c r="I11" s="608" t="str">
        <f>B6+SUM(D11:H11)</f>
        <v>0</v>
      </c>
    </row>
    <row r="12" spans="1:15">
      <c r="B12" s="594" t="s">
        <v>335</v>
      </c>
      <c r="D12" s="607"/>
      <c r="E12" s="607" t="str">
        <f>-E10*2</f>
        <v>0</v>
      </c>
      <c r="F12" s="607" t="str">
        <f>-F10*2</f>
        <v>0</v>
      </c>
      <c r="G12" s="607" t="str">
        <f>-G10*2</f>
        <v>0</v>
      </c>
      <c r="H12" s="607" t="str">
        <f>-H10*2</f>
        <v>0</v>
      </c>
      <c r="I12" s="608" t="str">
        <f>B6+SUM(D12:H12)</f>
        <v>0</v>
      </c>
    </row>
    <row r="13" spans="1:15" customHeight="1" ht="12.75">
      <c r="D13" s="609"/>
      <c r="E13" s="609"/>
      <c r="F13" s="609"/>
      <c r="G13" s="609"/>
      <c r="H13" s="609"/>
    </row>
    <row r="14" spans="1:15" customHeight="1" ht="24">
      <c r="D14" s="600" t="s">
        <v>336</v>
      </c>
      <c r="E14" s="601" t="s">
        <v>337</v>
      </c>
      <c r="F14" s="601" t="s">
        <v>336</v>
      </c>
      <c r="G14" s="602" t="s">
        <v>338</v>
      </c>
    </row>
    <row r="15" spans="1:15">
      <c r="D15" s="610">
        <v>46.1</v>
      </c>
      <c r="E15" s="611">
        <v>76.2</v>
      </c>
      <c r="F15" s="611">
        <v>46.1</v>
      </c>
      <c r="G15" s="612">
        <v>76.2</v>
      </c>
    </row>
    <row r="16" spans="1:15" customHeight="1" ht="12.75">
      <c r="D16" s="613"/>
      <c r="E16" s="604" t="str">
        <f>IF(G26="Type 1",G31,G41)-IF(H53="N/A",0,H53)</f>
        <v>0</v>
      </c>
      <c r="F16" s="614"/>
      <c r="G16" s="615" t="str">
        <f>IF(H53="N/A",0,(H53-1))</f>
        <v>0</v>
      </c>
    </row>
    <row r="17" spans="1:15">
      <c r="B17" s="594" t="s">
        <v>339</v>
      </c>
      <c r="D17" s="616"/>
      <c r="E17" s="616"/>
      <c r="F17" s="616"/>
      <c r="G17" s="616"/>
      <c r="I17" s="608" t="str">
        <f>B7+SUM(D17:G17)</f>
        <v>0</v>
      </c>
    </row>
    <row r="18" spans="1:15">
      <c r="B18" s="594" t="s">
        <v>340</v>
      </c>
      <c r="D18" s="607" t="str">
        <f>D15*2</f>
        <v>0</v>
      </c>
      <c r="E18" s="607" t="str">
        <f>E15*(E16-1)</f>
        <v>0</v>
      </c>
      <c r="F18" s="617"/>
      <c r="G18" s="617"/>
      <c r="I18" s="608" t="str">
        <f>ROUNDUP(SUM(D18:G18),0)</f>
        <v>0</v>
      </c>
      <c r="J18" s="618" t="s">
        <v>341</v>
      </c>
    </row>
    <row r="19" spans="1:15">
      <c r="B19" s="594" t="s">
        <v>342</v>
      </c>
      <c r="D19" s="617"/>
      <c r="E19" s="617"/>
      <c r="F19" s="607" t="str">
        <f>IF(G16&gt;0,(F15*2),0)</f>
        <v>0</v>
      </c>
      <c r="G19" s="607" t="str">
        <f>IF(G16&gt;0,G15*(G16-1),0)</f>
        <v>0</v>
      </c>
      <c r="I19" s="608" t="str">
        <f>ROUNDUP(SUM(D19:G19),0)</f>
        <v>0</v>
      </c>
      <c r="J19" s="618" t="s">
        <v>341</v>
      </c>
    </row>
    <row r="22" spans="1:15">
      <c r="C22" s="619" t="s">
        <v>343</v>
      </c>
      <c r="J22" s="620"/>
    </row>
    <row r="23" spans="1:15">
      <c r="D23" s="621" t="s">
        <v>344</v>
      </c>
    </row>
    <row r="24" spans="1:15">
      <c r="D24" s="594" t="s">
        <v>345</v>
      </c>
      <c r="G24" s="622">
        <v>1700</v>
      </c>
    </row>
    <row r="25" spans="1:15">
      <c r="D25" s="594" t="s">
        <v>346</v>
      </c>
      <c r="G25" s="622">
        <v>30</v>
      </c>
    </row>
    <row r="26" spans="1:15">
      <c r="D26" s="594" t="s">
        <v>347</v>
      </c>
      <c r="G26" s="623" t="str">
        <f>IF(AND(B7&lt;=G24,J32&gt;=G25),"Type 2","Type 1")</f>
        <v>0</v>
      </c>
    </row>
    <row r="28" spans="1:15" customHeight="1" ht="12.75">
      <c r="C28" s="621" t="s">
        <v>348</v>
      </c>
    </row>
    <row r="29" spans="1:15" customHeight="1" ht="36.75">
      <c r="E29" s="624" t="s">
        <v>349</v>
      </c>
      <c r="F29" s="625" t="s">
        <v>350</v>
      </c>
      <c r="G29" s="625" t="s">
        <v>351</v>
      </c>
      <c r="H29" s="625" t="s">
        <v>352</v>
      </c>
      <c r="I29" s="625" t="s">
        <v>353</v>
      </c>
      <c r="J29" s="626" t="s">
        <v>354</v>
      </c>
      <c r="L29" s="627" t="s">
        <v>230</v>
      </c>
    </row>
    <row r="30" spans="1:15" customHeight="1" ht="12.75">
      <c r="E30" s="628">
        <v>80.2</v>
      </c>
      <c r="F30" s="628">
        <v>46.1</v>
      </c>
      <c r="G30" s="628">
        <v>76.2</v>
      </c>
      <c r="H30" s="628">
        <v>46.1</v>
      </c>
      <c r="I30" s="628" t="str">
        <f>88.7+14.5</f>
        <v>0</v>
      </c>
      <c r="J30" s="628">
        <v>76.2</v>
      </c>
      <c r="L30" s="629"/>
    </row>
    <row r="31" spans="1:15">
      <c r="G31" s="607" t="str">
        <f>ROUNDDOWN((B7-E30-F30-H30-I30)/G30,0)+1</f>
        <v>0</v>
      </c>
    </row>
    <row r="32" spans="1:15">
      <c r="E32" s="607" t="str">
        <f>E30</f>
        <v>0</v>
      </c>
      <c r="F32" s="607" t="str">
        <f>F30</f>
        <v>0</v>
      </c>
      <c r="G32" s="607" t="str">
        <f>G30*(G31-1)</f>
        <v>0</v>
      </c>
      <c r="H32" s="607" t="str">
        <f>H30</f>
        <v>0</v>
      </c>
      <c r="I32" s="607" t="str">
        <f>I30</f>
        <v>0</v>
      </c>
      <c r="J32" s="623" t="str">
        <f>ROUNDDOWN(B7-SUM(E32:I32),0)</f>
        <v>0</v>
      </c>
      <c r="L32" s="630" t="str">
        <f>SUM(E32:J32)</f>
        <v>0</v>
      </c>
    </row>
    <row r="33" spans="1:15">
      <c r="J33" s="631" t="s">
        <v>129</v>
      </c>
    </row>
    <row r="34" spans="1:15">
      <c r="C34" s="621" t="s">
        <v>355</v>
      </c>
    </row>
    <row r="35" spans="1:15">
      <c r="D35" s="621" t="s">
        <v>356</v>
      </c>
    </row>
    <row r="36" spans="1:15">
      <c r="D36" s="594" t="s">
        <v>357</v>
      </c>
      <c r="G36" s="622">
        <v>45</v>
      </c>
    </row>
    <row r="37" spans="1:15">
      <c r="D37" s="594" t="s">
        <v>358</v>
      </c>
      <c r="G37" s="622" t="str">
        <f>76-G36</f>
        <v>0</v>
      </c>
      <c r="H37" s="631" t="s">
        <v>129</v>
      </c>
      <c r="O37" s="632"/>
    </row>
    <row r="38" spans="1:15" customHeight="1" ht="12.75">
      <c r="C38" s="621"/>
    </row>
    <row r="39" spans="1:15" customHeight="1" ht="36.75">
      <c r="D39" s="624" t="s">
        <v>359</v>
      </c>
      <c r="E39" s="625" t="s">
        <v>360</v>
      </c>
      <c r="F39" s="625" t="s">
        <v>350</v>
      </c>
      <c r="G39" s="625" t="s">
        <v>351</v>
      </c>
      <c r="H39" s="625" t="s">
        <v>352</v>
      </c>
      <c r="I39" s="625" t="s">
        <v>353</v>
      </c>
      <c r="J39" s="626" t="s">
        <v>354</v>
      </c>
      <c r="L39" s="627" t="s">
        <v>230</v>
      </c>
    </row>
    <row r="40" spans="1:15" customHeight="1" ht="12.75">
      <c r="D40" s="628" t="str">
        <f>88.7+14.5</f>
        <v>0</v>
      </c>
      <c r="E40" s="628">
        <v>76.2</v>
      </c>
      <c r="F40" s="628">
        <v>46.1</v>
      </c>
      <c r="G40" s="628">
        <v>76.2</v>
      </c>
      <c r="H40" s="628">
        <v>46.1</v>
      </c>
      <c r="I40" s="628" t="str">
        <f>88.7+14.5</f>
        <v>0</v>
      </c>
      <c r="J40" s="628">
        <v>76.2</v>
      </c>
      <c r="L40" s="629"/>
    </row>
    <row r="41" spans="1:15">
      <c r="G41" s="607" t="str">
        <f>ROUNDDOWN((B7-D40-F40-H40-I40)/G40,0)+1</f>
        <v>0</v>
      </c>
    </row>
    <row r="42" spans="1:15">
      <c r="D42" s="607" t="str">
        <f>D40</f>
        <v>0</v>
      </c>
      <c r="E42" s="623" t="str">
        <f>IF(J42&lt;G36,0,ROUNDDOWN(B7-(D42+F42+G42+H42+I42+J42),0))</f>
        <v>0</v>
      </c>
      <c r="F42" s="607" t="str">
        <f>F40</f>
        <v>0</v>
      </c>
      <c r="G42" s="607" t="str">
        <f>G40*(G41-1)</f>
        <v>0</v>
      </c>
      <c r="H42" s="607" t="str">
        <f>H40</f>
        <v>0</v>
      </c>
      <c r="I42" s="607" t="str">
        <f>I40</f>
        <v>0</v>
      </c>
      <c r="J42" s="623" t="str">
        <f>ROUNDDOWN(IF(B7-(D42+F42+G42+H42+I42)&lt;=G36,B7-(D42+F42+G42+H42+I42),G36),0)</f>
        <v>0</v>
      </c>
      <c r="L42" s="630" t="str">
        <f>SUM(D42:J42)</f>
        <v>0</v>
      </c>
    </row>
    <row r="43" spans="1:15">
      <c r="E43" s="631" t="s">
        <v>129</v>
      </c>
      <c r="J43" s="631" t="s">
        <v>129</v>
      </c>
    </row>
    <row r="46" spans="1:15" customHeight="1" ht="12.75">
      <c r="C46" s="621" t="s">
        <v>361</v>
      </c>
    </row>
    <row r="47" spans="1:15" customHeight="1" ht="12.75">
      <c r="H47" s="624" t="s">
        <v>54</v>
      </c>
      <c r="I47" s="625" t="s">
        <v>362</v>
      </c>
      <c r="J47" s="626" t="s">
        <v>363</v>
      </c>
    </row>
    <row r="48" spans="1:15">
      <c r="E48" s="594" t="s">
        <v>364</v>
      </c>
      <c r="H48" s="628" t="str">
        <f>22.2+2.5-IF(IFERROR(SEARCH("B",'H - INPUT'!F30),0)&gt;0,0,22.2)</f>
        <v>0</v>
      </c>
      <c r="I48" s="628" t="str">
        <f>-SUM('Panel BF'!B21:C21)</f>
        <v>0</v>
      </c>
      <c r="J48" s="628" t="str">
        <f>-SUM('Panel BP'!B22:C22)</f>
        <v>0</v>
      </c>
    </row>
    <row r="49" spans="1:15">
      <c r="E49" s="594" t="str">
        <f>B4</f>
        <v>0</v>
      </c>
      <c r="H49" s="607" t="str">
        <f>IF(E49=H47,H48,".")</f>
        <v>0</v>
      </c>
      <c r="I49" s="607" t="str">
        <f>IF(E49=I47,I48,".")</f>
        <v>0</v>
      </c>
      <c r="J49" s="607" t="str">
        <f>IF(E49=J47,J48,".")</f>
        <v>0</v>
      </c>
    </row>
    <row r="51" spans="1:15">
      <c r="D51" s="594" t="s">
        <v>365</v>
      </c>
      <c r="H51" s="633" t="str">
        <f>IF(B5="Centre of Panel",ROUND(B7/2,0),B5)</f>
        <v>0</v>
      </c>
      <c r="I51" s="634"/>
    </row>
    <row r="52" spans="1:15">
      <c r="D52" s="594" t="s">
        <v>366</v>
      </c>
      <c r="H52" s="635" t="str">
        <f>IF(H51="N/A","N/A",H51-SUM(H49:J49))</f>
        <v>0</v>
      </c>
      <c r="I52" s="596"/>
    </row>
    <row r="53" spans="1:15">
      <c r="D53" s="594" t="s">
        <v>367</v>
      </c>
      <c r="H53" s="636" t="str">
        <f>IF(H51="N/A","N/A",ROUND((H52-IF(G26="Type 1",I32+J32,I42+J42)-H30)/G30+1,0))</f>
        <v>0</v>
      </c>
      <c r="I53" s="636"/>
    </row>
    <row r="54" spans="1:15">
      <c r="D54" s="594" t="s">
        <v>368</v>
      </c>
      <c r="H54" s="637" t="str">
        <f>IF(H51="N/A","N/A",ROUND(SUM(H49:J49)+IF(G26="Type 1",I32+J32,I42+J42)+H30+H53*G30-G30,0))</f>
        <v>0</v>
      </c>
      <c r="I54" s="637"/>
      <c r="J54" s="631" t="s">
        <v>369</v>
      </c>
    </row>
    <row r="55" spans="1:15">
      <c r="D55" s="594" t="s">
        <v>370</v>
      </c>
      <c r="H55" s="635" t="str">
        <f>IF(H51="N/A","N/A",H51-H54)</f>
        <v>0</v>
      </c>
      <c r="I55" s="596"/>
    </row>
    <row r="58" spans="1:15" customHeight="1" ht="12.75">
      <c r="C58" s="621" t="s">
        <v>371</v>
      </c>
    </row>
    <row r="59" spans="1:15" customHeight="1" ht="12.75">
      <c r="D59" s="638" t="s">
        <v>372</v>
      </c>
      <c r="H59" s="624" t="s">
        <v>54</v>
      </c>
      <c r="I59" s="625" t="s">
        <v>362</v>
      </c>
      <c r="J59" s="626" t="s">
        <v>363</v>
      </c>
    </row>
    <row r="60" spans="1:15">
      <c r="E60" s="594" t="s">
        <v>364</v>
      </c>
      <c r="H60" s="628" t="str">
        <f>22.2+2.5-IF(IFERROR(SEARCH("B",'H - INPUT'!F30),0)&gt;0,0,22.2)</f>
        <v>0</v>
      </c>
      <c r="I60" s="628" t="str">
        <f>-SUM('Panel BF'!B21:C21)</f>
        <v>0</v>
      </c>
      <c r="J60" s="628" t="str">
        <f>-SUM('Panel BP'!B22:C22)</f>
        <v>0</v>
      </c>
    </row>
    <row r="61" spans="1:15">
      <c r="E61" s="594" t="str">
        <f>B4</f>
        <v>0</v>
      </c>
      <c r="H61" s="607" t="str">
        <f>IF(E61=H59,H60,".")</f>
        <v>0</v>
      </c>
      <c r="I61" s="607" t="str">
        <f>IF(E61=I59,I60,".")</f>
        <v>0</v>
      </c>
      <c r="J61" s="607" t="str">
        <f>IF(E61=J59,J60,".")</f>
        <v>0</v>
      </c>
    </row>
    <row r="62" spans="1:15">
      <c r="H62" s="639"/>
      <c r="I62" s="639"/>
      <c r="J62" s="639"/>
    </row>
    <row r="64" spans="1:15">
      <c r="D64" s="594" t="s">
        <v>373</v>
      </c>
      <c r="H64" s="640" t="str">
        <f>IF(AND(B4="Hinged",'H - INPUT'!F49="Custom"),'H - INPUT'!F50,IF(AND(B4="Bi-Fold",'BF - INPUT'!F51="Custom"),'BF - INPUT'!F52,IF(AND(B4="By-Pass",'BP - INPUT'!F50="Custom"),'BP - INPUT'!F51,0)))</f>
        <v>0</v>
      </c>
      <c r="I64" s="596"/>
      <c r="L64" s="597"/>
    </row>
    <row r="65" spans="1:15">
      <c r="D65" s="594" t="s">
        <v>374</v>
      </c>
      <c r="H65" s="641" t="str">
        <f>H64-SUM(H61:J61)</f>
        <v>0</v>
      </c>
      <c r="I65" s="642"/>
      <c r="L65" s="597"/>
    </row>
    <row r="66" spans="1:15">
      <c r="D66" s="594" t="s">
        <v>367</v>
      </c>
      <c r="H66" s="636" t="str">
        <f>IF(H64=0,"N/A",ROUND((H65-IF(G26="Type 1",I32+J32,I42+J42)-H30)/G30+1,0))</f>
        <v>0</v>
      </c>
      <c r="I66" s="636"/>
      <c r="L66" s="597"/>
    </row>
    <row r="67" spans="1:15">
      <c r="D67" s="594" t="s">
        <v>368</v>
      </c>
      <c r="H67" s="637" t="str">
        <f>IF(H64=0,"N/A",ROUND(SUM(H61:J61)+IF(G26="Type 1",I32+J32,I42+J42)+H30+H66*G30-G30,0))</f>
        <v>0</v>
      </c>
      <c r="I67" s="637"/>
      <c r="J67" s="631" t="s">
        <v>369</v>
      </c>
      <c r="L67" s="597"/>
    </row>
    <row r="68" spans="1:15">
      <c r="D68" s="594" t="s">
        <v>370</v>
      </c>
      <c r="H68" s="640" t="str">
        <f>IF(H64=0,"N/A",H64-H67)</f>
        <v>0</v>
      </c>
      <c r="I68" s="596"/>
      <c r="L68" s="597"/>
    </row>
    <row r="69" spans="1:15" customHeight="1" ht="12.75"/>
    <row r="70" spans="1:15" customHeight="1" ht="12.75">
      <c r="H70" s="624" t="s">
        <v>54</v>
      </c>
      <c r="I70" s="625" t="s">
        <v>362</v>
      </c>
      <c r="J70" s="626" t="s">
        <v>363</v>
      </c>
    </row>
    <row r="71" spans="1:15">
      <c r="D71" s="594" t="s">
        <v>62</v>
      </c>
      <c r="H71" s="616" t="s">
        <v>62</v>
      </c>
      <c r="I71" s="616" t="s">
        <v>62</v>
      </c>
      <c r="J71" s="616" t="s">
        <v>62</v>
      </c>
    </row>
    <row r="72" spans="1:15">
      <c r="D72" s="594" t="s">
        <v>59</v>
      </c>
      <c r="H72" s="607" t="str">
        <f>ROUNDUP(('H - MO'!L24+'H - MO'!L25+IF('H - MO'!N13&gt;0,1,0))/2,0)</f>
        <v>0</v>
      </c>
      <c r="I72" s="607" t="str">
        <f>ROUNDUP(('BF - MO'!L23+'BF - MO'!L24+IF('BF - MO'!N13&gt;0,1,0))/2,0)</f>
        <v>0</v>
      </c>
      <c r="J72" s="607" t="str">
        <f>ROUNDUP(('BP - MO'!L23+'BP - MO'!L24+IF('BP - MO'!N13&gt;0,1,0))/2,0)</f>
        <v>0</v>
      </c>
    </row>
    <row r="73" spans="1:15">
      <c r="D73" s="594" t="s">
        <v>375</v>
      </c>
      <c r="H73" s="607" t="str">
        <f>ROUNDUP(('H - MO'!L24)/2,0)</f>
        <v>0</v>
      </c>
      <c r="I73" s="607" t="str">
        <f>ROUNDUP(('BF - MO'!L23)/2,0)</f>
        <v>0</v>
      </c>
      <c r="J73" s="607" t="str">
        <f>ROUNDUP(('BP - MO'!L23)/2,0)</f>
        <v>0</v>
      </c>
    </row>
    <row r="74" spans="1:15">
      <c r="D74" s="594" t="s">
        <v>376</v>
      </c>
      <c r="H74" s="607" t="str">
        <f>ROUNDUP(('H - MO'!L25)/2,0)</f>
        <v>0</v>
      </c>
      <c r="I74" s="607" t="str">
        <f>ROUNDUP(('BF - MO'!L24)/2,0)</f>
        <v>0</v>
      </c>
      <c r="J74" s="607" t="str">
        <f>ROUNDUP(('BP - MO'!L24)/2,0)</f>
        <v>0</v>
      </c>
    </row>
    <row r="75" spans="1:15">
      <c r="D75" s="638" t="s">
        <v>372</v>
      </c>
      <c r="H75" s="607" t="str">
        <f>IF(B4="Hinged",H66,"N/A")</f>
        <v>0</v>
      </c>
      <c r="I75" s="607" t="str">
        <f>IF(B4="Bi-Fold",H66,"N/A")</f>
        <v>0</v>
      </c>
      <c r="J75" s="607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377</v>
      </c>
    </row>
    <row r="2" spans="1:16">
      <c r="E2" s="253"/>
      <c r="F2" s="252" t="s">
        <v>378</v>
      </c>
      <c r="G2" s="253"/>
      <c r="I2" t="s">
        <v>379</v>
      </c>
    </row>
    <row r="3" spans="1:16">
      <c r="F3" s="6"/>
    </row>
    <row r="4" spans="1:16">
      <c r="E4" s="253"/>
      <c r="F4" s="252" t="s">
        <v>177</v>
      </c>
      <c r="G4" s="253"/>
      <c r="I4" t="s">
        <v>380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381</v>
      </c>
      <c r="G8" s="253"/>
      <c r="I8" t="s">
        <v>382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383</v>
      </c>
      <c r="G11" s="253"/>
      <c r="I11" t="s">
        <v>384</v>
      </c>
    </row>
    <row r="12" spans="1:16">
      <c r="K12" s="255" t="s">
        <v>385</v>
      </c>
      <c r="M12" s="255" t="s">
        <v>385</v>
      </c>
    </row>
    <row r="13" spans="1:16">
      <c r="E13" s="253"/>
      <c r="F13" s="252" t="s">
        <v>386</v>
      </c>
      <c r="G13" s="253"/>
      <c r="I13" t="s">
        <v>387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236" t="s">
        <v>388</v>
      </c>
      <c r="J16" s="259" t="s">
        <v>389</v>
      </c>
      <c r="K16" s="259" t="s">
        <v>389</v>
      </c>
      <c r="L16" s="259" t="s">
        <v>390</v>
      </c>
      <c r="M16" s="260" t="s">
        <v>390</v>
      </c>
    </row>
    <row r="17" spans="1:16" customHeight="1" ht="24.75">
      <c r="A17" s="378" t="s">
        <v>391</v>
      </c>
      <c r="B17" s="379"/>
      <c r="C17" s="380" t="s">
        <v>392</v>
      </c>
      <c r="I17" s="1237"/>
      <c r="J17" s="261" t="s">
        <v>393</v>
      </c>
      <c r="K17" s="262" t="s">
        <v>394</v>
      </c>
      <c r="L17" s="261" t="s">
        <v>393</v>
      </c>
      <c r="M17" s="263" t="s">
        <v>394</v>
      </c>
      <c r="O17" s="101" t="s">
        <v>395</v>
      </c>
      <c r="P17" s="102"/>
    </row>
    <row r="18" spans="1:16">
      <c r="A18" s="377" t="s">
        <v>62</v>
      </c>
      <c r="B18" s="11" t="s">
        <v>378</v>
      </c>
      <c r="C18" s="11">
        <v>0</v>
      </c>
      <c r="I18" s="7" t="s">
        <v>240</v>
      </c>
      <c r="J18" s="257" t="s">
        <v>378</v>
      </c>
      <c r="K18" s="258" t="s">
        <v>378</v>
      </c>
      <c r="L18" s="11" t="s">
        <v>378</v>
      </c>
      <c r="M18" s="258" t="s">
        <v>378</v>
      </c>
      <c r="O18" s="24" t="s">
        <v>308</v>
      </c>
      <c r="P18" s="99" t="s">
        <v>378</v>
      </c>
    </row>
    <row r="19" spans="1:16">
      <c r="A19" s="321" t="s">
        <v>152</v>
      </c>
      <c r="B19" s="99" t="s">
        <v>378</v>
      </c>
      <c r="C19" s="99">
        <v>0</v>
      </c>
      <c r="I19" s="24" t="s">
        <v>241</v>
      </c>
      <c r="J19" s="99" t="s">
        <v>378</v>
      </c>
      <c r="K19" s="256" t="s">
        <v>177</v>
      </c>
      <c r="L19" s="99" t="s">
        <v>378</v>
      </c>
      <c r="M19" s="99" t="s">
        <v>378</v>
      </c>
      <c r="O19" s="24" t="s">
        <v>309</v>
      </c>
      <c r="P19" s="99" t="s">
        <v>396</v>
      </c>
    </row>
    <row r="20" spans="1:16">
      <c r="A20" s="321" t="s">
        <v>153</v>
      </c>
      <c r="B20" s="99" t="s">
        <v>378</v>
      </c>
      <c r="C20" s="99">
        <v>0</v>
      </c>
      <c r="I20" s="24" t="s">
        <v>243</v>
      </c>
      <c r="J20" s="99" t="s">
        <v>396</v>
      </c>
      <c r="K20" s="254" t="s">
        <v>396</v>
      </c>
      <c r="L20" s="99" t="s">
        <v>397</v>
      </c>
      <c r="M20" s="254" t="s">
        <v>397</v>
      </c>
      <c r="O20" s="24" t="s">
        <v>310</v>
      </c>
      <c r="P20" s="99" t="s">
        <v>396</v>
      </c>
    </row>
    <row r="21" spans="1:16">
      <c r="A21" s="321" t="s">
        <v>98</v>
      </c>
      <c r="B21" s="99" t="s">
        <v>398</v>
      </c>
      <c r="C21" s="99">
        <v>2</v>
      </c>
      <c r="I21" s="24" t="s">
        <v>249</v>
      </c>
      <c r="J21" s="99" t="s">
        <v>396</v>
      </c>
      <c r="K21" s="99" t="s">
        <v>399</v>
      </c>
      <c r="L21" s="99" t="s">
        <v>397</v>
      </c>
      <c r="M21" s="99" t="s">
        <v>400</v>
      </c>
      <c r="O21" s="24" t="s">
        <v>311</v>
      </c>
      <c r="P21" s="99" t="s">
        <v>401</v>
      </c>
    </row>
    <row r="22" spans="1:16">
      <c r="A22" s="321" t="s">
        <v>154</v>
      </c>
      <c r="B22" s="99" t="s">
        <v>396</v>
      </c>
      <c r="C22" s="99">
        <v>0</v>
      </c>
      <c r="I22" s="24" t="s">
        <v>251</v>
      </c>
      <c r="J22" s="99" t="s">
        <v>396</v>
      </c>
      <c r="K22" s="99" t="s">
        <v>399</v>
      </c>
      <c r="L22" s="99" t="s">
        <v>397</v>
      </c>
      <c r="M22" s="99" t="s">
        <v>400</v>
      </c>
      <c r="O22" s="24" t="s">
        <v>312</v>
      </c>
      <c r="P22" s="99" t="s">
        <v>402</v>
      </c>
    </row>
    <row r="23" spans="1:16">
      <c r="A23" s="321" t="s">
        <v>155</v>
      </c>
      <c r="B23" s="99" t="s">
        <v>396</v>
      </c>
      <c r="C23" s="99">
        <v>0</v>
      </c>
      <c r="I23" s="24" t="s">
        <v>253</v>
      </c>
      <c r="J23" s="99" t="s">
        <v>396</v>
      </c>
      <c r="K23" s="99" t="s">
        <v>399</v>
      </c>
      <c r="L23" s="99" t="s">
        <v>397</v>
      </c>
      <c r="M23" s="99" t="s">
        <v>400</v>
      </c>
      <c r="O23" s="24" t="s">
        <v>313</v>
      </c>
      <c r="P23" s="99" t="s">
        <v>403</v>
      </c>
    </row>
    <row r="24" spans="1:16">
      <c r="A24" s="321" t="s">
        <v>156</v>
      </c>
      <c r="B24" s="99" t="s">
        <v>404</v>
      </c>
      <c r="C24" s="99">
        <v>2</v>
      </c>
      <c r="I24" s="24" t="s">
        <v>254</v>
      </c>
      <c r="J24" s="99" t="s">
        <v>405</v>
      </c>
      <c r="K24" s="254" t="s">
        <v>405</v>
      </c>
      <c r="L24" s="99" t="s">
        <v>406</v>
      </c>
      <c r="M24" s="254" t="s">
        <v>406</v>
      </c>
      <c r="O24" s="24" t="s">
        <v>314</v>
      </c>
      <c r="P24" s="99" t="s">
        <v>403</v>
      </c>
    </row>
    <row r="25" spans="1:16">
      <c r="A25" s="321" t="s">
        <v>157</v>
      </c>
      <c r="B25" s="99" t="s">
        <v>407</v>
      </c>
      <c r="C25" s="99">
        <v>1</v>
      </c>
      <c r="I25" s="24" t="s">
        <v>255</v>
      </c>
      <c r="J25" s="99" t="s">
        <v>406</v>
      </c>
      <c r="K25" s="99" t="s">
        <v>408</v>
      </c>
      <c r="L25" s="99" t="s">
        <v>405</v>
      </c>
      <c r="M25" s="99" t="s">
        <v>409</v>
      </c>
      <c r="O25" s="24" t="s">
        <v>315</v>
      </c>
      <c r="P25" s="99" t="s">
        <v>410</v>
      </c>
    </row>
    <row r="26" spans="1:16">
      <c r="A26" s="321" t="s">
        <v>158</v>
      </c>
      <c r="B26" s="99" t="s">
        <v>411</v>
      </c>
      <c r="C26" s="99">
        <v>1</v>
      </c>
      <c r="I26" s="24" t="s">
        <v>257</v>
      </c>
      <c r="J26" s="99" t="s">
        <v>405</v>
      </c>
      <c r="K26" s="99" t="s">
        <v>409</v>
      </c>
      <c r="L26" s="99" t="s">
        <v>406</v>
      </c>
      <c r="M26" s="99" t="s">
        <v>408</v>
      </c>
      <c r="O26" s="24" t="s">
        <v>316</v>
      </c>
      <c r="P26" s="99" t="s">
        <v>412</v>
      </c>
    </row>
    <row r="27" spans="1:16">
      <c r="A27" s="321" t="s">
        <v>159</v>
      </c>
      <c r="B27" s="99" t="s">
        <v>401</v>
      </c>
      <c r="C27" s="99">
        <v>0</v>
      </c>
      <c r="I27" s="24" t="s">
        <v>258</v>
      </c>
      <c r="J27" s="99" t="s">
        <v>406</v>
      </c>
      <c r="K27" s="99" t="s">
        <v>408</v>
      </c>
      <c r="L27" s="99" t="s">
        <v>405</v>
      </c>
      <c r="M27" s="99" t="s">
        <v>409</v>
      </c>
      <c r="O27" s="24" t="s">
        <v>317</v>
      </c>
      <c r="P27" s="99" t="s">
        <v>412</v>
      </c>
    </row>
    <row r="28" spans="1:16">
      <c r="A28" s="321" t="s">
        <v>160</v>
      </c>
      <c r="B28" s="99" t="s">
        <v>401</v>
      </c>
      <c r="C28" s="99">
        <v>0</v>
      </c>
      <c r="I28" s="24" t="s">
        <v>259</v>
      </c>
      <c r="J28" s="99" t="s">
        <v>413</v>
      </c>
      <c r="K28" s="254" t="s">
        <v>413</v>
      </c>
      <c r="L28" s="99" t="s">
        <v>414</v>
      </c>
      <c r="M28" s="254" t="s">
        <v>414</v>
      </c>
      <c r="O28" s="24" t="s">
        <v>318</v>
      </c>
      <c r="P28" s="99" t="s">
        <v>415</v>
      </c>
    </row>
    <row r="29" spans="1:16">
      <c r="A29" s="321" t="s">
        <v>161</v>
      </c>
      <c r="B29" s="99" t="s">
        <v>416</v>
      </c>
      <c r="C29" s="99">
        <v>4</v>
      </c>
      <c r="I29" s="24" t="s">
        <v>260</v>
      </c>
      <c r="J29" s="99" t="s">
        <v>413</v>
      </c>
      <c r="K29" s="99" t="s">
        <v>417</v>
      </c>
      <c r="L29" s="99" t="s">
        <v>414</v>
      </c>
      <c r="M29" s="99" t="s">
        <v>418</v>
      </c>
      <c r="O29" s="24" t="s">
        <v>319</v>
      </c>
      <c r="P29" s="99" t="s">
        <v>419</v>
      </c>
    </row>
    <row r="30" spans="1:16">
      <c r="I30" s="24" t="s">
        <v>261</v>
      </c>
      <c r="J30" s="99" t="s">
        <v>413</v>
      </c>
      <c r="K30" s="99" t="s">
        <v>417</v>
      </c>
      <c r="L30" s="99" t="s">
        <v>414</v>
      </c>
      <c r="M30" s="99" t="s">
        <v>418</v>
      </c>
      <c r="O30" s="24" t="s">
        <v>320</v>
      </c>
      <c r="P30" s="99" t="s">
        <v>420</v>
      </c>
    </row>
    <row r="31" spans="1:16">
      <c r="I31" s="24" t="s">
        <v>262</v>
      </c>
      <c r="J31" s="99" t="s">
        <v>413</v>
      </c>
      <c r="K31" s="99" t="s">
        <v>417</v>
      </c>
      <c r="L31" s="99" t="s">
        <v>414</v>
      </c>
      <c r="M31" s="99" t="s">
        <v>418</v>
      </c>
      <c r="O31" s="24" t="s">
        <v>321</v>
      </c>
      <c r="P31" s="99" t="s">
        <v>421</v>
      </c>
    </row>
    <row r="32" spans="1:16">
      <c r="I32" s="24" t="s">
        <v>263</v>
      </c>
      <c r="J32" s="99" t="s">
        <v>422</v>
      </c>
      <c r="K32" s="254" t="s">
        <v>422</v>
      </c>
      <c r="L32" s="99" t="s">
        <v>423</v>
      </c>
      <c r="M32" s="254" t="s">
        <v>423</v>
      </c>
      <c r="O32" s="24" t="s">
        <v>322</v>
      </c>
      <c r="P32" s="99" t="s">
        <v>402</v>
      </c>
    </row>
    <row r="33" spans="1:16">
      <c r="I33" s="24" t="s">
        <v>264</v>
      </c>
      <c r="J33" s="99" t="s">
        <v>423</v>
      </c>
      <c r="K33" s="99" t="s">
        <v>424</v>
      </c>
      <c r="L33" s="99" t="s">
        <v>422</v>
      </c>
      <c r="M33" s="99" t="s">
        <v>425</v>
      </c>
      <c r="O33" s="24" t="s">
        <v>323</v>
      </c>
      <c r="P33" s="99" t="s">
        <v>415</v>
      </c>
    </row>
    <row r="34" spans="1:16">
      <c r="I34" s="24" t="s">
        <v>266</v>
      </c>
      <c r="J34" s="99" t="s">
        <v>422</v>
      </c>
      <c r="K34" s="99" t="s">
        <v>425</v>
      </c>
      <c r="L34" s="99" t="s">
        <v>423</v>
      </c>
      <c r="M34" s="99" t="s">
        <v>424</v>
      </c>
      <c r="O34" s="24" t="s">
        <v>324</v>
      </c>
      <c r="P34" s="99" t="s">
        <v>415</v>
      </c>
    </row>
    <row r="35" spans="1:16">
      <c r="I35" s="24" t="s">
        <v>267</v>
      </c>
      <c r="J35" s="99" t="s">
        <v>423</v>
      </c>
      <c r="K35" s="99" t="s">
        <v>424</v>
      </c>
      <c r="L35" s="99" t="s">
        <v>422</v>
      </c>
      <c r="M35" s="99" t="s">
        <v>425</v>
      </c>
    </row>
    <row r="36" spans="1:16">
      <c r="I36" s="24" t="s">
        <v>268</v>
      </c>
      <c r="J36" s="99" t="s">
        <v>426</v>
      </c>
      <c r="K36" s="254" t="s">
        <v>426</v>
      </c>
      <c r="L36" s="99" t="s">
        <v>427</v>
      </c>
      <c r="M36" s="254" t="s">
        <v>427</v>
      </c>
    </row>
    <row r="37" spans="1:16">
      <c r="I37" s="24" t="s">
        <v>270</v>
      </c>
      <c r="J37" s="99" t="s">
        <v>426</v>
      </c>
      <c r="K37" s="99" t="s">
        <v>428</v>
      </c>
      <c r="L37" s="99" t="s">
        <v>427</v>
      </c>
      <c r="M37" s="99" t="s">
        <v>429</v>
      </c>
    </row>
    <row r="38" spans="1:16">
      <c r="I38" s="24" t="s">
        <v>271</v>
      </c>
      <c r="J38" s="99" t="s">
        <v>426</v>
      </c>
      <c r="K38" s="99" t="s">
        <v>428</v>
      </c>
      <c r="L38" s="99" t="s">
        <v>427</v>
      </c>
      <c r="M38" s="99" t="s">
        <v>429</v>
      </c>
    </row>
    <row r="39" spans="1:16">
      <c r="I39" s="24" t="s">
        <v>272</v>
      </c>
      <c r="J39" s="99" t="s">
        <v>426</v>
      </c>
      <c r="K39" s="99" t="s">
        <v>428</v>
      </c>
      <c r="L39" s="99" t="s">
        <v>427</v>
      </c>
      <c r="M39" s="99" t="s">
        <v>429</v>
      </c>
    </row>
    <row r="40" spans="1:16">
      <c r="I40" s="24" t="s">
        <v>274</v>
      </c>
      <c r="J40" s="99" t="s">
        <v>430</v>
      </c>
      <c r="K40" s="254" t="s">
        <v>430</v>
      </c>
      <c r="L40" s="99" t="s">
        <v>431</v>
      </c>
      <c r="M40" s="254" t="s">
        <v>431</v>
      </c>
    </row>
    <row r="41" spans="1:16">
      <c r="I41" s="24" t="s">
        <v>275</v>
      </c>
      <c r="J41" s="99" t="s">
        <v>431</v>
      </c>
      <c r="K41" s="99" t="s">
        <v>432</v>
      </c>
      <c r="L41" s="99" t="s">
        <v>430</v>
      </c>
      <c r="M41" s="99" t="s">
        <v>433</v>
      </c>
    </row>
    <row r="42" spans="1:16">
      <c r="I42" s="24" t="s">
        <v>276</v>
      </c>
      <c r="J42" s="99" t="s">
        <v>430</v>
      </c>
      <c r="K42" s="99" t="s">
        <v>433</v>
      </c>
      <c r="L42" s="99" t="s">
        <v>431</v>
      </c>
      <c r="M42" s="99" t="s">
        <v>432</v>
      </c>
    </row>
    <row r="43" spans="1:16">
      <c r="I43" s="24" t="s">
        <v>278</v>
      </c>
      <c r="J43" s="99" t="s">
        <v>431</v>
      </c>
      <c r="K43" s="99" t="s">
        <v>432</v>
      </c>
      <c r="L43" s="99" t="s">
        <v>430</v>
      </c>
      <c r="M43" s="99" t="s">
        <v>433</v>
      </c>
    </row>
    <row r="44" spans="1:16">
      <c r="I44" s="24" t="s">
        <v>279</v>
      </c>
      <c r="J44" s="99" t="s">
        <v>434</v>
      </c>
      <c r="K44" s="254" t="s">
        <v>434</v>
      </c>
      <c r="L44" s="99" t="s">
        <v>435</v>
      </c>
      <c r="M44" s="254" t="s">
        <v>435</v>
      </c>
    </row>
    <row r="45" spans="1:16">
      <c r="I45" s="24" t="s">
        <v>280</v>
      </c>
      <c r="J45" s="99" t="s">
        <v>434</v>
      </c>
      <c r="K45" s="99" t="s">
        <v>436</v>
      </c>
      <c r="L45" s="99" t="s">
        <v>435</v>
      </c>
      <c r="M45" s="99" t="s">
        <v>437</v>
      </c>
    </row>
    <row r="46" spans="1:16">
      <c r="I46" s="24" t="s">
        <v>282</v>
      </c>
      <c r="J46" s="99" t="s">
        <v>434</v>
      </c>
      <c r="K46" s="99" t="s">
        <v>436</v>
      </c>
      <c r="L46" s="99" t="s">
        <v>435</v>
      </c>
      <c r="M46" s="99" t="s">
        <v>437</v>
      </c>
    </row>
    <row r="47" spans="1:16">
      <c r="I47" s="24" t="s">
        <v>283</v>
      </c>
      <c r="J47" s="99" t="s">
        <v>434</v>
      </c>
      <c r="K47" s="99" t="s">
        <v>436</v>
      </c>
      <c r="L47" s="99" t="s">
        <v>435</v>
      </c>
      <c r="M47" s="99" t="s">
        <v>437</v>
      </c>
    </row>
    <row r="48" spans="1:16">
      <c r="I48" s="24" t="s">
        <v>284</v>
      </c>
      <c r="J48" s="99" t="s">
        <v>438</v>
      </c>
      <c r="K48" s="254" t="s">
        <v>438</v>
      </c>
      <c r="L48" s="99" t="s">
        <v>439</v>
      </c>
      <c r="M48" s="254" t="s">
        <v>439</v>
      </c>
    </row>
    <row r="49" spans="1:16">
      <c r="I49" s="24" t="s">
        <v>286</v>
      </c>
      <c r="J49" s="99" t="s">
        <v>439</v>
      </c>
      <c r="K49" s="99" t="s">
        <v>440</v>
      </c>
      <c r="L49" s="99" t="s">
        <v>438</v>
      </c>
      <c r="M49" s="99" t="s">
        <v>441</v>
      </c>
    </row>
    <row r="50" spans="1:16">
      <c r="I50" s="24" t="s">
        <v>287</v>
      </c>
      <c r="J50" s="99" t="s">
        <v>438</v>
      </c>
      <c r="K50" s="99" t="s">
        <v>441</v>
      </c>
      <c r="L50" s="99" t="s">
        <v>439</v>
      </c>
      <c r="M50" s="99" t="s">
        <v>440</v>
      </c>
    </row>
    <row r="51" spans="1:16">
      <c r="I51" s="24" t="s">
        <v>288</v>
      </c>
      <c r="J51" s="99" t="s">
        <v>439</v>
      </c>
      <c r="K51" s="99" t="s">
        <v>440</v>
      </c>
      <c r="L51" s="99" t="s">
        <v>438</v>
      </c>
      <c r="M51" s="99" t="s">
        <v>441</v>
      </c>
    </row>
    <row r="52" spans="1:16">
      <c r="I52" s="24" t="s">
        <v>289</v>
      </c>
      <c r="J52" s="99" t="s">
        <v>442</v>
      </c>
      <c r="K52" s="254" t="s">
        <v>442</v>
      </c>
      <c r="L52" s="99" t="s">
        <v>443</v>
      </c>
      <c r="M52" s="254" t="s">
        <v>443</v>
      </c>
    </row>
    <row r="53" spans="1:16">
      <c r="I53" s="24" t="s">
        <v>290</v>
      </c>
      <c r="J53" s="99" t="s">
        <v>442</v>
      </c>
      <c r="K53" s="99" t="s">
        <v>444</v>
      </c>
      <c r="L53" s="99" t="s">
        <v>443</v>
      </c>
      <c r="M53" s="99" t="s">
        <v>445</v>
      </c>
    </row>
    <row r="54" spans="1:16">
      <c r="I54" s="24" t="s">
        <v>291</v>
      </c>
      <c r="J54" s="99" t="s">
        <v>442</v>
      </c>
      <c r="K54" s="99" t="s">
        <v>444</v>
      </c>
      <c r="L54" s="99" t="s">
        <v>443</v>
      </c>
      <c r="M54" s="99" t="s">
        <v>445</v>
      </c>
    </row>
    <row r="55" spans="1:16">
      <c r="I55" s="24" t="s">
        <v>292</v>
      </c>
      <c r="J55" s="99" t="s">
        <v>442</v>
      </c>
      <c r="K55" s="99" t="s">
        <v>444</v>
      </c>
      <c r="L55" s="99" t="s">
        <v>443</v>
      </c>
      <c r="M55" s="99" t="s">
        <v>445</v>
      </c>
    </row>
    <row r="56" spans="1:16">
      <c r="I56" s="24" t="s">
        <v>293</v>
      </c>
      <c r="J56" s="99" t="s">
        <v>446</v>
      </c>
      <c r="K56" s="254" t="s">
        <v>446</v>
      </c>
      <c r="L56" s="99" t="s">
        <v>447</v>
      </c>
      <c r="M56" s="254" t="s">
        <v>447</v>
      </c>
    </row>
    <row r="57" spans="1:16">
      <c r="I57" s="24" t="s">
        <v>294</v>
      </c>
      <c r="J57" s="99" t="s">
        <v>447</v>
      </c>
      <c r="K57" s="99" t="s">
        <v>448</v>
      </c>
      <c r="L57" s="99" t="s">
        <v>446</v>
      </c>
      <c r="M57" s="99" t="s">
        <v>449</v>
      </c>
    </row>
    <row r="58" spans="1:16">
      <c r="I58" s="24" t="s">
        <v>295</v>
      </c>
      <c r="J58" s="99" t="s">
        <v>446</v>
      </c>
      <c r="K58" s="99" t="s">
        <v>449</v>
      </c>
      <c r="L58" s="99" t="s">
        <v>447</v>
      </c>
      <c r="M58" s="99" t="s">
        <v>448</v>
      </c>
    </row>
    <row r="59" spans="1:16">
      <c r="I59" s="24" t="s">
        <v>296</v>
      </c>
      <c r="J59" s="99" t="s">
        <v>447</v>
      </c>
      <c r="K59" s="99" t="s">
        <v>448</v>
      </c>
      <c r="L59" s="99" t="s">
        <v>446</v>
      </c>
      <c r="M59" s="99" t="s">
        <v>449</v>
      </c>
    </row>
    <row r="60" spans="1:16">
      <c r="I60" s="24" t="s">
        <v>297</v>
      </c>
      <c r="J60" s="99" t="s">
        <v>450</v>
      </c>
      <c r="K60" s="254" t="s">
        <v>450</v>
      </c>
      <c r="L60" s="99" t="s">
        <v>451</v>
      </c>
      <c r="M60" s="254" t="s">
        <v>451</v>
      </c>
    </row>
    <row r="61" spans="1:16">
      <c r="I61" s="24" t="s">
        <v>298</v>
      </c>
      <c r="J61" s="99" t="s">
        <v>450</v>
      </c>
      <c r="K61" s="99" t="s">
        <v>452</v>
      </c>
      <c r="L61" s="99" t="s">
        <v>451</v>
      </c>
      <c r="M61" s="99" t="s">
        <v>453</v>
      </c>
    </row>
    <row r="62" spans="1:16">
      <c r="I62" s="24" t="s">
        <v>299</v>
      </c>
      <c r="J62" s="99" t="s">
        <v>450</v>
      </c>
      <c r="K62" s="99" t="s">
        <v>452</v>
      </c>
      <c r="L62" s="99" t="s">
        <v>451</v>
      </c>
      <c r="M62" s="99" t="s">
        <v>453</v>
      </c>
    </row>
    <row r="63" spans="1:16">
      <c r="I63" s="24" t="s">
        <v>300</v>
      </c>
      <c r="J63" s="99" t="s">
        <v>450</v>
      </c>
      <c r="K63" s="99" t="s">
        <v>452</v>
      </c>
      <c r="L63" s="99" t="s">
        <v>451</v>
      </c>
      <c r="M63" s="99" t="s">
        <v>453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454</v>
      </c>
    </row>
    <row r="3" spans="1:23" customHeight="1" ht="12.75">
      <c r="A3" s="5" t="s">
        <v>455</v>
      </c>
      <c r="B3" t="s">
        <v>456</v>
      </c>
      <c r="G3" s="9"/>
      <c r="H3" s="9"/>
      <c r="I3" s="9"/>
      <c r="J3" s="9"/>
    </row>
    <row r="4" spans="1:23">
      <c r="B4" s="1120" t="s">
        <v>457</v>
      </c>
      <c r="C4" s="1011"/>
      <c r="D4" s="1013" t="s">
        <v>458</v>
      </c>
      <c r="E4" s="1012"/>
      <c r="G4" s="1250"/>
      <c r="H4" s="1250"/>
      <c r="I4" s="1250"/>
      <c r="J4" s="1250"/>
    </row>
    <row r="5" spans="1:23" customHeight="1" ht="12.75">
      <c r="B5" s="103" t="s">
        <v>459</v>
      </c>
      <c r="C5" s="124" t="s">
        <v>460</v>
      </c>
      <c r="D5" s="123" t="s">
        <v>461</v>
      </c>
      <c r="E5" s="27" t="s">
        <v>462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463</v>
      </c>
    </row>
    <row r="14" spans="1:23" customHeight="1" ht="48.75">
      <c r="D14" s="38" t="s">
        <v>464</v>
      </c>
      <c r="E14" s="39" t="s">
        <v>465</v>
      </c>
      <c r="F14" s="39" t="s">
        <v>466</v>
      </c>
      <c r="G14" s="39" t="s">
        <v>467</v>
      </c>
      <c r="H14" s="39" t="s">
        <v>468</v>
      </c>
      <c r="I14" s="39" t="s">
        <v>469</v>
      </c>
      <c r="J14" s="40" t="s">
        <v>470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1">
        <v>0</v>
      </c>
      <c r="I15" s="75">
        <v>96</v>
      </c>
      <c r="J15" s="75">
        <v>33</v>
      </c>
      <c r="L15" s="1"/>
    </row>
    <row r="16" spans="1:23">
      <c r="B16" t="s">
        <v>63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471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472</v>
      </c>
    </row>
    <row r="20" spans="1:23" customHeight="1" ht="36.75">
      <c r="B20" s="38" t="s">
        <v>473</v>
      </c>
      <c r="C20" s="38" t="s">
        <v>474</v>
      </c>
      <c r="D20" s="40" t="s">
        <v>475</v>
      </c>
      <c r="E20" s="40" t="s">
        <v>476</v>
      </c>
      <c r="F20" s="38" t="s">
        <v>477</v>
      </c>
    </row>
    <row r="21" spans="1:23">
      <c r="A21" t="s">
        <v>54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478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479</v>
      </c>
      <c r="D25" s="1241" t="s">
        <v>480</v>
      </c>
      <c r="E25" s="1242"/>
      <c r="F25" s="1242"/>
      <c r="G25" s="1245" t="s">
        <v>481</v>
      </c>
      <c r="H25" s="1246"/>
      <c r="I25" s="1246"/>
      <c r="J25" s="1246"/>
      <c r="K25" s="1246"/>
      <c r="L25" s="1246"/>
      <c r="M25" s="1247"/>
    </row>
    <row r="26" spans="1:23" customHeight="1" ht="12.75">
      <c r="A26" s="5"/>
      <c r="D26" s="133"/>
      <c r="E26" s="1240" t="s">
        <v>482</v>
      </c>
      <c r="F26" s="1248"/>
      <c r="G26" s="1238" t="s">
        <v>483</v>
      </c>
      <c r="H26" s="1239"/>
      <c r="I26" s="1240"/>
      <c r="J26" s="132"/>
      <c r="K26" s="1240" t="s">
        <v>482</v>
      </c>
      <c r="L26" s="1248"/>
      <c r="M26" s="1249"/>
    </row>
    <row r="27" spans="1:23" customHeight="1" ht="36.75">
      <c r="B27" s="127" t="s">
        <v>484</v>
      </c>
      <c r="C27" s="131"/>
      <c r="D27" s="134" t="s">
        <v>485</v>
      </c>
      <c r="E27" s="135" t="s">
        <v>486</v>
      </c>
      <c r="F27" s="139" t="s">
        <v>487</v>
      </c>
      <c r="G27" s="138" t="s">
        <v>488</v>
      </c>
      <c r="H27" s="136" t="s">
        <v>489</v>
      </c>
      <c r="I27" s="139" t="s">
        <v>490</v>
      </c>
      <c r="J27" s="140" t="s">
        <v>491</v>
      </c>
      <c r="K27" s="135" t="s">
        <v>486</v>
      </c>
      <c r="L27" s="136" t="s">
        <v>487</v>
      </c>
      <c r="M27" s="137" t="s">
        <v>492</v>
      </c>
    </row>
    <row r="28" spans="1:23">
      <c r="B28" s="56" t="s">
        <v>62</v>
      </c>
      <c r="C28" s="57"/>
      <c r="D28" s="126">
        <v>1</v>
      </c>
      <c r="E28" s="75" t="str">
        <f>D28*2</f>
        <v>0</v>
      </c>
      <c r="F28" s="75" t="str">
        <f>D28*4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152</v>
      </c>
      <c r="C29" s="57"/>
      <c r="D29" s="126">
        <v>1</v>
      </c>
      <c r="E29" s="75" t="str">
        <f>D29*2</f>
        <v>0</v>
      </c>
      <c r="F29" s="75" t="str">
        <f>D29*4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153</v>
      </c>
      <c r="C30" s="60"/>
      <c r="D30" s="125">
        <v>1</v>
      </c>
      <c r="E30" s="8" t="str">
        <f>D30*2</f>
        <v>0</v>
      </c>
      <c r="F30" s="8" t="str">
        <f>D30*4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98</v>
      </c>
      <c r="C31" s="60"/>
      <c r="D31" s="221">
        <v>1</v>
      </c>
      <c r="E31" s="8" t="str">
        <f>D31*2</f>
        <v>0</v>
      </c>
      <c r="F31" s="8" t="str">
        <f>D31*4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154</v>
      </c>
      <c r="C32" s="60"/>
      <c r="D32" s="221">
        <v>2</v>
      </c>
      <c r="E32" s="8" t="str">
        <f>D32*2</f>
        <v>0</v>
      </c>
      <c r="F32" s="8" t="str">
        <f>D32*4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155</v>
      </c>
      <c r="C33" s="60"/>
      <c r="D33" s="221">
        <v>2</v>
      </c>
      <c r="E33" s="8" t="str">
        <f>D33*2</f>
        <v>0</v>
      </c>
      <c r="F33" s="8" t="str">
        <f>D33*4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156</v>
      </c>
      <c r="C34" s="60"/>
      <c r="D34" s="221">
        <v>2</v>
      </c>
      <c r="E34" s="8" t="str">
        <f>D34*2</f>
        <v>0</v>
      </c>
      <c r="F34" s="8" t="str">
        <f>D34*4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157</v>
      </c>
      <c r="C35" s="60"/>
      <c r="D35" s="221">
        <v>2</v>
      </c>
      <c r="E35" s="8" t="str">
        <f>D35*2</f>
        <v>0</v>
      </c>
      <c r="F35" s="8" t="str">
        <f>D35*4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158</v>
      </c>
      <c r="C36" s="60"/>
      <c r="D36" s="221">
        <v>3</v>
      </c>
      <c r="E36" s="8" t="str">
        <f>D36*2</f>
        <v>0</v>
      </c>
      <c r="F36" s="8" t="str">
        <f>D36*4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159</v>
      </c>
      <c r="C37" s="60"/>
      <c r="D37" s="221">
        <v>2</v>
      </c>
      <c r="E37" s="8" t="str">
        <f>D37*2</f>
        <v>0</v>
      </c>
      <c r="F37" s="8" t="str">
        <f>D37*4</f>
        <v>0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160</v>
      </c>
      <c r="C38" s="60"/>
      <c r="D38" s="221">
        <v>2</v>
      </c>
      <c r="E38" s="8" t="str">
        <f>D38*2</f>
        <v>0</v>
      </c>
      <c r="F38" s="8" t="str">
        <f>D38*4</f>
        <v>0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161</v>
      </c>
      <c r="C39" s="60"/>
      <c r="D39" s="221">
        <v>2</v>
      </c>
      <c r="E39" s="8" t="str">
        <f>D39*2</f>
        <v>0</v>
      </c>
      <c r="F39" s="8" t="str">
        <f>D39*4</f>
        <v>0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493</v>
      </c>
    </row>
    <row r="41" spans="1:23" customHeight="1" ht="12.75">
      <c r="J41" s="141"/>
    </row>
    <row r="42" spans="1:23">
      <c r="D42" s="1241" t="s">
        <v>480</v>
      </c>
      <c r="E42" s="1242"/>
      <c r="F42" s="1242"/>
      <c r="G42" s="1245" t="s">
        <v>481</v>
      </c>
      <c r="H42" s="1251"/>
      <c r="I42" s="1251"/>
      <c r="J42" s="1251"/>
      <c r="K42" s="1252"/>
      <c r="L42" s="265"/>
      <c r="N42" s="272"/>
      <c r="O42" s="1241" t="s">
        <v>494</v>
      </c>
      <c r="P42" s="1242"/>
      <c r="Q42" s="1242"/>
      <c r="R42" s="1242"/>
      <c r="S42" s="1242"/>
      <c r="T42" s="1242"/>
      <c r="U42" s="1242"/>
      <c r="V42" s="1242"/>
      <c r="W42" s="1253"/>
    </row>
    <row r="43" spans="1:23" customHeight="1" ht="12.75">
      <c r="B43" s="1"/>
      <c r="C43" s="1"/>
      <c r="D43" s="214"/>
      <c r="E43" s="1243" t="s">
        <v>482</v>
      </c>
      <c r="F43" s="1244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495</v>
      </c>
      <c r="C44" s="215"/>
      <c r="D44" s="216" t="s">
        <v>485</v>
      </c>
      <c r="E44" s="217" t="s">
        <v>486</v>
      </c>
      <c r="F44" s="218" t="s">
        <v>487</v>
      </c>
      <c r="G44" s="269" t="s">
        <v>496</v>
      </c>
      <c r="H44" s="270" t="s">
        <v>497</v>
      </c>
      <c r="I44" s="270" t="s">
        <v>498</v>
      </c>
      <c r="J44" s="270" t="s">
        <v>499</v>
      </c>
      <c r="K44" s="271" t="s">
        <v>492</v>
      </c>
      <c r="L44" s="266"/>
      <c r="M44" s="272"/>
      <c r="N44" s="272"/>
      <c r="O44" s="287" t="s">
        <v>496</v>
      </c>
      <c r="P44" s="288" t="s">
        <v>500</v>
      </c>
      <c r="Q44" s="288" t="s">
        <v>501</v>
      </c>
      <c r="R44" s="288" t="s">
        <v>502</v>
      </c>
      <c r="S44" s="288" t="s">
        <v>503</v>
      </c>
      <c r="T44" s="288" t="s">
        <v>498</v>
      </c>
      <c r="U44" s="288" t="s">
        <v>499</v>
      </c>
      <c r="V44" s="582" t="s">
        <v>504</v>
      </c>
      <c r="W44" s="289" t="s">
        <v>492</v>
      </c>
    </row>
    <row r="45" spans="1:23">
      <c r="B45" s="219" t="s">
        <v>240</v>
      </c>
      <c r="C45" s="220"/>
      <c r="D45" s="221">
        <v>1</v>
      </c>
      <c r="E45" s="221">
        <v>4</v>
      </c>
      <c r="F45" s="221" t="str">
        <f>D45*4</f>
        <v>0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505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241</v>
      </c>
      <c r="C46" s="220"/>
      <c r="D46" s="221">
        <v>1</v>
      </c>
      <c r="E46" s="221">
        <v>4</v>
      </c>
      <c r="F46" s="221" t="str">
        <f>D46*4</f>
        <v>0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490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243</v>
      </c>
      <c r="C47" s="220"/>
      <c r="D47" s="221">
        <v>1</v>
      </c>
      <c r="E47" s="221">
        <v>6</v>
      </c>
      <c r="F47" s="221" t="str">
        <f>D47*4</f>
        <v>0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506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249</v>
      </c>
      <c r="C48" s="220"/>
      <c r="D48" s="221">
        <v>1</v>
      </c>
      <c r="E48" s="221">
        <v>6</v>
      </c>
      <c r="F48" s="221" t="str">
        <f>D48*4</f>
        <v>0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486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251</v>
      </c>
      <c r="C49" s="220"/>
      <c r="D49" s="221">
        <v>1</v>
      </c>
      <c r="E49" s="221">
        <v>6</v>
      </c>
      <c r="F49" s="221" t="str">
        <f>D49*4</f>
        <v>0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487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253</v>
      </c>
      <c r="C50" s="220"/>
      <c r="D50" s="221">
        <v>1</v>
      </c>
      <c r="E50" s="221">
        <v>6</v>
      </c>
      <c r="F50" s="221" t="str">
        <f>D50*4</f>
        <v>0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492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254</v>
      </c>
      <c r="C51" s="220"/>
      <c r="D51" s="221">
        <v>2</v>
      </c>
      <c r="E51" s="221">
        <v>8</v>
      </c>
      <c r="F51" s="221" t="str">
        <f>D51*4</f>
        <v>0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507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255</v>
      </c>
      <c r="C52" s="220"/>
      <c r="D52" s="221">
        <v>2</v>
      </c>
      <c r="E52" s="221">
        <v>8</v>
      </c>
      <c r="F52" s="221" t="str">
        <f>D52*4</f>
        <v>0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508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257</v>
      </c>
      <c r="C53" s="220"/>
      <c r="D53" s="221">
        <v>2</v>
      </c>
      <c r="E53" s="221">
        <v>8</v>
      </c>
      <c r="F53" s="221" t="str">
        <f>D53*4</f>
        <v>0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509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258</v>
      </c>
      <c r="C54" s="220"/>
      <c r="D54" s="221">
        <v>2</v>
      </c>
      <c r="E54" s="221">
        <v>8</v>
      </c>
      <c r="F54" s="221" t="str">
        <f>D54*4</f>
        <v>0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510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259</v>
      </c>
      <c r="C55" s="220"/>
      <c r="D55" s="221">
        <v>2</v>
      </c>
      <c r="E55" s="221">
        <v>10</v>
      </c>
      <c r="F55" s="221" t="str">
        <f>D55*4</f>
        <v>0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511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260</v>
      </c>
      <c r="C56" s="220"/>
      <c r="D56" s="221">
        <v>2</v>
      </c>
      <c r="E56" s="221">
        <v>10</v>
      </c>
      <c r="F56" s="221" t="str">
        <f>D56*4</f>
        <v>0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512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261</v>
      </c>
      <c r="C57" s="220"/>
      <c r="D57" s="221">
        <v>2</v>
      </c>
      <c r="E57" s="221">
        <v>10</v>
      </c>
      <c r="F57" s="221" t="str">
        <f>D57*4</f>
        <v>0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513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262</v>
      </c>
      <c r="C58" s="220"/>
      <c r="D58" s="221">
        <v>2</v>
      </c>
      <c r="E58" s="221">
        <v>10</v>
      </c>
      <c r="F58" s="221" t="str">
        <f>D58*4</f>
        <v>0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263</v>
      </c>
      <c r="C59" s="220"/>
      <c r="D59" s="221">
        <v>3</v>
      </c>
      <c r="E59" s="221">
        <v>12</v>
      </c>
      <c r="F59" s="221" t="str">
        <f>D59*4</f>
        <v>0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264</v>
      </c>
      <c r="C60" s="220"/>
      <c r="D60" s="221">
        <v>3</v>
      </c>
      <c r="E60" s="221">
        <v>12</v>
      </c>
      <c r="F60" s="221" t="str">
        <f>D60*4</f>
        <v>0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266</v>
      </c>
      <c r="C61" s="220"/>
      <c r="D61" s="221">
        <v>3</v>
      </c>
      <c r="E61" s="221">
        <v>12</v>
      </c>
      <c r="F61" s="221" t="str">
        <f>D61*4</f>
        <v>0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267</v>
      </c>
      <c r="C62" s="220"/>
      <c r="D62" s="221">
        <v>3</v>
      </c>
      <c r="E62" s="221">
        <v>12</v>
      </c>
      <c r="F62" s="221" t="str">
        <f>D62*4</f>
        <v>0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268</v>
      </c>
      <c r="C63" s="220"/>
      <c r="D63" s="221">
        <v>3</v>
      </c>
      <c r="E63" s="221">
        <v>14</v>
      </c>
      <c r="F63" s="221" t="str">
        <f>D63*4</f>
        <v>0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270</v>
      </c>
      <c r="C64" s="220"/>
      <c r="D64" s="221">
        <v>3</v>
      </c>
      <c r="E64" s="221">
        <v>14</v>
      </c>
      <c r="F64" s="221" t="str">
        <f>D64*4</f>
        <v>0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271</v>
      </c>
      <c r="C65" s="220"/>
      <c r="D65" s="221">
        <v>3</v>
      </c>
      <c r="E65" s="221">
        <v>14</v>
      </c>
      <c r="F65" s="221" t="str">
        <f>D65*4</f>
        <v>0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272</v>
      </c>
      <c r="C66" s="220"/>
      <c r="D66" s="221">
        <v>3</v>
      </c>
      <c r="E66" s="221">
        <v>14</v>
      </c>
      <c r="F66" s="221" t="str">
        <f>D66*4</f>
        <v>0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274</v>
      </c>
      <c r="C67" s="220"/>
      <c r="D67" s="221">
        <v>4</v>
      </c>
      <c r="E67" s="221">
        <v>16</v>
      </c>
      <c r="F67" s="221" t="str">
        <f>D67*4</f>
        <v>0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275</v>
      </c>
      <c r="C68" s="220"/>
      <c r="D68" s="221">
        <v>4</v>
      </c>
      <c r="E68" s="221">
        <v>16</v>
      </c>
      <c r="F68" s="221" t="str">
        <f>D68*4</f>
        <v>0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276</v>
      </c>
      <c r="C69" s="220"/>
      <c r="D69" s="221">
        <v>4</v>
      </c>
      <c r="E69" s="221">
        <v>16</v>
      </c>
      <c r="F69" s="221" t="str">
        <f>D69*4</f>
        <v>0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278</v>
      </c>
      <c r="C70" s="220"/>
      <c r="D70" s="221">
        <v>4</v>
      </c>
      <c r="E70" s="221">
        <v>16</v>
      </c>
      <c r="F70" s="221" t="str">
        <f>D70*4</f>
        <v>0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279</v>
      </c>
      <c r="C71" s="220"/>
      <c r="D71" s="221">
        <v>4</v>
      </c>
      <c r="E71" s="221">
        <v>18</v>
      </c>
      <c r="F71" s="221" t="str">
        <f>D71*4</f>
        <v>0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280</v>
      </c>
      <c r="C72" s="220"/>
      <c r="D72" s="221">
        <v>4</v>
      </c>
      <c r="E72" s="221">
        <v>18</v>
      </c>
      <c r="F72" s="221" t="str">
        <f>D72*4</f>
        <v>0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282</v>
      </c>
      <c r="C73" s="220"/>
      <c r="D73" s="221">
        <v>4</v>
      </c>
      <c r="E73" s="221">
        <v>18</v>
      </c>
      <c r="F73" s="221" t="str">
        <f>D73*4</f>
        <v>0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283</v>
      </c>
      <c r="C74" s="220"/>
      <c r="D74" s="221">
        <v>4</v>
      </c>
      <c r="E74" s="221">
        <v>18</v>
      </c>
      <c r="F74" s="221" t="str">
        <f>D74*4</f>
        <v>0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284</v>
      </c>
      <c r="C75" s="220"/>
      <c r="D75" s="221">
        <v>5</v>
      </c>
      <c r="E75" s="221">
        <v>20</v>
      </c>
      <c r="F75" s="221" t="str">
        <f>D75*4</f>
        <v>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286</v>
      </c>
      <c r="C76" s="220"/>
      <c r="D76" s="221">
        <v>5</v>
      </c>
      <c r="E76" s="221">
        <v>20</v>
      </c>
      <c r="F76" s="221" t="str">
        <f>D76*4</f>
        <v>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287</v>
      </c>
      <c r="C77" s="220"/>
      <c r="D77" s="221">
        <v>5</v>
      </c>
      <c r="E77" s="221">
        <v>20</v>
      </c>
      <c r="F77" s="221" t="str">
        <f>D77*4</f>
        <v>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288</v>
      </c>
      <c r="C78" s="220"/>
      <c r="D78" s="221">
        <v>5</v>
      </c>
      <c r="E78" s="221">
        <v>20</v>
      </c>
      <c r="F78" s="221" t="str">
        <f>D78*4</f>
        <v>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289</v>
      </c>
      <c r="C79" s="220"/>
      <c r="D79" s="221">
        <v>5</v>
      </c>
      <c r="E79" s="221">
        <v>22</v>
      </c>
      <c r="F79" s="221" t="str">
        <f>D79*4</f>
        <v>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290</v>
      </c>
      <c r="C80" s="220"/>
      <c r="D80" s="221">
        <v>5</v>
      </c>
      <c r="E80" s="221">
        <v>22</v>
      </c>
      <c r="F80" s="221" t="str">
        <f>D80*4</f>
        <v>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291</v>
      </c>
      <c r="C81" s="220"/>
      <c r="D81" s="221">
        <v>5</v>
      </c>
      <c r="E81" s="221">
        <v>22</v>
      </c>
      <c r="F81" s="221" t="str">
        <f>D81*4</f>
        <v>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292</v>
      </c>
      <c r="C82" s="220"/>
      <c r="D82" s="221">
        <v>5</v>
      </c>
      <c r="E82" s="221">
        <v>22</v>
      </c>
      <c r="F82" s="221" t="str">
        <f>D82*4</f>
        <v>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293</v>
      </c>
      <c r="C83" s="220"/>
      <c r="D83" s="221">
        <v>6</v>
      </c>
      <c r="E83" s="221">
        <v>24</v>
      </c>
      <c r="F83" s="221" t="str">
        <f>D83*4</f>
        <v>0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294</v>
      </c>
      <c r="C84" s="220"/>
      <c r="D84" s="221">
        <v>6</v>
      </c>
      <c r="E84" s="221">
        <v>24</v>
      </c>
      <c r="F84" s="221" t="str">
        <f>D84*4</f>
        <v>0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295</v>
      </c>
      <c r="C85" s="220"/>
      <c r="D85" s="221">
        <v>6</v>
      </c>
      <c r="E85" s="221">
        <v>24</v>
      </c>
      <c r="F85" s="221" t="str">
        <f>D85*4</f>
        <v>0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296</v>
      </c>
      <c r="C86" s="220"/>
      <c r="D86" s="221">
        <v>6</v>
      </c>
      <c r="E86" s="221">
        <v>24</v>
      </c>
      <c r="F86" s="221" t="str">
        <f>D86*4</f>
        <v>0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297</v>
      </c>
      <c r="C87" s="220"/>
      <c r="D87" s="221">
        <v>6</v>
      </c>
      <c r="E87" s="221">
        <v>26</v>
      </c>
      <c r="F87" s="221" t="str">
        <f>D87*4</f>
        <v>0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298</v>
      </c>
      <c r="C88" s="220"/>
      <c r="D88" s="221">
        <v>6</v>
      </c>
      <c r="E88" s="221">
        <v>26</v>
      </c>
      <c r="F88" s="221" t="str">
        <f>D88*4</f>
        <v>0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299</v>
      </c>
      <c r="C89" s="220"/>
      <c r="D89" s="221">
        <v>6</v>
      </c>
      <c r="E89" s="221">
        <v>26</v>
      </c>
      <c r="F89" s="221" t="str">
        <f>D89*4</f>
        <v>0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300</v>
      </c>
      <c r="C90" s="220"/>
      <c r="D90" s="221">
        <v>6</v>
      </c>
      <c r="E90" s="221">
        <v>26</v>
      </c>
      <c r="F90" s="221" t="str">
        <f>D90*4</f>
        <v>0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241" t="s">
        <v>480</v>
      </c>
      <c r="G93" s="1242"/>
      <c r="H93" s="1242"/>
      <c r="I93" s="1245" t="s">
        <v>481</v>
      </c>
      <c r="J93" s="1251"/>
      <c r="K93" s="1251"/>
      <c r="L93" s="1251"/>
      <c r="M93" s="1252"/>
      <c r="N93" s="272"/>
      <c r="O93" s="272"/>
      <c r="P93" s="272"/>
    </row>
    <row r="94" spans="1:23" customHeight="1" ht="12.75">
      <c r="F94" s="133"/>
      <c r="G94" s="1240" t="s">
        <v>482</v>
      </c>
      <c r="H94" s="1248"/>
      <c r="I94" s="282"/>
      <c r="J94" s="281"/>
      <c r="K94" s="281"/>
      <c r="L94" s="580"/>
      <c r="M94" s="268"/>
      <c r="N94" s="9"/>
      <c r="O94" s="1250"/>
      <c r="P94" s="1250"/>
      <c r="Q94" s="1250"/>
    </row>
    <row r="95" spans="1:23" customHeight="1" ht="24.75">
      <c r="B95" s="179" t="s">
        <v>514</v>
      </c>
      <c r="C95" s="180"/>
      <c r="D95" s="181"/>
      <c r="E95" s="182"/>
      <c r="F95" s="134" t="s">
        <v>485</v>
      </c>
      <c r="G95" s="135" t="s">
        <v>486</v>
      </c>
      <c r="H95" s="139" t="s">
        <v>487</v>
      </c>
      <c r="I95" s="269" t="s">
        <v>496</v>
      </c>
      <c r="J95" s="270" t="s">
        <v>499</v>
      </c>
      <c r="K95" s="270" t="s">
        <v>492</v>
      </c>
      <c r="L95" s="586" t="s">
        <v>504</v>
      </c>
      <c r="M95" s="271" t="s">
        <v>515</v>
      </c>
      <c r="N95" s="283" t="s">
        <v>516</v>
      </c>
      <c r="O95" s="266"/>
      <c r="P95" s="266"/>
      <c r="Q95" s="266"/>
    </row>
    <row r="96" spans="1:23">
      <c r="B96" s="56" t="s">
        <v>308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309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310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311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312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313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314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315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316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317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318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319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320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321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322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323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324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517</v>
      </c>
      <c r="B2" s="390" t="s">
        <v>518</v>
      </c>
      <c r="C2" s="390" t="s">
        <v>497</v>
      </c>
      <c r="D2" s="391" t="s">
        <v>519</v>
      </c>
    </row>
    <row r="3" spans="1:14">
      <c r="A3" s="7" t="s">
        <v>520</v>
      </c>
      <c r="B3" s="71">
        <v>34</v>
      </c>
      <c r="C3" s="7" t="s">
        <v>501</v>
      </c>
      <c r="D3" s="7" t="s">
        <v>496</v>
      </c>
    </row>
    <row r="4" spans="1:14">
      <c r="A4" s="24" t="s">
        <v>521</v>
      </c>
      <c r="B4" s="294">
        <v>34</v>
      </c>
      <c r="C4" s="24" t="s">
        <v>502</v>
      </c>
      <c r="D4" s="24" t="s">
        <v>496</v>
      </c>
    </row>
    <row r="5" spans="1:14">
      <c r="A5" s="24" t="s">
        <v>522</v>
      </c>
      <c r="B5" s="294">
        <v>34</v>
      </c>
      <c r="C5" s="24" t="s">
        <v>502</v>
      </c>
      <c r="D5" s="24" t="s">
        <v>496</v>
      </c>
    </row>
    <row r="6" spans="1:14">
      <c r="A6" s="24" t="s">
        <v>523</v>
      </c>
      <c r="B6" s="294">
        <v>25</v>
      </c>
      <c r="C6" s="24" t="s">
        <v>503</v>
      </c>
      <c r="D6" s="24" t="s">
        <v>500</v>
      </c>
    </row>
    <row r="7" spans="1:14" customHeight="1" ht="12.75"/>
    <row r="8" spans="1:14" customHeight="1" ht="24.75" s="392" customFormat="1">
      <c r="A8" s="447" t="s">
        <v>524</v>
      </c>
      <c r="B8" s="390" t="s">
        <v>525</v>
      </c>
      <c r="C8" s="390" t="s">
        <v>526</v>
      </c>
      <c r="D8" s="390" t="s">
        <v>527</v>
      </c>
      <c r="E8" s="390" t="s">
        <v>528</v>
      </c>
      <c r="F8" s="391" t="s">
        <v>529</v>
      </c>
    </row>
    <row r="9" spans="1:14" customHeight="1" ht="12.75">
      <c r="A9" s="377" t="s">
        <v>250</v>
      </c>
      <c r="B9" s="377" t="s">
        <v>62</v>
      </c>
      <c r="C9" s="377" t="s">
        <v>250</v>
      </c>
      <c r="D9" s="377">
        <v>0</v>
      </c>
      <c r="E9" s="377">
        <v>0</v>
      </c>
      <c r="F9" s="1"/>
      <c r="K9" s="1256" t="s">
        <v>530</v>
      </c>
      <c r="L9" s="1255"/>
      <c r="M9" s="1254" t="s">
        <v>531</v>
      </c>
      <c r="N9" s="1255"/>
    </row>
    <row r="10" spans="1:14">
      <c r="A10" s="321" t="s">
        <v>252</v>
      </c>
      <c r="B10" s="321" t="s">
        <v>521</v>
      </c>
      <c r="C10" s="377" t="s">
        <v>250</v>
      </c>
      <c r="D10" s="377">
        <v>0</v>
      </c>
      <c r="E10" s="377">
        <v>0</v>
      </c>
      <c r="F10" s="1"/>
      <c r="H10" s="321" t="s">
        <v>252</v>
      </c>
      <c r="I10" s="24" t="s">
        <v>152</v>
      </c>
      <c r="J10" s="24" t="str">
        <f>H10&amp;I10</f>
        <v>0</v>
      </c>
      <c r="K10" s="536" t="s">
        <v>152</v>
      </c>
      <c r="L10" s="321" t="s">
        <v>521</v>
      </c>
      <c r="M10" s="569">
        <v>0</v>
      </c>
      <c r="N10" s="321">
        <v>0</v>
      </c>
    </row>
    <row r="11" spans="1:14">
      <c r="A11" s="321" t="s">
        <v>256</v>
      </c>
      <c r="B11" s="321" t="s">
        <v>522</v>
      </c>
      <c r="C11" s="377" t="s">
        <v>250</v>
      </c>
      <c r="D11" s="377">
        <v>0</v>
      </c>
      <c r="E11" s="377">
        <v>0</v>
      </c>
      <c r="F11" s="1"/>
      <c r="H11" s="321" t="s">
        <v>252</v>
      </c>
      <c r="I11" s="24" t="s">
        <v>153</v>
      </c>
      <c r="J11" s="24" t="str">
        <f>H11&amp;I11</f>
        <v>0</v>
      </c>
      <c r="K11" s="536">
        <v>0</v>
      </c>
      <c r="L11" s="321">
        <v>0</v>
      </c>
      <c r="M11" s="569" t="s">
        <v>153</v>
      </c>
      <c r="N11" s="321" t="s">
        <v>521</v>
      </c>
    </row>
    <row r="12" spans="1:14">
      <c r="A12" s="321" t="s">
        <v>265</v>
      </c>
      <c r="B12" s="321" t="s">
        <v>62</v>
      </c>
      <c r="C12" s="321" t="s">
        <v>265</v>
      </c>
      <c r="D12" s="321">
        <v>27</v>
      </c>
      <c r="E12" s="321">
        <v>35</v>
      </c>
      <c r="F12" s="321">
        <v>3</v>
      </c>
      <c r="H12" s="321" t="s">
        <v>252</v>
      </c>
      <c r="I12" s="132" t="s">
        <v>98</v>
      </c>
      <c r="J12" s="24" t="str">
        <f>H12&amp;I12</f>
        <v>0</v>
      </c>
      <c r="K12" s="536" t="s">
        <v>152</v>
      </c>
      <c r="L12" s="321" t="s">
        <v>521</v>
      </c>
      <c r="M12" s="569" t="s">
        <v>153</v>
      </c>
      <c r="N12" s="321" t="s">
        <v>521</v>
      </c>
    </row>
    <row r="13" spans="1:14">
      <c r="A13" s="321" t="s">
        <v>269</v>
      </c>
      <c r="B13" s="321" t="s">
        <v>62</v>
      </c>
      <c r="C13" s="321" t="s">
        <v>269</v>
      </c>
      <c r="D13" s="321">
        <v>46</v>
      </c>
      <c r="E13" s="321">
        <v>35</v>
      </c>
      <c r="F13" s="321">
        <v>3</v>
      </c>
      <c r="H13" s="321" t="s">
        <v>256</v>
      </c>
      <c r="I13" s="24" t="s">
        <v>152</v>
      </c>
      <c r="J13" s="24" t="str">
        <f>H13&amp;I13</f>
        <v>0</v>
      </c>
      <c r="K13" s="536" t="s">
        <v>152</v>
      </c>
      <c r="L13" s="321" t="s">
        <v>522</v>
      </c>
      <c r="M13" s="569">
        <v>0</v>
      </c>
      <c r="N13" s="321">
        <v>0</v>
      </c>
    </row>
    <row r="14" spans="1:14">
      <c r="A14" s="321" t="s">
        <v>273</v>
      </c>
      <c r="B14" s="321" t="s">
        <v>62</v>
      </c>
      <c r="C14" s="321" t="s">
        <v>273</v>
      </c>
      <c r="D14" s="321">
        <v>19</v>
      </c>
      <c r="E14" s="321">
        <v>100</v>
      </c>
      <c r="F14" s="321">
        <v>2</v>
      </c>
      <c r="H14" s="321" t="s">
        <v>256</v>
      </c>
      <c r="I14" s="24" t="s">
        <v>153</v>
      </c>
      <c r="J14" s="24" t="str">
        <f>H14&amp;I14</f>
        <v>0</v>
      </c>
      <c r="K14" s="536">
        <v>0</v>
      </c>
      <c r="L14" s="321">
        <v>0</v>
      </c>
      <c r="M14" s="569" t="s">
        <v>153</v>
      </c>
      <c r="N14" s="321" t="s">
        <v>522</v>
      </c>
    </row>
    <row r="15" spans="1:14">
      <c r="A15" s="321" t="s">
        <v>277</v>
      </c>
      <c r="B15" s="321" t="s">
        <v>62</v>
      </c>
      <c r="C15" s="321" t="s">
        <v>277</v>
      </c>
      <c r="D15" s="321">
        <v>19</v>
      </c>
      <c r="E15" s="321">
        <v>160</v>
      </c>
      <c r="F15" s="321">
        <v>2</v>
      </c>
      <c r="H15" s="321" t="s">
        <v>256</v>
      </c>
      <c r="I15" s="132" t="s">
        <v>98</v>
      </c>
      <c r="J15" s="24" t="str">
        <f>H15&amp;I15</f>
        <v>0</v>
      </c>
      <c r="K15" s="536" t="s">
        <v>152</v>
      </c>
      <c r="L15" s="321" t="s">
        <v>522</v>
      </c>
      <c r="M15" s="569" t="s">
        <v>153</v>
      </c>
      <c r="N15" s="321" t="s">
        <v>522</v>
      </c>
    </row>
    <row r="16" spans="1:14">
      <c r="A16" s="321" t="s">
        <v>281</v>
      </c>
      <c r="B16" s="321" t="s">
        <v>62</v>
      </c>
      <c r="C16" s="321" t="s">
        <v>281</v>
      </c>
      <c r="D16" s="321">
        <v>19</v>
      </c>
      <c r="E16" s="321">
        <v>200</v>
      </c>
      <c r="F16" s="321">
        <v>2</v>
      </c>
      <c r="H16" s="321" t="s">
        <v>256</v>
      </c>
      <c r="I16" s="568" t="s">
        <v>173</v>
      </c>
      <c r="J16" s="24" t="str">
        <f>H16&amp;I16</f>
        <v>0</v>
      </c>
      <c r="K16" s="536" t="s">
        <v>173</v>
      </c>
      <c r="L16" s="321" t="s">
        <v>521</v>
      </c>
      <c r="M16" s="569">
        <v>0</v>
      </c>
      <c r="N16" s="321">
        <v>0</v>
      </c>
    </row>
    <row r="17" spans="1:14">
      <c r="A17" s="321" t="s">
        <v>285</v>
      </c>
      <c r="B17" s="321" t="s">
        <v>62</v>
      </c>
      <c r="C17" s="321" t="s">
        <v>285</v>
      </c>
      <c r="D17" s="321">
        <v>19</v>
      </c>
      <c r="E17" s="370" t="s">
        <v>62</v>
      </c>
      <c r="F17" s="321">
        <v>2</v>
      </c>
      <c r="H17" s="321" t="s">
        <v>256</v>
      </c>
      <c r="I17" s="568" t="s">
        <v>174</v>
      </c>
      <c r="J17" s="24" t="str">
        <f>H17&amp;I17</f>
        <v>0</v>
      </c>
      <c r="K17" s="536">
        <v>0</v>
      </c>
      <c r="L17" s="321">
        <v>0</v>
      </c>
      <c r="M17" s="569" t="s">
        <v>174</v>
      </c>
      <c r="N17" s="321" t="s">
        <v>521</v>
      </c>
    </row>
    <row r="18" spans="1:14" customHeight="1" ht="12.75">
      <c r="H18" s="321" t="s">
        <v>256</v>
      </c>
      <c r="I18" s="568" t="s">
        <v>220</v>
      </c>
      <c r="J18" s="24" t="str">
        <f>H18&amp;I18</f>
        <v>0</v>
      </c>
      <c r="K18" s="536" t="s">
        <v>173</v>
      </c>
      <c r="L18" s="321" t="s">
        <v>521</v>
      </c>
      <c r="M18" s="569" t="s">
        <v>153</v>
      </c>
      <c r="N18" s="321" t="s">
        <v>522</v>
      </c>
    </row>
    <row r="19" spans="1:14" customHeight="1" ht="12.75" s="392" customFormat="1">
      <c r="A19" s="388" t="s">
        <v>150</v>
      </c>
      <c r="B19" s="389" t="s">
        <v>532</v>
      </c>
      <c r="H19" s="321" t="s">
        <v>256</v>
      </c>
      <c r="I19" s="568" t="s">
        <v>219</v>
      </c>
      <c r="J19" s="24" t="str">
        <f>H19&amp;I19</f>
        <v>0</v>
      </c>
      <c r="K19" s="589" t="s">
        <v>173</v>
      </c>
      <c r="L19" s="321" t="s">
        <v>521</v>
      </c>
      <c r="M19" s="569" t="s">
        <v>174</v>
      </c>
      <c r="N19" s="321" t="s">
        <v>521</v>
      </c>
    </row>
    <row r="20" spans="1:14">
      <c r="A20" s="7" t="s">
        <v>62</v>
      </c>
      <c r="B20" s="7">
        <v>0</v>
      </c>
      <c r="H20" s="321" t="s">
        <v>256</v>
      </c>
      <c r="I20" s="568" t="s">
        <v>221</v>
      </c>
      <c r="J20" s="24" t="str">
        <f>H20&amp;I20</f>
        <v>0</v>
      </c>
      <c r="K20" s="536" t="s">
        <v>152</v>
      </c>
      <c r="L20" s="321" t="s">
        <v>522</v>
      </c>
      <c r="M20" s="569" t="s">
        <v>174</v>
      </c>
      <c r="N20" s="321" t="s">
        <v>521</v>
      </c>
    </row>
    <row r="21" spans="1:14">
      <c r="A21" s="7" t="s">
        <v>152</v>
      </c>
      <c r="B21" s="7">
        <v>1</v>
      </c>
    </row>
    <row r="22" spans="1:14">
      <c r="A22" s="24" t="s">
        <v>153</v>
      </c>
      <c r="B22" s="24">
        <v>1</v>
      </c>
    </row>
    <row r="23" spans="1:14">
      <c r="A23" s="132" t="s">
        <v>98</v>
      </c>
      <c r="B23" s="132">
        <v>2</v>
      </c>
    </row>
    <row r="24" spans="1:14">
      <c r="A24" s="568" t="s">
        <v>173</v>
      </c>
      <c r="B24" s="24">
        <v>1</v>
      </c>
    </row>
    <row r="25" spans="1:14">
      <c r="A25" s="568" t="s">
        <v>174</v>
      </c>
      <c r="B25" s="24">
        <v>1</v>
      </c>
    </row>
    <row r="26" spans="1:14">
      <c r="A26" s="568" t="s">
        <v>220</v>
      </c>
      <c r="B26" s="24">
        <v>2</v>
      </c>
    </row>
    <row r="27" spans="1:14">
      <c r="A27" s="568" t="s">
        <v>221</v>
      </c>
      <c r="B27" s="24">
        <v>2</v>
      </c>
    </row>
    <row r="28" spans="1:14" customHeight="1" ht="12.75"/>
    <row r="29" spans="1:14" customHeight="1" ht="12.75" s="392" customFormat="1">
      <c r="A29" s="388" t="s">
        <v>517</v>
      </c>
      <c r="B29" s="389" t="s">
        <v>26</v>
      </c>
      <c r="C29" s="389" t="s">
        <v>151</v>
      </c>
      <c r="D29" s="390" t="s">
        <v>533</v>
      </c>
      <c r="E29" s="391" t="s">
        <v>534</v>
      </c>
    </row>
    <row r="30" spans="1:14">
      <c r="A30" s="7" t="s">
        <v>520</v>
      </c>
      <c r="B30" s="7" t="s">
        <v>62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520</v>
      </c>
      <c r="B31" s="24" t="s">
        <v>535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520</v>
      </c>
      <c r="B32" s="24" t="s">
        <v>536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520</v>
      </c>
      <c r="B33" s="24" t="s">
        <v>537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520</v>
      </c>
      <c r="B34" s="24" t="s">
        <v>538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521</v>
      </c>
      <c r="B35" s="24" t="s">
        <v>62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521</v>
      </c>
      <c r="B36" s="24" t="s">
        <v>535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521</v>
      </c>
      <c r="B37" s="24" t="s">
        <v>536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521</v>
      </c>
      <c r="B38" s="24" t="s">
        <v>537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521</v>
      </c>
      <c r="B39" s="24" t="s">
        <v>538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522</v>
      </c>
      <c r="B40" s="24" t="s">
        <v>62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522</v>
      </c>
      <c r="B41" s="24" t="s">
        <v>535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522</v>
      </c>
      <c r="B42" s="24" t="s">
        <v>536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522</v>
      </c>
      <c r="B43" s="24" t="s">
        <v>537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522</v>
      </c>
      <c r="B44" s="24" t="s">
        <v>538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523</v>
      </c>
      <c r="B45" s="24" t="s">
        <v>62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523</v>
      </c>
      <c r="B46" s="24" t="s">
        <v>535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523</v>
      </c>
      <c r="B47" s="24" t="s">
        <v>536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523</v>
      </c>
      <c r="B48" s="24" t="s">
        <v>537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523</v>
      </c>
      <c r="B49" s="24" t="s">
        <v>538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27</v>
      </c>
      <c r="B52" s="312" t="s">
        <v>96</v>
      </c>
    </row>
    <row r="53" spans="1:14">
      <c r="A53" s="7" t="s">
        <v>62</v>
      </c>
      <c r="B53" s="71">
        <v>0</v>
      </c>
    </row>
    <row r="54" spans="1:14">
      <c r="A54" s="24" t="s">
        <v>539</v>
      </c>
      <c r="B54" s="371">
        <v>53</v>
      </c>
    </row>
    <row r="55" spans="1:14">
      <c r="A55" s="24" t="s">
        <v>540</v>
      </c>
      <c r="B55" s="371">
        <v>101</v>
      </c>
    </row>
    <row r="56" spans="1:14">
      <c r="A56" s="24" t="s">
        <v>541</v>
      </c>
      <c r="B56" s="371" t="s">
        <v>372</v>
      </c>
    </row>
    <row r="57" spans="1:14">
      <c r="B57" s="23"/>
    </row>
    <row r="58" spans="1:14" customHeight="1" ht="12.75"/>
    <row r="59" spans="1:14" customHeight="1" ht="12.75">
      <c r="A59" s="388" t="s">
        <v>517</v>
      </c>
      <c r="B59" s="312" t="s">
        <v>542</v>
      </c>
      <c r="C59" s="414" t="s">
        <v>151</v>
      </c>
      <c r="D59" s="414" t="s">
        <v>543</v>
      </c>
      <c r="E59" s="414" t="s">
        <v>544</v>
      </c>
    </row>
    <row r="60" spans="1:14">
      <c r="A60" s="7" t="s">
        <v>520</v>
      </c>
      <c r="B60" s="7" t="s">
        <v>545</v>
      </c>
      <c r="C60" s="7" t="str">
        <f>A60&amp;B60</f>
        <v>0</v>
      </c>
      <c r="D60" s="416" t="str">
        <f>('BF - MO'!M32*'BF - MO'!N32)/500+3</f>
        <v>0</v>
      </c>
      <c r="E60" t="s">
        <v>546</v>
      </c>
    </row>
    <row r="61" spans="1:14">
      <c r="A61" s="7" t="s">
        <v>520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546</v>
      </c>
    </row>
    <row r="62" spans="1:14">
      <c r="A62" s="24" t="s">
        <v>521</v>
      </c>
      <c r="B62" s="24" t="s">
        <v>545</v>
      </c>
      <c r="C62" s="24" t="str">
        <f>A62&amp;B62</f>
        <v>0</v>
      </c>
      <c r="D62" s="415" t="str">
        <f>('BF - MO'!M32*'BF - MO'!N32)/500+3+3</f>
        <v>0</v>
      </c>
      <c r="E62" t="s">
        <v>547</v>
      </c>
    </row>
    <row r="63" spans="1:14">
      <c r="A63" s="24" t="s">
        <v>521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548</v>
      </c>
    </row>
    <row r="64" spans="1:14">
      <c r="A64" s="24" t="s">
        <v>522</v>
      </c>
      <c r="B64" s="24" t="s">
        <v>545</v>
      </c>
      <c r="C64" s="24" t="str">
        <f>A64&amp;B64</f>
        <v>0</v>
      </c>
      <c r="D64" s="415" t="str">
        <f>('BF - MO'!M32*'BF - MO'!N32)/500+3+3</f>
        <v>0</v>
      </c>
      <c r="E64" t="s">
        <v>547</v>
      </c>
    </row>
    <row r="65" spans="1:14">
      <c r="A65" s="24" t="s">
        <v>522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548</v>
      </c>
    </row>
    <row r="66" spans="1:14">
      <c r="A66" s="24" t="s">
        <v>523</v>
      </c>
      <c r="B66" s="24" t="s">
        <v>545</v>
      </c>
      <c r="C66" s="24" t="str">
        <f>A66&amp;B66</f>
        <v>0</v>
      </c>
      <c r="D66" s="415" t="str">
        <f>('BF - MO'!M32*'BF - MO'!N32)/500+3</f>
        <v>0</v>
      </c>
      <c r="E66" t="s">
        <v>546</v>
      </c>
    </row>
    <row r="67" spans="1:14" customHeight="1" ht="12.75">
      <c r="A67" s="24" t="s">
        <v>523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548</v>
      </c>
    </row>
    <row r="68" spans="1:14" customHeight="1" ht="12.75">
      <c r="C68" s="414" t="s">
        <v>151</v>
      </c>
      <c r="D68" s="417" t="s">
        <v>549</v>
      </c>
      <c r="E68" s="414" t="s">
        <v>544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1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59"/>
    <col min="2" max="2" width="16.6640625" customWidth="true" style="759"/>
    <col min="3" max="3" width="10.33203125" customWidth="true" style="759"/>
    <col min="4" max="4" width="8.6640625" customWidth="true" style="759"/>
    <col min="5" max="5" width="10.6640625" customWidth="true" style="759"/>
    <col min="6" max="6" width="10.6640625" customWidth="true" style="759"/>
    <col min="7" max="7" width="10.6640625" customWidth="true" style="869"/>
    <col min="8" max="8" width="2.6640625" customWidth="true" style="759"/>
    <col min="9" max="9" width="7.1640625" customWidth="true" style="759"/>
    <col min="10" max="10" width="5.5" customWidth="true" style="759"/>
    <col min="11" max="11" width="9.6640625" customWidth="true" style="759"/>
    <col min="12" max="12" width="9.1640625" customWidth="true" style="759"/>
    <col min="13" max="13" width="9.33203125" customWidth="true" style="759"/>
    <col min="14" max="14" width="10.5" customWidth="true" style="759"/>
    <col min="15" max="15" width="1.6640625" customWidth="true" style="759"/>
    <col min="16" max="16" width="9.33203125" customWidth="true" style="759"/>
  </cols>
  <sheetData>
    <row r="1" spans="1:18" customHeight="1" ht="17.25">
      <c r="A1" s="757"/>
      <c r="B1" s="757"/>
      <c r="C1" s="757"/>
      <c r="D1" s="1257" t="s">
        <v>550</v>
      </c>
      <c r="E1" s="1257"/>
      <c r="F1" s="1257"/>
      <c r="G1" s="758"/>
      <c r="H1" s="757"/>
      <c r="I1" s="757"/>
      <c r="J1" s="757"/>
      <c r="K1" s="757"/>
      <c r="L1" s="757"/>
      <c r="M1" s="757"/>
      <c r="N1" s="757"/>
      <c r="O1" s="757"/>
    </row>
    <row r="2" spans="1:18" customHeight="1" ht="17.25">
      <c r="A2" s="757"/>
      <c r="B2" s="757"/>
      <c r="C2" s="757"/>
      <c r="D2" s="1257"/>
      <c r="E2" s="1257"/>
      <c r="F2" s="1257"/>
      <c r="G2" s="758"/>
      <c r="H2" s="757"/>
      <c r="I2" s="757"/>
      <c r="J2" s="757"/>
      <c r="K2" s="757"/>
      <c r="L2" s="757"/>
      <c r="M2" s="757"/>
      <c r="N2" s="757"/>
      <c r="O2" s="757"/>
    </row>
    <row r="3" spans="1:18" customHeight="1" ht="7.5">
      <c r="A3" s="757"/>
      <c r="B3" s="757"/>
      <c r="C3" s="757"/>
      <c r="D3" s="757"/>
      <c r="E3" s="757"/>
      <c r="F3" s="757"/>
      <c r="G3" s="758"/>
      <c r="H3" s="757"/>
      <c r="I3" s="757"/>
      <c r="J3" s="757"/>
      <c r="K3" s="757"/>
      <c r="L3" s="757"/>
      <c r="M3" s="757"/>
      <c r="N3" s="757"/>
      <c r="O3" s="757"/>
    </row>
    <row r="4" spans="1:18" customHeight="1" ht="13.5">
      <c r="A4" s="760" t="s">
        <v>551</v>
      </c>
      <c r="B4" s="761"/>
      <c r="C4" s="761"/>
      <c r="D4" s="761"/>
      <c r="E4" s="761"/>
      <c r="F4" s="761"/>
      <c r="G4" s="762"/>
      <c r="H4" s="763"/>
      <c r="I4" s="760" t="s">
        <v>552</v>
      </c>
      <c r="J4" s="761"/>
      <c r="K4" s="761"/>
      <c r="L4" s="761"/>
      <c r="M4" s="764" t="s">
        <v>42</v>
      </c>
      <c r="N4" s="765" t="s">
        <v>13</v>
      </c>
      <c r="O4" s="757"/>
    </row>
    <row r="5" spans="1:18">
      <c r="A5" s="766"/>
      <c r="B5" s="767" t="s">
        <v>64</v>
      </c>
      <c r="C5" s="767"/>
      <c r="D5" s="768" t="str">
        <f>'H - INPUT'!F17</f>
        <v>0</v>
      </c>
      <c r="E5" s="769"/>
      <c r="F5" s="769"/>
      <c r="G5" s="1273" t="str">
        <f>'H - INPUT'!F16</f>
        <v>0</v>
      </c>
      <c r="H5" s="757"/>
      <c r="I5" s="771" t="s">
        <v>335</v>
      </c>
      <c r="J5" s="772"/>
      <c r="K5" s="772"/>
      <c r="L5" s="772"/>
      <c r="M5" s="773" t="str">
        <f>IFERROR('Panel Details'!I12,0)+IF(OR(C20="LL",C20="RR",C20="LRR",C20="LLR",C20="LLRR"),0,0)</f>
        <v>0</v>
      </c>
      <c r="N5" s="774" t="str">
        <f>IFERROR(('Panel Details'!E16+'Panel Details'!G16)*C21*D9,0)</f>
        <v>0</v>
      </c>
      <c r="O5" s="757"/>
    </row>
    <row r="6" spans="1:18" customHeight="1" ht="15">
      <c r="A6" s="775"/>
      <c r="B6" s="776" t="s">
        <v>2</v>
      </c>
      <c r="C6" s="776"/>
      <c r="D6" s="777" t="str">
        <f>'H - INPUT'!F18</f>
        <v>0</v>
      </c>
      <c r="E6" s="768"/>
      <c r="F6" s="768"/>
      <c r="G6" s="1274"/>
      <c r="H6" s="757"/>
      <c r="I6" s="766"/>
      <c r="J6" s="767"/>
      <c r="K6" s="767"/>
      <c r="L6" s="767"/>
      <c r="M6" s="767"/>
      <c r="N6" s="779"/>
      <c r="O6" s="757"/>
    </row>
    <row r="7" spans="1:18" customHeight="1" ht="15">
      <c r="A7" s="775"/>
      <c r="B7" s="776" t="s">
        <v>10</v>
      </c>
      <c r="C7" s="776"/>
      <c r="D7" s="777" t="str">
        <f>'H - INPUT'!F19</f>
        <v>0</v>
      </c>
      <c r="E7" s="768"/>
      <c r="F7" s="768"/>
      <c r="G7" s="778"/>
      <c r="H7" s="757"/>
      <c r="I7" s="780" t="s">
        <v>55</v>
      </c>
      <c r="J7" s="767"/>
      <c r="K7" s="767"/>
      <c r="L7" s="767"/>
      <c r="M7" s="767"/>
      <c r="N7" s="779"/>
      <c r="O7" s="757"/>
    </row>
    <row r="8" spans="1:18">
      <c r="A8" s="781"/>
      <c r="B8" s="782" t="s">
        <v>65</v>
      </c>
      <c r="C8" s="782"/>
      <c r="D8" s="783" t="str">
        <f>'H - INPUT'!F20</f>
        <v>0</v>
      </c>
      <c r="E8" s="783"/>
      <c r="F8" s="783"/>
      <c r="G8" s="784"/>
      <c r="H8" s="757"/>
      <c r="I8" s="781" t="s">
        <v>553</v>
      </c>
      <c r="J8" s="782"/>
      <c r="K8" s="782"/>
      <c r="L8" s="782"/>
      <c r="M8" s="785" t="str">
        <f>IFERROR(IF('Panel Details'!G26="Type 1",'Panel Details'!I11,0),0)</f>
        <v>0</v>
      </c>
      <c r="N8" s="786" t="str">
        <f>IF(NOT(M8=0),C21*D9,0)</f>
        <v>0</v>
      </c>
      <c r="O8" s="757"/>
    </row>
    <row r="9" spans="1:18">
      <c r="A9" s="781"/>
      <c r="B9" s="782" t="s">
        <v>554</v>
      </c>
      <c r="C9" s="782"/>
      <c r="D9" s="783" t="str">
        <f>'H - INPUT'!F21</f>
        <v>0</v>
      </c>
      <c r="E9" s="783"/>
      <c r="F9" s="783"/>
      <c r="G9" s="784"/>
      <c r="H9" s="757"/>
      <c r="I9" s="781" t="s">
        <v>555</v>
      </c>
      <c r="J9" s="782"/>
      <c r="K9" s="782"/>
      <c r="L9" s="782"/>
      <c r="M9" s="785" t="str">
        <f>IFERROR(IF('Panel Details'!G26="Type 1",0,'Panel Details'!I11),0)</f>
        <v>0</v>
      </c>
      <c r="N9" s="786" t="str">
        <f>IF(NOT(M9=0),C21*D9,0)</f>
        <v>0</v>
      </c>
      <c r="O9" s="757"/>
    </row>
    <row r="10" spans="1:18">
      <c r="A10" s="781"/>
      <c r="B10" s="782" t="s">
        <v>14</v>
      </c>
      <c r="C10" s="782"/>
      <c r="D10" s="783" t="str">
        <f>'H - INPUT'!F22</f>
        <v>0</v>
      </c>
      <c r="E10" s="783"/>
      <c r="F10" s="783"/>
      <c r="G10" s="784"/>
      <c r="H10" s="757"/>
      <c r="I10" s="781" t="s">
        <v>556</v>
      </c>
      <c r="J10" s="782"/>
      <c r="K10" s="782"/>
      <c r="L10" s="782"/>
      <c r="M10" s="785" t="str">
        <f>IFERROR(IF('Panel Details'!G26="Type 1",0,'Panel Details'!I11),0)</f>
        <v>0</v>
      </c>
      <c r="N10" s="786" t="str">
        <f>IF(NOT(M10=0),C21*D9,0)</f>
        <v>0</v>
      </c>
      <c r="O10" s="757"/>
    </row>
    <row r="11" spans="1:18">
      <c r="A11" s="781"/>
      <c r="B11" s="782" t="s">
        <v>17</v>
      </c>
      <c r="C11" s="782"/>
      <c r="D11" s="783" t="str">
        <f>'H - INPUT'!F26</f>
        <v>0</v>
      </c>
      <c r="E11" s="783"/>
      <c r="F11" s="787" t="s">
        <v>12</v>
      </c>
      <c r="G11" s="784" t="str">
        <f>IF('H - INPUT'!F27="","",'H - INPUT'!F27)</f>
        <v>0</v>
      </c>
      <c r="H11" s="757"/>
      <c r="I11" s="781" t="s">
        <v>557</v>
      </c>
      <c r="J11" s="782"/>
      <c r="K11" s="782"/>
      <c r="L11" s="782"/>
      <c r="M11" s="788" t="str">
        <f>IF(NOT(M10=0),'Panel Details'!E42,0)</f>
        <v>0</v>
      </c>
      <c r="N11" s="789" t="str">
        <f>IF(N9&gt;0,M11+9+91,"")</f>
        <v>0</v>
      </c>
      <c r="O11" s="757"/>
    </row>
    <row r="12" spans="1:18">
      <c r="A12" s="781"/>
      <c r="B12" s="782" t="s">
        <v>15</v>
      </c>
      <c r="C12" s="782"/>
      <c r="D12" s="783" t="str">
        <f>'H - INPUT'!F23</f>
        <v>0</v>
      </c>
      <c r="E12" s="783"/>
      <c r="F12" s="783"/>
      <c r="G12" s="784"/>
      <c r="H12" s="757"/>
      <c r="I12" s="766"/>
      <c r="J12" s="767"/>
      <c r="K12" s="767"/>
      <c r="L12" s="767"/>
      <c r="M12" s="767"/>
      <c r="N12" s="779"/>
      <c r="O12" s="757"/>
    </row>
    <row r="13" spans="1:18" customHeight="1" ht="13.5">
      <c r="A13" s="775"/>
      <c r="B13" s="776" t="s">
        <v>67</v>
      </c>
      <c r="C13" s="776"/>
      <c r="D13" s="768" t="str">
        <f>'H - INPUT'!F24</f>
        <v>0</v>
      </c>
      <c r="E13" s="768"/>
      <c r="F13" s="768"/>
      <c r="G13" s="778"/>
      <c r="H13" s="757"/>
      <c r="I13" s="781" t="s">
        <v>558</v>
      </c>
      <c r="J13" s="782"/>
      <c r="K13" s="782"/>
      <c r="L13" s="782"/>
      <c r="M13" s="785" t="str">
        <f>IFERROR(IF(NOT(D24="N/A"),'Panel Details'!I11,0),0)</f>
        <v>0</v>
      </c>
      <c r="N13" s="786" t="str">
        <f>IF(M13=0,0,C21*1*D9)</f>
        <v>0</v>
      </c>
      <c r="O13" s="757"/>
    </row>
    <row r="14" spans="1:18" customHeight="1" ht="13.5">
      <c r="A14" s="760" t="s">
        <v>559</v>
      </c>
      <c r="B14" s="761"/>
      <c r="C14" s="761"/>
      <c r="D14" s="761"/>
      <c r="E14" s="761"/>
      <c r="F14" s="761"/>
      <c r="G14" s="762"/>
      <c r="H14" s="757"/>
      <c r="I14" s="766"/>
      <c r="J14" s="767"/>
      <c r="K14" s="767"/>
      <c r="L14" s="767"/>
      <c r="M14" s="767"/>
      <c r="N14" s="779"/>
      <c r="O14" s="757"/>
    </row>
    <row r="15" spans="1:18">
      <c r="A15" s="790"/>
      <c r="B15" s="791"/>
      <c r="C15" s="791"/>
      <c r="D15" s="791"/>
      <c r="E15" s="791"/>
      <c r="F15" s="792" t="s">
        <v>96</v>
      </c>
      <c r="G15" s="793" t="s">
        <v>97</v>
      </c>
      <c r="H15" s="757"/>
      <c r="I15" s="780" t="s">
        <v>464</v>
      </c>
      <c r="J15" s="767"/>
      <c r="K15" s="767"/>
      <c r="L15" s="767"/>
      <c r="M15" s="767"/>
      <c r="N15" s="779"/>
      <c r="O15" s="757"/>
    </row>
    <row r="16" spans="1:18">
      <c r="A16" s="794" t="s">
        <v>20</v>
      </c>
      <c r="B16" s="787" t="str">
        <f>'H - INPUT'!F34</f>
        <v>0</v>
      </c>
      <c r="C16" s="795"/>
      <c r="D16" s="796" t="s">
        <v>560</v>
      </c>
      <c r="E16" s="795"/>
      <c r="F16" s="797" t="str">
        <f>'H - INPUT'!F35</f>
        <v>0</v>
      </c>
      <c r="G16" s="798" t="str">
        <f>'H - INPUT'!F36</f>
        <v>0</v>
      </c>
      <c r="H16" s="757"/>
      <c r="I16" s="781" t="s">
        <v>555</v>
      </c>
      <c r="J16" s="782"/>
      <c r="K16" s="782"/>
      <c r="L16" s="782"/>
      <c r="M16" s="785" t="str">
        <f>IFERROR('Panel Details'!I11,0)</f>
        <v>0</v>
      </c>
      <c r="N16" s="786" t="str">
        <f>C21*D9</f>
        <v>0</v>
      </c>
      <c r="O16" s="757"/>
    </row>
    <row r="17" spans="1:18">
      <c r="A17" s="794" t="s">
        <v>561</v>
      </c>
      <c r="B17" s="799" t="str">
        <f>'H - INPUT'!F32</f>
        <v>0</v>
      </c>
      <c r="C17" s="800"/>
      <c r="D17" s="796" t="s">
        <v>562</v>
      </c>
      <c r="E17" s="795"/>
      <c r="F17" s="797" t="str">
        <f>IFERROR('Opening H'!B8,0)</f>
        <v>0</v>
      </c>
      <c r="G17" s="798" t="str">
        <f>IFERROR('Opening H'!B9,0)</f>
        <v>0</v>
      </c>
      <c r="H17" s="757"/>
      <c r="I17" s="781" t="s">
        <v>556</v>
      </c>
      <c r="J17" s="782"/>
      <c r="K17" s="782"/>
      <c r="L17" s="782"/>
      <c r="M17" s="785" t="str">
        <f>IFERROR('Panel Details'!I11,0)</f>
        <v>0</v>
      </c>
      <c r="N17" s="786" t="str">
        <f>C21*D9</f>
        <v>0</v>
      </c>
      <c r="O17" s="757"/>
    </row>
    <row r="18" spans="1:18" customHeight="1" ht="13.5">
      <c r="A18" s="801"/>
      <c r="B18" s="802"/>
      <c r="C18" s="803"/>
      <c r="D18" s="804" t="s">
        <v>563</v>
      </c>
      <c r="E18" s="805"/>
      <c r="F18" s="806" t="str">
        <f>IFERROR('Panel H'!B11,0)</f>
        <v>0</v>
      </c>
      <c r="G18" s="807" t="str">
        <f>IFERROR('Panel H'!B12,0)</f>
        <v>0</v>
      </c>
      <c r="H18" s="757"/>
      <c r="I18" s="781" t="s">
        <v>557</v>
      </c>
      <c r="J18" s="782"/>
      <c r="K18" s="782"/>
      <c r="L18" s="782"/>
      <c r="M18" s="788" t="str">
        <f>IFERROR(IF('Panel Details'!G26="Type 1",'Panel Details'!J32,'Panel Details'!J42),0)</f>
        <v>0</v>
      </c>
      <c r="N18" s="789" t="str">
        <f>M18+9+91</f>
        <v>0</v>
      </c>
      <c r="O18" s="757"/>
    </row>
    <row r="19" spans="1:18" customHeight="1" ht="13.5">
      <c r="A19" s="760" t="s">
        <v>564</v>
      </c>
      <c r="B19" s="761"/>
      <c r="C19" s="761"/>
      <c r="D19" s="761"/>
      <c r="E19" s="761"/>
      <c r="F19" s="761"/>
      <c r="G19" s="762"/>
      <c r="H19" s="757"/>
      <c r="I19" s="766"/>
      <c r="J19" s="767"/>
      <c r="K19" s="767"/>
      <c r="L19" s="767"/>
      <c r="M19" s="767"/>
      <c r="N19" s="779"/>
      <c r="O19" s="757"/>
    </row>
    <row r="20" spans="1:18">
      <c r="A20" s="808" t="s">
        <v>565</v>
      </c>
      <c r="B20" s="809"/>
      <c r="C20" s="810" t="str">
        <f>'H - INPUT'!F38</f>
        <v>0</v>
      </c>
      <c r="D20" s="811"/>
      <c r="E20" s="812" t="s">
        <v>566</v>
      </c>
      <c r="F20" s="811"/>
      <c r="G20" s="813" t="str">
        <f>'H - INPUT'!F29</f>
        <v>0</v>
      </c>
      <c r="H20" s="757"/>
      <c r="I20" s="781" t="s">
        <v>567</v>
      </c>
      <c r="J20" s="782"/>
      <c r="K20" s="782"/>
      <c r="L20" s="782"/>
      <c r="M20" s="785" t="str">
        <f>IFERROR('Panel Details'!I17,0)</f>
        <v>0</v>
      </c>
      <c r="N20" s="786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57"/>
    </row>
    <row r="21" spans="1:18">
      <c r="A21" s="781" t="s">
        <v>123</v>
      </c>
      <c r="B21" s="782"/>
      <c r="C21" s="783" t="str">
        <f>'H - INPUT'!F39</f>
        <v>0</v>
      </c>
      <c r="D21" s="814"/>
      <c r="E21" s="796" t="s">
        <v>568</v>
      </c>
      <c r="F21" s="814"/>
      <c r="G21" s="815" t="str">
        <f>'H - INPUT'!F30</f>
        <v>0</v>
      </c>
      <c r="H21" s="757"/>
      <c r="I21" s="781" t="s">
        <v>569</v>
      </c>
      <c r="J21" s="782"/>
      <c r="K21" s="782"/>
      <c r="L21" s="782"/>
      <c r="M21" s="785" t="str">
        <f>IFERROR(IF(N21=0,0,'Panel Details'!I17),0)</f>
        <v>0</v>
      </c>
      <c r="N21" s="786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57"/>
    </row>
    <row r="22" spans="1:18" customHeight="1" ht="13.5">
      <c r="A22" s="801" t="s">
        <v>570</v>
      </c>
      <c r="B22" s="803"/>
      <c r="C22" s="803" t="str">
        <f>IFERROR(VLOOKUP(C20,Stiles!A18:B29,2,FALSE),0)</f>
        <v>0</v>
      </c>
      <c r="D22" s="803"/>
      <c r="E22" s="803"/>
      <c r="F22" s="803"/>
      <c r="G22" s="816"/>
      <c r="H22" s="757"/>
      <c r="I22" s="781" t="s">
        <v>392</v>
      </c>
      <c r="J22" s="782"/>
      <c r="K22" s="782"/>
      <c r="L22" s="782"/>
      <c r="M22" s="785" t="str">
        <f>IFERROR(IF(N22&gt;0,'Panel Details'!I17,0),0)</f>
        <v>0</v>
      </c>
      <c r="N22" s="786" t="str">
        <f>IFERROR(VLOOKUP(C20,Stiles!A18:C29,3,FALSE)*D9,0)</f>
        <v>0</v>
      </c>
      <c r="O22" s="757"/>
    </row>
    <row r="23" spans="1:18" customHeight="1" ht="13.5">
      <c r="A23" s="760" t="s">
        <v>571</v>
      </c>
      <c r="B23" s="761"/>
      <c r="C23" s="761"/>
      <c r="D23" s="761"/>
      <c r="E23" s="761"/>
      <c r="F23" s="761"/>
      <c r="G23" s="762"/>
      <c r="H23" s="757"/>
      <c r="I23" s="766"/>
      <c r="J23" s="767"/>
      <c r="K23" s="767"/>
      <c r="L23" s="767"/>
      <c r="M23" s="767"/>
      <c r="N23" s="779"/>
      <c r="O23" s="757"/>
    </row>
    <row r="24" spans="1:18">
      <c r="A24" s="808" t="s">
        <v>572</v>
      </c>
      <c r="B24" s="809"/>
      <c r="C24" s="817"/>
      <c r="D24" s="818" t="str">
        <f>IFERROR('Panel Details'!H53,0)</f>
        <v>0</v>
      </c>
      <c r="E24" s="769" t="s">
        <v>573</v>
      </c>
      <c r="F24" s="769"/>
      <c r="G24" s="819" t="str">
        <f>IFERROR(ROUND((76.2*(D24-1))+103.2+M18+46-26.5,0),0)</f>
        <v>0</v>
      </c>
      <c r="H24" s="757"/>
      <c r="I24" s="781" t="s">
        <v>574</v>
      </c>
      <c r="J24" s="782"/>
      <c r="K24" s="782"/>
      <c r="L24" s="785" t="str">
        <f>IFERROR('Panel Details'!E16,0)</f>
        <v>0</v>
      </c>
      <c r="M24" s="785" t="str">
        <f>IFERROR('Panel Details'!I18,0)</f>
        <v>0</v>
      </c>
      <c r="N24" s="786" t="str">
        <f>2*C21*D9</f>
        <v>0</v>
      </c>
      <c r="O24" s="757"/>
    </row>
    <row r="25" spans="1:18">
      <c r="A25" s="781" t="s">
        <v>575</v>
      </c>
      <c r="B25" s="782"/>
      <c r="C25" s="795"/>
      <c r="D25" s="820" t="str">
        <f>IFERROR('Panel Details'!H55,0)</f>
        <v>0</v>
      </c>
      <c r="E25" s="783"/>
      <c r="F25" s="783"/>
      <c r="G25" s="821"/>
      <c r="H25" s="757"/>
      <c r="I25" s="781" t="s">
        <v>574</v>
      </c>
      <c r="J25" s="782"/>
      <c r="K25" s="782"/>
      <c r="L25" s="785" t="str">
        <f>IFERROR('Panel Details'!G16,0)</f>
        <v>0</v>
      </c>
      <c r="M25" s="785" t="str">
        <f>IFERROR(IF('Panel Details'!I19&gt;0,'Panel Details'!I19,0),0)</f>
        <v>0</v>
      </c>
      <c r="N25" s="786" t="str">
        <f>IF(M25&gt;0,2*C21*D9,0)</f>
        <v>0</v>
      </c>
      <c r="O25" s="757"/>
    </row>
    <row r="26" spans="1:18">
      <c r="A26" s="781" t="s">
        <v>576</v>
      </c>
      <c r="B26" s="782"/>
      <c r="C26" s="782"/>
      <c r="D26" s="783" t="str">
        <f>'H - INPUT'!F44</f>
        <v>0</v>
      </c>
      <c r="E26" s="783"/>
      <c r="F26" s="783"/>
      <c r="G26" s="821"/>
      <c r="H26" s="757"/>
      <c r="I26" s="766"/>
      <c r="J26" s="767"/>
      <c r="K26" s="767"/>
      <c r="L26" s="767"/>
      <c r="M26" s="767"/>
      <c r="N26" s="779"/>
      <c r="O26" s="757"/>
    </row>
    <row r="27" spans="1:18">
      <c r="A27" s="781" t="s">
        <v>577</v>
      </c>
      <c r="B27" s="782"/>
      <c r="C27" s="782"/>
      <c r="D27" s="783" t="str">
        <f>'H - INPUT'!F45</f>
        <v>0</v>
      </c>
      <c r="E27" s="783"/>
      <c r="F27" s="783"/>
      <c r="G27" s="784"/>
      <c r="H27" s="757"/>
      <c r="I27" s="781" t="s">
        <v>578</v>
      </c>
      <c r="J27" s="782"/>
      <c r="K27" s="782"/>
      <c r="L27" s="782"/>
      <c r="M27" s="785" t="str">
        <f>IFERROR(IF(OR(NOT(L31=0),NOT(L32=0)),IF(NOT(L31=0),L31,L32),0),0)</f>
        <v>0</v>
      </c>
      <c r="N27" s="786" t="str">
        <f>IFERROR(IF(IF(N31=0,0,N31)+IF(N32=0,0,N32)=0,0,IF(N31=0,0,N31)+IF(N32=0,0,N32)),0)</f>
        <v>0</v>
      </c>
      <c r="O27" s="757"/>
    </row>
    <row r="28" spans="1:18">
      <c r="A28" s="781" t="s">
        <v>579</v>
      </c>
      <c r="B28" s="782"/>
      <c r="C28" s="782"/>
      <c r="D28" s="783" t="str">
        <f>IFERROR(IF(D27="At Centre",G17/2,IF(D27="Custom",'H - INPUT'!F46,VLOOKUP(D27,Hardware!B16:K17,10,FALSE))),0)</f>
        <v>0</v>
      </c>
      <c r="E28" s="783"/>
      <c r="F28" s="783"/>
      <c r="G28" s="784"/>
      <c r="H28" s="757"/>
      <c r="I28" s="781" t="s">
        <v>578</v>
      </c>
      <c r="J28" s="782"/>
      <c r="K28" s="782"/>
      <c r="L28" s="782"/>
      <c r="M28" s="785" t="str">
        <f>IFERROR(IF(OR(NOT(L33=0),NOT(L34=0)),IF(NOT(L33=0),L33,L34),0),0)</f>
        <v>0</v>
      </c>
      <c r="N28" s="786" t="str">
        <f>IFERROR(IF(IF(N33=0,0,N33)+IF(N34=0,0,N34)=0,0,IF(N33=0,0,N33)+IF(N34=0,0,N34)),0)</f>
        <v>0</v>
      </c>
      <c r="O28" s="757"/>
    </row>
    <row r="29" spans="1:18">
      <c r="A29" s="781" t="s">
        <v>580</v>
      </c>
      <c r="B29" s="782"/>
      <c r="C29" s="782"/>
      <c r="D29" s="783" t="str">
        <f>'H - INPUT'!Y2</f>
        <v>0</v>
      </c>
      <c r="E29" s="783"/>
      <c r="F29" s="783"/>
      <c r="G29" s="784"/>
      <c r="H29" s="757"/>
      <c r="I29" s="766"/>
      <c r="J29" s="767"/>
      <c r="K29" s="767"/>
      <c r="L29" s="767"/>
      <c r="M29" s="767"/>
      <c r="N29" s="779"/>
      <c r="O29" s="757"/>
    </row>
    <row r="30" spans="1:18" customHeight="1" ht="13.5">
      <c r="A30" s="801" t="s">
        <v>581</v>
      </c>
      <c r="B30" s="803"/>
      <c r="C30" s="803"/>
      <c r="D30" s="822" t="str">
        <f>IFERROR(IF('H - INPUT'!F49="N/A","N/A",IF('H - INPUT'!F49="Custom",'H - INPUT'!F50,'H - INPUT'!F49)),0)</f>
        <v>0</v>
      </c>
      <c r="E30" s="822"/>
      <c r="F30" s="822"/>
      <c r="G30" s="823" t="str">
        <f>IFERROR(VLOOKUP('H - INPUT'!F49,'Panel Details'!D71:H75,5,FALSE),0)</f>
        <v>0</v>
      </c>
      <c r="H30" s="757"/>
      <c r="I30" s="780" t="s">
        <v>18</v>
      </c>
      <c r="J30" s="767"/>
      <c r="K30" s="767"/>
      <c r="L30" s="824" t="s">
        <v>582</v>
      </c>
      <c r="M30" s="824" t="s">
        <v>583</v>
      </c>
      <c r="N30" s="825" t="s">
        <v>13</v>
      </c>
      <c r="O30" s="757"/>
    </row>
    <row r="31" spans="1:18" customHeight="1" ht="13.5">
      <c r="A31" s="757"/>
      <c r="B31" s="757"/>
      <c r="C31" s="757"/>
      <c r="D31" s="757"/>
      <c r="E31" s="757"/>
      <c r="F31" s="757"/>
      <c r="G31" s="758"/>
      <c r="H31" s="767"/>
      <c r="I31" s="794" t="s">
        <v>584</v>
      </c>
      <c r="J31" s="820" t="str">
        <f>IF(NOT(Frames!D15="."),Frames!D13,IF(NOT(Frames!F15="."),Frames!F13,""))</f>
        <v>0</v>
      </c>
      <c r="K31" s="785" t="str">
        <f>IF(AND($G$20="L Frame",NOT(J31="")),"Frame L",IF(AND($G$20="Z Frame",NOT(J31=""),NOT(RIGHT(J31,4)="(SP)")),"Frame Z",IF(AND($G$20="Z Frame",NOT(J31=""),RIGHT(J31,4)="(SP)"),"Frame L","")))</f>
        <v>0</v>
      </c>
      <c r="L31" s="785" t="str">
        <f>IFERROR(IF($J$31="L",Frames!D16,IF($J$31="L(SP)",Frames!F16,0)),0)</f>
        <v>0</v>
      </c>
      <c r="M31" s="785" t="str">
        <f>IFERROR(IF(J31="L",Frames!E16,IF(J31="L(SP)",Frames!G16,0)),0)</f>
        <v>0</v>
      </c>
      <c r="N31" s="786" t="str">
        <f>IF(NOT(M31=0),$D$9,0)</f>
        <v>0</v>
      </c>
      <c r="O31" s="757"/>
    </row>
    <row r="32" spans="1:18" customHeight="1" ht="13.5">
      <c r="A32" s="760" t="s">
        <v>481</v>
      </c>
      <c r="B32" s="826"/>
      <c r="C32" s="761"/>
      <c r="D32" s="827"/>
      <c r="E32" s="767"/>
      <c r="F32" s="767"/>
      <c r="G32" s="767"/>
      <c r="H32" s="767"/>
      <c r="I32" s="794" t="s">
        <v>585</v>
      </c>
      <c r="J32" s="820" t="str">
        <f>IF(NOT(Frames!H15="."),Frames!H13,IF(NOT(Frames!J15="."),Frames!J13,""))</f>
        <v>0</v>
      </c>
      <c r="K32" s="785" t="str">
        <f>IF(AND($G$20="L Frame",NOT(J32="")),"Frame L",IF(AND($G$20="Z Frame",NOT(J32=""),NOT(RIGHT(J32,4)="(SP)")),"Frame Z",IF(AND($G$20="Z Frame",NOT(J32=""),RIGHT(J32,4)="(SP)"),"Frame L","")))</f>
        <v>0</v>
      </c>
      <c r="L32" s="785" t="str">
        <f>IFERROR(IF($J$32="R",Frames!H16,IF($J$32="R(SP)",Frames!J16,0)),0)</f>
        <v>0</v>
      </c>
      <c r="M32" s="785" t="str">
        <f>IFERROR(IF($J$32="R",Frames!I16,IF($J$32="R(SP)",Frames!K16,0)),0)</f>
        <v>0</v>
      </c>
      <c r="N32" s="786" t="str">
        <f>IF(NOT(M32=0),$D$9,0)</f>
        <v>0</v>
      </c>
      <c r="O32" s="757"/>
    </row>
    <row r="33" spans="1:18" customHeight="1" ht="13.5">
      <c r="A33" s="828" t="s">
        <v>586</v>
      </c>
      <c r="B33" s="829"/>
      <c r="C33" s="791"/>
      <c r="D33" s="830"/>
      <c r="E33" s="757"/>
      <c r="F33" s="757"/>
      <c r="G33" s="758"/>
      <c r="H33" s="767"/>
      <c r="I33" s="794" t="s">
        <v>462</v>
      </c>
      <c r="J33" s="820" t="str">
        <f>IF(NOT(Frames!L15="."),Frames!L13,IF(NOT(Frames!N15="."),Frames!N13,""))</f>
        <v>0</v>
      </c>
      <c r="K33" s="785" t="str">
        <f>IF(AND($G$20="L Frame",NOT(J33="")),"Frame L",IF(AND($G$20="Z Frame",NOT(J33=""),NOT(RIGHT(J33,4)="(SP)")),"Frame Z",IF(AND($G$20="Z Frame",NOT(J33=""),RIGHT(J33,4)="(SP)"),"Frame L","")))</f>
        <v>0</v>
      </c>
      <c r="L33" s="785" t="str">
        <f>IFERROR(IF($J$33="T",Frames!L16,IF($J$33="T(SP)",Frames!N16,0)),0)</f>
        <v>0</v>
      </c>
      <c r="M33" s="785" t="str">
        <f>IFERROR(IF($J$33="T",Frames!M16,IF($J$33="T(SP)",Frames!O16,0)),0)</f>
        <v>0</v>
      </c>
      <c r="N33" s="786" t="str">
        <f>IF(NOT(M33=0),$D$9,0)</f>
        <v>0</v>
      </c>
      <c r="O33" s="757"/>
    </row>
    <row r="34" spans="1:18">
      <c r="A34" s="302" t="s">
        <v>587</v>
      </c>
      <c r="B34" s="772"/>
      <c r="C34" s="772"/>
      <c r="D34" s="831" t="str">
        <f>ROUNDUP((M43*4+N43*4)*IF(G5="Dealer",1.1,1),0)</f>
        <v>0</v>
      </c>
      <c r="E34" s="767"/>
      <c r="F34" s="767"/>
      <c r="G34" s="769"/>
      <c r="H34" s="767"/>
      <c r="I34" s="794" t="s">
        <v>588</v>
      </c>
      <c r="J34" s="820" t="str">
        <f>IF(NOT(Frames!P15="."),Frames!P13,IF(NOT(Frames!R15="."),Frames!R13,""))</f>
        <v>0</v>
      </c>
      <c r="K34" s="785" t="str">
        <f>IF(AND($G$20="L Frame",NOT(J34="")),"Frame L",IF(AND($G$20="Z Frame",NOT(J34=""),NOT(RIGHT(J34,4)="(SP)")),"Frame Z",IF(AND($G$20="Z Frame",NOT(J34=""),RIGHT(J34,4)="(SP)"),"Frame L","")))</f>
        <v>0</v>
      </c>
      <c r="L34" s="785" t="str">
        <f>IFERROR(IF($J$34="B",Frames!P16,IF($J$34="B(SP)",Frames!R16,0)),0)</f>
        <v>0</v>
      </c>
      <c r="M34" s="785" t="str">
        <f>IFERROR(IF($J$34="B",Frames!Q16,IF($J$34="B(SP)",Frames!S16,0)),0)</f>
        <v>0</v>
      </c>
      <c r="N34" s="786" t="str">
        <f>IF(NOT(M34=0),$D$9,0)</f>
        <v>0</v>
      </c>
      <c r="O34" s="757"/>
    </row>
    <row r="35" spans="1:18">
      <c r="A35" s="781" t="s">
        <v>589</v>
      </c>
      <c r="B35" s="782"/>
      <c r="C35" s="782"/>
      <c r="D35" s="832"/>
      <c r="E35" s="767"/>
      <c r="F35" s="767"/>
      <c r="G35" s="769"/>
      <c r="H35" s="767"/>
      <c r="I35" s="766"/>
      <c r="J35" s="767"/>
      <c r="K35" s="767"/>
      <c r="L35" s="767"/>
      <c r="M35" s="767"/>
      <c r="N35" s="779"/>
      <c r="O35" s="757"/>
    </row>
    <row r="36" spans="1:18">
      <c r="A36" s="781" t="s">
        <v>590</v>
      </c>
      <c r="B36" s="782"/>
      <c r="C36" s="782"/>
      <c r="D36" s="832"/>
      <c r="E36" s="767"/>
      <c r="F36" s="767"/>
      <c r="G36" s="769"/>
      <c r="H36" s="767"/>
      <c r="I36" s="766"/>
      <c r="J36" s="767"/>
      <c r="K36" s="767"/>
      <c r="L36" s="824" t="s">
        <v>185</v>
      </c>
      <c r="M36" s="824" t="s">
        <v>186</v>
      </c>
      <c r="N36" s="825" t="s">
        <v>187</v>
      </c>
      <c r="O36" s="757"/>
    </row>
    <row r="37" spans="1:18">
      <c r="A37" s="781" t="s">
        <v>591</v>
      </c>
      <c r="B37" s="782"/>
      <c r="C37" s="782"/>
      <c r="D37" s="833" t="str">
        <f>ROUNDUP(SUM(N31:N32)*2+SUM(N33:N34)*2*IF(G5="Dealer",1.1,1),0)</f>
        <v>0</v>
      </c>
      <c r="E37" s="767"/>
      <c r="F37" s="767"/>
      <c r="G37" s="769"/>
      <c r="H37" s="767"/>
      <c r="I37" s="766"/>
      <c r="J37" s="767"/>
      <c r="K37" s="767"/>
      <c r="L37" s="834" t="str">
        <f>IFERROR(VLOOKUP(C20,Frames!V16:AJ26,10,FALSE),"")</f>
        <v>0</v>
      </c>
      <c r="M37" s="834" t="str">
        <f>IFERROR(VLOOKUP(C20,Frames!V16:AJ26,12,FALSE),"")</f>
        <v>0</v>
      </c>
      <c r="N37" s="835" t="str">
        <f>IFERROR(VLOOKUP(C20,Frames!V16:AJ26,14,FALSE),"")</f>
        <v>0</v>
      </c>
      <c r="O37" s="757"/>
      <c r="Q37" s="836"/>
      <c r="R37" s="836"/>
    </row>
    <row r="38" spans="1:18" customHeight="1" ht="13.5">
      <c r="A38" s="781" t="s">
        <v>592</v>
      </c>
      <c r="B38" s="782"/>
      <c r="C38" s="782"/>
      <c r="D38" s="832"/>
      <c r="E38" s="767"/>
      <c r="F38" s="767"/>
      <c r="G38" s="769"/>
      <c r="H38" s="767"/>
      <c r="I38" s="837" t="s">
        <v>593</v>
      </c>
      <c r="J38" s="802"/>
      <c r="K38" s="802"/>
      <c r="L38" s="838" t="str">
        <f>IFERROR(VLOOKUP(C20,Frames!V16:AJ26,11,FALSE),0)</f>
        <v>0</v>
      </c>
      <c r="M38" s="838" t="str">
        <f>IFERROR(VLOOKUP(C20,Frames!V16:AJ26,13,FALSE),0)</f>
        <v>0</v>
      </c>
      <c r="N38" s="839" t="str">
        <f>IFERROR(VLOOKUP(C20,Frames!V16:AJ26,15,FALSE),0)</f>
        <v>0</v>
      </c>
      <c r="O38" s="757"/>
    </row>
    <row r="39" spans="1:18">
      <c r="A39" s="781" t="s">
        <v>594</v>
      </c>
      <c r="B39" s="782"/>
      <c r="C39" s="782"/>
      <c r="D39" s="833" t="str">
        <f>F81*2</f>
        <v>0</v>
      </c>
      <c r="E39" s="767"/>
      <c r="F39" s="767"/>
      <c r="G39" s="769"/>
      <c r="H39" s="767"/>
      <c r="I39" s="757"/>
      <c r="J39" s="757"/>
      <c r="K39" s="757"/>
      <c r="L39" s="757"/>
      <c r="M39" s="757"/>
      <c r="N39" s="757"/>
      <c r="O39" s="757"/>
    </row>
    <row r="40" spans="1:18" customHeight="1" ht="13.5">
      <c r="A40" s="781" t="s">
        <v>595</v>
      </c>
      <c r="B40" s="782"/>
      <c r="C40" s="782"/>
      <c r="D40" s="832"/>
      <c r="E40" s="767"/>
      <c r="F40" s="767"/>
      <c r="G40" s="769"/>
      <c r="H40" s="767"/>
      <c r="I40" s="757"/>
      <c r="J40" s="757"/>
      <c r="K40" s="757"/>
      <c r="L40" s="757"/>
      <c r="M40" s="757"/>
      <c r="N40" s="757"/>
      <c r="O40" s="757"/>
    </row>
    <row r="41" spans="1:18" customHeight="1" ht="13.5">
      <c r="A41" s="781" t="s">
        <v>596</v>
      </c>
      <c r="B41" s="782"/>
      <c r="C41" s="782"/>
      <c r="D41" s="833" t="str">
        <f>D37</f>
        <v>0</v>
      </c>
      <c r="E41" s="767"/>
      <c r="F41" s="767"/>
      <c r="G41" s="769"/>
      <c r="H41" s="767"/>
      <c r="I41" s="760" t="s">
        <v>480</v>
      </c>
      <c r="J41" s="761"/>
      <c r="K41" s="761"/>
      <c r="L41" s="761"/>
      <c r="M41" s="761"/>
      <c r="N41" s="827"/>
      <c r="O41" s="757"/>
    </row>
    <row r="42" spans="1:18" customHeight="1" ht="13.5">
      <c r="A42" s="801" t="s">
        <v>597</v>
      </c>
      <c r="B42" s="803"/>
      <c r="C42" s="803"/>
      <c r="D42" s="842"/>
      <c r="E42" s="767"/>
      <c r="F42" s="767"/>
      <c r="G42" s="769"/>
      <c r="H42" s="767"/>
      <c r="I42" s="840"/>
      <c r="J42" s="791"/>
      <c r="K42" s="791"/>
      <c r="L42" s="791"/>
      <c r="M42" s="792" t="s">
        <v>461</v>
      </c>
      <c r="N42" s="841" t="s">
        <v>462</v>
      </c>
      <c r="O42" s="757"/>
    </row>
    <row r="43" spans="1:18" customHeight="1" ht="13.5">
      <c r="A43" s="780" t="s">
        <v>598</v>
      </c>
      <c r="B43" s="767"/>
      <c r="C43" s="767"/>
      <c r="D43" s="843" t="str">
        <f>N45</f>
        <v>0</v>
      </c>
      <c r="E43" s="767"/>
      <c r="F43" s="767"/>
      <c r="G43" s="769"/>
      <c r="H43" s="767"/>
      <c r="I43" s="781" t="s">
        <v>599</v>
      </c>
      <c r="J43" s="782"/>
      <c r="K43" s="782"/>
      <c r="L43" s="782"/>
      <c r="M43" s="797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98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57"/>
    </row>
    <row r="44" spans="1:18">
      <c r="A44" s="781" t="s">
        <v>600</v>
      </c>
      <c r="B44" s="782"/>
      <c r="C44" s="795"/>
      <c r="D44" s="833" t="str">
        <f>M43</f>
        <v>0</v>
      </c>
      <c r="E44" s="767"/>
      <c r="F44" s="767"/>
      <c r="G44" s="769"/>
      <c r="H44" s="767"/>
      <c r="I44" s="780"/>
      <c r="J44" s="767"/>
      <c r="K44" s="767"/>
      <c r="L44" s="767"/>
      <c r="M44" s="824" t="s">
        <v>42</v>
      </c>
      <c r="N44" s="825" t="s">
        <v>13</v>
      </c>
      <c r="O44" s="757"/>
    </row>
    <row r="45" spans="1:18">
      <c r="A45" s="781" t="s">
        <v>601</v>
      </c>
      <c r="B45" s="782"/>
      <c r="C45" s="795"/>
      <c r="D45" s="833" t="str">
        <f>IFERROR(VLOOKUP('H - INPUT'!F30,Frames!C31:V54,20,FALSE)*N45,0)</f>
        <v>0</v>
      </c>
      <c r="E45" s="767"/>
      <c r="F45" s="767"/>
      <c r="G45" s="769"/>
      <c r="H45" s="767"/>
      <c r="I45" s="781" t="s">
        <v>485</v>
      </c>
      <c r="J45" s="782"/>
      <c r="K45" s="782"/>
      <c r="L45" s="782"/>
      <c r="M45" s="844"/>
      <c r="N45" s="845" t="str">
        <f>IFERROR(VLOOKUP(C20,Hardware!B28:D39,3,FALSE)*D9,0)</f>
        <v>0</v>
      </c>
      <c r="O45" s="757"/>
    </row>
    <row r="46" spans="1:18">
      <c r="A46" s="129" t="s">
        <v>602</v>
      </c>
      <c r="B46" s="776"/>
      <c r="C46" s="854"/>
      <c r="D46" s="876" t="str">
        <f>IF(C21=0,0,MAX(2,C21))</f>
        <v>0</v>
      </c>
      <c r="E46" s="767"/>
      <c r="F46" s="767"/>
      <c r="G46" s="769"/>
      <c r="H46" s="767"/>
      <c r="I46" s="808" t="s">
        <v>603</v>
      </c>
      <c r="J46" s="809"/>
      <c r="K46" s="809"/>
      <c r="L46" s="785" t="s">
        <v>604</v>
      </c>
      <c r="M46" s="846" t="str">
        <f>ROUNDDOWN(G18-D28-(Hardware!G21/2),0)-3</f>
        <v>0</v>
      </c>
      <c r="N46" s="845" t="str">
        <f>N45</f>
        <v>0</v>
      </c>
      <c r="O46" s="757"/>
    </row>
    <row r="47" spans="1:18" customHeight="1" ht="13.5">
      <c r="A47" s="801" t="s">
        <v>605</v>
      </c>
      <c r="B47" s="803"/>
      <c r="C47" s="805"/>
      <c r="D47" s="847">
        <v>0</v>
      </c>
      <c r="E47" s="767"/>
      <c r="F47" s="767"/>
      <c r="G47" s="769"/>
      <c r="H47" s="767"/>
      <c r="I47" s="794" t="s">
        <v>603</v>
      </c>
      <c r="J47" s="785"/>
      <c r="K47" s="785"/>
      <c r="L47" s="785" t="s">
        <v>606</v>
      </c>
      <c r="M47" s="785" t="str">
        <f>ROUNDDOWN(D28-(Hardware!G21/2),0)-7</f>
        <v>0</v>
      </c>
      <c r="N47" s="786" t="str">
        <f>N45</f>
        <v>0</v>
      </c>
      <c r="O47" s="757"/>
    </row>
    <row r="48" spans="1:18" customHeight="1" ht="13.5">
      <c r="A48" s="780" t="s">
        <v>607</v>
      </c>
      <c r="B48" s="767"/>
      <c r="C48" s="767"/>
      <c r="D48" s="770"/>
      <c r="E48" s="767"/>
      <c r="F48" s="767"/>
      <c r="G48" s="769"/>
      <c r="H48" s="767"/>
      <c r="I48" s="766"/>
      <c r="J48" s="767"/>
      <c r="K48" s="767"/>
      <c r="L48" s="767"/>
      <c r="M48" s="824" t="s">
        <v>67</v>
      </c>
      <c r="N48" s="825" t="s">
        <v>13</v>
      </c>
      <c r="O48" s="757"/>
    </row>
    <row r="49" spans="1:18" customHeight="1" ht="13.5">
      <c r="A49" s="771" t="s">
        <v>496</v>
      </c>
      <c r="B49" s="772"/>
      <c r="C49" s="848"/>
      <c r="D49" s="849"/>
      <c r="E49" s="767"/>
      <c r="F49" s="767"/>
      <c r="G49" s="769"/>
      <c r="H49" s="767"/>
      <c r="I49" s="801" t="s">
        <v>32</v>
      </c>
      <c r="J49" s="803"/>
      <c r="K49" s="803"/>
      <c r="L49" s="805"/>
      <c r="M49" s="805" t="str">
        <f>IF(N49=0,0,IF('H - INPUT'!F47="no",0,IF('H - INPUT'!F47="Yes, brushed nickel","Nickel","White")))</f>
        <v>0</v>
      </c>
      <c r="N49" s="850" t="str">
        <f>IF('H - INPUT'!F47="No",0,N45)</f>
        <v>0</v>
      </c>
      <c r="O49" s="757"/>
    </row>
    <row r="50" spans="1:18" customHeight="1" ht="13.5">
      <c r="A50" s="781" t="s">
        <v>497</v>
      </c>
      <c r="B50" s="782"/>
      <c r="C50" s="795"/>
      <c r="D50" s="832"/>
      <c r="E50" s="767"/>
      <c r="F50" s="767"/>
      <c r="G50" s="769"/>
      <c r="H50" s="767"/>
      <c r="I50" s="757"/>
      <c r="J50" s="757"/>
      <c r="K50" s="757"/>
      <c r="L50" s="757"/>
      <c r="M50" s="757"/>
      <c r="N50" s="757"/>
      <c r="O50" s="757"/>
    </row>
    <row r="51" spans="1:18">
      <c r="A51" s="781" t="s">
        <v>498</v>
      </c>
      <c r="B51" s="782"/>
      <c r="C51" s="795"/>
      <c r="D51" s="832"/>
      <c r="E51" s="767"/>
      <c r="F51" s="767"/>
      <c r="G51" s="769"/>
      <c r="H51" s="767"/>
      <c r="I51" s="851" t="s">
        <v>28</v>
      </c>
      <c r="J51" s="852"/>
      <c r="K51" s="852"/>
      <c r="L51" s="852"/>
      <c r="M51" s="852"/>
      <c r="N51" s="853"/>
      <c r="O51" s="757"/>
    </row>
    <row r="52" spans="1:18">
      <c r="A52" s="781" t="s">
        <v>499</v>
      </c>
      <c r="B52" s="782"/>
      <c r="C52" s="795"/>
      <c r="D52" s="832"/>
      <c r="E52" s="767"/>
      <c r="F52" s="767"/>
      <c r="G52" s="769"/>
      <c r="H52" s="767"/>
      <c r="I52" s="1267" t="str">
        <f>IF('H - INPUT'!F52="","",'H - INPUT'!F52)</f>
        <v>0</v>
      </c>
      <c r="J52" s="1268"/>
      <c r="K52" s="1268"/>
      <c r="L52" s="1268"/>
      <c r="M52" s="1268"/>
      <c r="N52" s="1269"/>
      <c r="O52" s="757"/>
    </row>
    <row r="53" spans="1:18">
      <c r="A53" s="781" t="s">
        <v>492</v>
      </c>
      <c r="B53" s="782"/>
      <c r="C53" s="795"/>
      <c r="D53" s="832"/>
      <c r="E53" s="767"/>
      <c r="F53" s="767"/>
      <c r="G53" s="769"/>
      <c r="H53" s="767"/>
      <c r="I53" s="1267"/>
      <c r="J53" s="1268"/>
      <c r="K53" s="1268"/>
      <c r="L53" s="1268"/>
      <c r="M53" s="1268"/>
      <c r="N53" s="1269"/>
      <c r="O53" s="757"/>
    </row>
    <row r="54" spans="1:18">
      <c r="A54" s="775" t="s">
        <v>504</v>
      </c>
      <c r="B54" s="776"/>
      <c r="C54" s="854"/>
      <c r="D54" s="855"/>
      <c r="E54" s="767"/>
      <c r="F54" s="767"/>
      <c r="G54" s="769"/>
      <c r="H54" s="767"/>
      <c r="I54" s="1267"/>
      <c r="J54" s="1268"/>
      <c r="K54" s="1268"/>
      <c r="L54" s="1268"/>
      <c r="M54" s="1268"/>
      <c r="N54" s="1269"/>
      <c r="O54" s="757"/>
    </row>
    <row r="55" spans="1:18" customHeight="1" ht="13.5">
      <c r="A55" s="801" t="s">
        <v>608</v>
      </c>
      <c r="B55" s="803"/>
      <c r="C55" s="805"/>
      <c r="D55" s="842"/>
      <c r="E55" s="767"/>
      <c r="F55" s="767"/>
      <c r="G55" s="769"/>
      <c r="H55" s="767"/>
      <c r="I55" s="1270"/>
      <c r="J55" s="1271"/>
      <c r="K55" s="1271"/>
      <c r="L55" s="1271"/>
      <c r="M55" s="1271"/>
      <c r="N55" s="1272"/>
      <c r="O55" s="757"/>
    </row>
    <row r="56" spans="1:18" customHeight="1" ht="13.5">
      <c r="A56" s="767"/>
      <c r="B56" s="767"/>
      <c r="C56" s="767"/>
      <c r="D56" s="767"/>
      <c r="E56" s="767"/>
      <c r="F56" s="767"/>
      <c r="G56" s="769"/>
      <c r="H56" s="767"/>
      <c r="I56" s="757"/>
      <c r="J56" s="757"/>
      <c r="K56" s="757"/>
      <c r="L56" s="757"/>
      <c r="M56" s="757"/>
      <c r="N56" s="757"/>
      <c r="O56" s="757"/>
    </row>
    <row r="57" spans="1:18" customHeight="1" ht="13.5">
      <c r="A57" s="856" t="s">
        <v>609</v>
      </c>
      <c r="B57" s="857" t="s">
        <v>610</v>
      </c>
      <c r="C57" s="858" t="s">
        <v>544</v>
      </c>
      <c r="D57" s="858" t="s">
        <v>13</v>
      </c>
      <c r="E57" s="858" t="s">
        <v>611</v>
      </c>
      <c r="F57" s="858" t="s">
        <v>96</v>
      </c>
      <c r="G57" s="859" t="s">
        <v>42</v>
      </c>
      <c r="H57" s="767"/>
      <c r="I57" s="1258" t="s">
        <v>612</v>
      </c>
      <c r="J57" s="1259"/>
      <c r="K57" s="1260"/>
      <c r="L57" s="860"/>
      <c r="M57" s="860"/>
      <c r="N57" s="861"/>
      <c r="O57" s="757"/>
    </row>
    <row r="58" spans="1:18">
      <c r="A58" s="862" t="s">
        <v>613</v>
      </c>
      <c r="B58" s="797"/>
      <c r="C58" s="863"/>
      <c r="D58" s="797"/>
      <c r="E58" s="797"/>
      <c r="F58" s="797"/>
      <c r="G58" s="798"/>
      <c r="H58" s="767"/>
      <c r="I58" s="1261"/>
      <c r="J58" s="1262"/>
      <c r="K58" s="1263"/>
      <c r="L58" s="834"/>
      <c r="M58" s="834"/>
      <c r="N58" s="835"/>
      <c r="O58" s="757"/>
    </row>
    <row r="59" spans="1:18" customHeight="1" ht="13.5">
      <c r="A59" s="862" t="s">
        <v>613</v>
      </c>
      <c r="B59" s="797"/>
      <c r="C59" s="863"/>
      <c r="D59" s="797"/>
      <c r="E59" s="797"/>
      <c r="F59" s="797"/>
      <c r="G59" s="798"/>
      <c r="H59" s="767"/>
      <c r="I59" s="1264"/>
      <c r="J59" s="1265"/>
      <c r="K59" s="1266"/>
      <c r="L59" s="864"/>
      <c r="M59" s="864"/>
      <c r="N59" s="865"/>
      <c r="O59" s="757"/>
    </row>
    <row r="60" spans="1:18" customHeight="1" ht="13.5">
      <c r="A60" s="866" t="s">
        <v>613</v>
      </c>
      <c r="B60" s="806"/>
      <c r="C60" s="867"/>
      <c r="D60" s="806"/>
      <c r="E60" s="806"/>
      <c r="F60" s="806"/>
      <c r="G60" s="823"/>
      <c r="H60" s="767"/>
      <c r="I60" s="757"/>
      <c r="J60" s="757"/>
      <c r="K60" s="757"/>
      <c r="L60" s="757"/>
      <c r="M60" s="757"/>
      <c r="N60" s="757"/>
      <c r="O60" s="757"/>
    </row>
    <row r="61" spans="1:18">
      <c r="A61" s="757"/>
      <c r="B61" s="757"/>
      <c r="C61" s="757"/>
      <c r="D61" s="757"/>
      <c r="E61" s="757"/>
      <c r="F61" s="757"/>
      <c r="G61" s="758"/>
      <c r="H61" s="767"/>
      <c r="I61" s="757"/>
      <c r="J61" s="757"/>
      <c r="K61" s="757"/>
      <c r="L61" s="757"/>
      <c r="M61" s="757"/>
      <c r="N61" s="757"/>
      <c r="O61" s="757"/>
    </row>
    <row r="62" spans="1:18">
      <c r="A62" s="868" t="s">
        <v>614</v>
      </c>
      <c r="H62" s="870"/>
      <c r="I62" s="870"/>
      <c r="J62" s="870"/>
      <c r="K62" s="870"/>
      <c r="L62" s="870"/>
      <c r="M62" s="870"/>
      <c r="N62" s="870"/>
      <c r="O62" s="870"/>
    </row>
    <row r="63" spans="1:18">
      <c r="A63" s="871" t="s">
        <v>615</v>
      </c>
      <c r="B63" s="872"/>
      <c r="C63" s="872"/>
      <c r="D63" s="872"/>
      <c r="E63" s="873"/>
      <c r="F63" s="874" t="str">
        <f>SUM(N8)*4*2+SUM(N9+N16)*4*2+SUM(N10+N17)*2*2+SUM(N13)*4*2</f>
        <v>0</v>
      </c>
      <c r="H63" s="870"/>
    </row>
    <row r="64" spans="1:18">
      <c r="A64" s="871" t="s">
        <v>616</v>
      </c>
      <c r="B64" s="872"/>
      <c r="C64" s="872"/>
      <c r="D64" s="872"/>
      <c r="E64" s="873"/>
      <c r="F64" s="874" t="str">
        <f>$N$5*2</f>
        <v>0</v>
      </c>
      <c r="H64" s="869"/>
    </row>
    <row r="65" spans="1:18">
      <c r="A65" s="871" t="s">
        <v>617</v>
      </c>
      <c r="B65" s="872"/>
      <c r="C65" s="872"/>
      <c r="D65" s="872"/>
      <c r="E65" s="873"/>
      <c r="F65" s="874" t="str">
        <f>N45*2</f>
        <v>0</v>
      </c>
    </row>
    <row r="66" spans="1:18">
      <c r="A66" s="871" t="s">
        <v>510</v>
      </c>
      <c r="B66" s="872"/>
      <c r="C66" s="872"/>
      <c r="D66" s="872"/>
      <c r="E66" s="873"/>
      <c r="F66" s="874" t="str">
        <f>F70</f>
        <v>0</v>
      </c>
    </row>
    <row r="67" spans="1:18">
      <c r="A67" s="330" t="s">
        <v>587</v>
      </c>
      <c r="B67" s="872"/>
      <c r="C67" s="872"/>
      <c r="D67" s="872"/>
      <c r="E67" s="873"/>
      <c r="F67" s="874" t="str">
        <f>M43*3+N43*3+F81</f>
        <v>0</v>
      </c>
      <c r="I67" s="869"/>
      <c r="J67" s="869"/>
      <c r="K67" s="869"/>
      <c r="L67" s="869"/>
      <c r="M67" s="869"/>
      <c r="N67" s="869"/>
      <c r="O67" s="869"/>
    </row>
    <row r="68" spans="1:18">
      <c r="A68" s="871" t="s">
        <v>491</v>
      </c>
      <c r="B68" s="872"/>
      <c r="C68" s="872"/>
      <c r="D68" s="872"/>
      <c r="E68" s="873"/>
      <c r="F68" s="590"/>
      <c r="I68" s="869"/>
      <c r="J68" s="869"/>
      <c r="K68" s="869"/>
      <c r="L68" s="869"/>
      <c r="M68" s="869"/>
      <c r="N68" s="869"/>
      <c r="O68" s="869"/>
    </row>
    <row r="69" spans="1:18">
      <c r="A69" s="875" t="s">
        <v>618</v>
      </c>
      <c r="B69" s="872"/>
      <c r="C69" s="872"/>
      <c r="D69" s="872"/>
      <c r="E69" s="873"/>
      <c r="F69" s="874" t="str">
        <f>N45*2</f>
        <v>0</v>
      </c>
    </row>
    <row r="70" spans="1:18">
      <c r="A70" s="871" t="s">
        <v>486</v>
      </c>
      <c r="B70" s="872"/>
      <c r="C70" s="872"/>
      <c r="D70" s="872"/>
      <c r="E70" s="873"/>
      <c r="F70" s="874" t="str">
        <f>IFERROR(VLOOKUP($C$20,Hardware!B28:M39,4,FALSE)*D9,0)</f>
        <v>0</v>
      </c>
    </row>
    <row r="71" spans="1:18">
      <c r="A71" s="871" t="s">
        <v>619</v>
      </c>
      <c r="B71" s="872"/>
      <c r="C71" s="872"/>
      <c r="D71" s="872"/>
      <c r="E71" s="873"/>
      <c r="F71" s="874" t="str">
        <f>$N$5*2</f>
        <v>0</v>
      </c>
    </row>
    <row r="72" spans="1:18">
      <c r="A72" s="871" t="s">
        <v>620</v>
      </c>
      <c r="B72" s="872"/>
      <c r="C72" s="872"/>
      <c r="D72" s="872"/>
      <c r="E72" s="873"/>
      <c r="F72" s="874" t="str">
        <f>$N$5*2</f>
        <v>0</v>
      </c>
    </row>
    <row r="73" spans="1:18">
      <c r="A73" s="871" t="s">
        <v>621</v>
      </c>
      <c r="B73" s="872"/>
      <c r="C73" s="872"/>
      <c r="D73" s="872"/>
      <c r="E73" s="873"/>
      <c r="F73" s="874" t="str">
        <f>$N$5*2</f>
        <v>0</v>
      </c>
    </row>
    <row r="74" spans="1:18">
      <c r="A74" s="871" t="s">
        <v>487</v>
      </c>
      <c r="B74" s="872"/>
      <c r="C74" s="872"/>
      <c r="D74" s="872"/>
      <c r="E74" s="873"/>
      <c r="F74" s="874" t="str">
        <f>IFERROR(VLOOKUP($C$20,Hardware!B28:M39,5,FALSE)*D9,0)</f>
        <v>0</v>
      </c>
    </row>
    <row r="75" spans="1:18">
      <c r="A75" s="871" t="s">
        <v>622</v>
      </c>
      <c r="B75" s="872"/>
      <c r="C75" s="872"/>
      <c r="D75" s="872"/>
      <c r="E75" s="873"/>
      <c r="F75" s="874" t="str">
        <f>N45*2</f>
        <v>0</v>
      </c>
    </row>
    <row r="76" spans="1:18">
      <c r="A76" s="871" t="s">
        <v>623</v>
      </c>
      <c r="B76" s="872"/>
      <c r="C76" s="872"/>
      <c r="D76" s="872"/>
      <c r="E76" s="873"/>
      <c r="F76" s="874" t="str">
        <f>(N24+N25)*4</f>
        <v>0</v>
      </c>
    </row>
    <row r="77" spans="1:18">
      <c r="A77" s="871" t="s">
        <v>624</v>
      </c>
      <c r="B77" s="872"/>
      <c r="C77" s="872"/>
      <c r="D77" s="872"/>
      <c r="E77" s="873"/>
      <c r="F77" s="874" t="str">
        <f>N45*2</f>
        <v>0</v>
      </c>
    </row>
    <row r="78" spans="1:18">
      <c r="A78" s="871" t="s">
        <v>625</v>
      </c>
      <c r="B78" s="872"/>
      <c r="C78" s="872"/>
      <c r="D78" s="872"/>
      <c r="E78" s="873"/>
      <c r="F78" s="874" t="str">
        <f>IF(D26="1 Side",N45,0)</f>
        <v>0</v>
      </c>
    </row>
    <row r="79" spans="1:18">
      <c r="A79" s="871" t="s">
        <v>626</v>
      </c>
      <c r="B79" s="872"/>
      <c r="C79" s="872"/>
      <c r="D79" s="872"/>
      <c r="E79" s="873"/>
      <c r="F79" s="874" t="str">
        <f>IF(D26="2 Sided",N45,0)</f>
        <v>0</v>
      </c>
    </row>
    <row r="80" spans="1:18">
      <c r="A80" s="871" t="s">
        <v>627</v>
      </c>
      <c r="B80" s="872"/>
      <c r="C80" s="872"/>
      <c r="D80" s="872"/>
      <c r="E80" s="873"/>
      <c r="F80" s="874" t="str">
        <f>F78+F79</f>
        <v>0</v>
      </c>
    </row>
    <row r="81" spans="1:18">
      <c r="A81" s="871" t="s">
        <v>628</v>
      </c>
      <c r="B81" s="872"/>
      <c r="C81" s="872"/>
      <c r="D81" s="872"/>
      <c r="E81" s="873"/>
      <c r="F81" s="874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G5:G6"/>
  </mergeCells>
  <conditionalFormatting sqref="D13">
    <cfRule type="containsText" dxfId="13" priority="1" operator="containsText" text="Non-Standard">
      <formula>NOT(ISERROR(SEARCH("Non-Standard",D13)))</formula>
    </cfRule>
  </conditionalFormatting>
  <conditionalFormatting sqref="D12">
    <cfRule type="containsText" dxfId="14" priority="2" operator="containsText" text="External">
      <formula>NOT(ISERROR(SEARCH("External",D12)))</formula>
    </cfRule>
  </conditionalFormatting>
  <conditionalFormatting sqref="D9">
    <cfRule type="cellIs" dxfId="1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1"/>
  <sheetViews>
    <sheetView tabSelected="0" workbookViewId="0" showGridLines="true" showRowColHeaders="1">
      <selection activeCell="I29" sqref="I2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75" t="s">
        <v>629</v>
      </c>
      <c r="E1" s="1275"/>
      <c r="F1" s="1275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75"/>
      <c r="E2" s="1275"/>
      <c r="F2" s="1275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551</v>
      </c>
      <c r="B4" s="205"/>
      <c r="C4" s="205"/>
      <c r="D4" s="150"/>
      <c r="E4" s="150"/>
      <c r="F4" s="150"/>
      <c r="G4" s="151"/>
      <c r="H4" s="325"/>
      <c r="I4" s="149" t="s">
        <v>552</v>
      </c>
      <c r="J4" s="150"/>
      <c r="K4" s="150"/>
      <c r="L4" s="150"/>
      <c r="M4" s="110" t="s">
        <v>42</v>
      </c>
      <c r="N4" s="111" t="s">
        <v>13</v>
      </c>
      <c r="O4" s="325"/>
    </row>
    <row r="5" spans="1:16">
      <c r="A5" s="129"/>
      <c r="B5" s="130" t="s">
        <v>64</v>
      </c>
      <c r="C5" s="130"/>
      <c r="D5" s="143" t="str">
        <f>'BF - INPUT'!F17</f>
        <v>0</v>
      </c>
      <c r="E5" s="143"/>
      <c r="F5" s="143"/>
      <c r="G5" s="1190" t="str">
        <f>'BF - INPUT'!F16</f>
        <v>0</v>
      </c>
      <c r="H5" s="325"/>
      <c r="I5" s="302" t="s">
        <v>335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288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65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553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554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555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14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556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17</v>
      </c>
      <c r="C11" s="107"/>
      <c r="D11" s="108" t="str">
        <f>'BF - INPUT'!F26</f>
        <v>0</v>
      </c>
      <c r="E11" s="108"/>
      <c r="F11" s="213" t="s">
        <v>12</v>
      </c>
      <c r="G11" s="119" t="str">
        <f>IF('BF - INPUT'!F27="","",'BF - INPUT'!F27)</f>
        <v>0</v>
      </c>
      <c r="H11" s="325"/>
      <c r="I11" s="112" t="s">
        <v>557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67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558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559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96</v>
      </c>
      <c r="G15" s="318" t="s">
        <v>97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213" t="str">
        <f>'BF - INPUT'!F35</f>
        <v>0</v>
      </c>
      <c r="C16" s="108"/>
      <c r="D16" s="229" t="s">
        <v>560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555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561</v>
      </c>
      <c r="B17" s="314" t="str">
        <f>'BF - INPUT'!F33</f>
        <v>0</v>
      </c>
      <c r="C17" s="315"/>
      <c r="D17" s="229" t="s">
        <v>562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556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563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557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142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565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567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123</v>
      </c>
      <c r="B21" s="107"/>
      <c r="C21" s="107"/>
      <c r="D21" s="323" t="str">
        <f>'BF - INPUT'!F40</f>
        <v>0</v>
      </c>
      <c r="E21" s="405" t="s">
        <v>630</v>
      </c>
      <c r="F21" s="152"/>
      <c r="G21" s="406" t="str">
        <f>'BF - INPUT'!F41</f>
        <v>0</v>
      </c>
      <c r="H21" s="325"/>
      <c r="I21" s="112" t="s">
        <v>569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570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571</v>
      </c>
      <c r="B23" s="150"/>
      <c r="C23" s="150"/>
      <c r="D23" s="150"/>
      <c r="E23" s="150"/>
      <c r="F23" s="150"/>
      <c r="G23" s="151"/>
      <c r="H23" s="325"/>
      <c r="I23" s="112" t="s">
        <v>574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631</v>
      </c>
      <c r="B24" s="109"/>
      <c r="C24" s="407"/>
      <c r="D24" s="393" t="str">
        <f>IFERROR('Panel Details'!H53,0)</f>
        <v>0</v>
      </c>
      <c r="E24" s="142" t="s">
        <v>573</v>
      </c>
      <c r="F24" s="142"/>
      <c r="G24" s="408" t="str">
        <f>IFERROR(ROUND((76.2*(D24-1))+103.2+M18+46-26.5,0),0)</f>
        <v>0</v>
      </c>
      <c r="H24" s="325"/>
      <c r="I24" s="112" t="s">
        <v>574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575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576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632</v>
      </c>
      <c r="J26" s="106"/>
      <c r="K26" s="106"/>
      <c r="L26" s="290" t="s">
        <v>633</v>
      </c>
      <c r="M26" s="290" t="s">
        <v>583</v>
      </c>
      <c r="N26" s="291" t="s">
        <v>13</v>
      </c>
      <c r="O26" s="325"/>
    </row>
    <row r="27" spans="1:16">
      <c r="A27" s="112" t="s">
        <v>577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BF'!E14,0)-IF(I37="Recess Track",18,0),0)</f>
        <v>0</v>
      </c>
      <c r="N27" s="174" t="str">
        <f>IF(I27=0,0,D9)</f>
        <v>0</v>
      </c>
      <c r="O27" s="325"/>
    </row>
    <row r="28" spans="1:16">
      <c r="A28" s="112" t="s">
        <v>579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BF'!E14,0)-IF(I37="Recess Track",18,0),0)</f>
        <v>0</v>
      </c>
      <c r="N28" s="174" t="str">
        <f>IF(I28=0,0,D9)</f>
        <v>0</v>
      </c>
      <c r="O28" s="325"/>
    </row>
    <row r="29" spans="1:16">
      <c r="A29" s="112" t="s">
        <v>580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IF(AND(OR(I27=0,I27="N/A"),OR(I28=0,I28="N/A")),0,IF(G21="Standard","Light Block","Top Track Cover"))</f>
        <v>0</v>
      </c>
      <c r="J29" s="107"/>
      <c r="K29" s="107"/>
      <c r="L29" s="229" t="str">
        <f>IF(AND(OR(I27=0,I27="N/A"),OR(I28=0,I28="N/A")),0,"Top track cover small")</f>
        <v>0</v>
      </c>
      <c r="M29" s="107"/>
      <c r="N29" s="116"/>
      <c r="O29" s="325"/>
    </row>
    <row r="30" spans="1:16" customHeight="1" ht="13.5">
      <c r="A30" s="117" t="s">
        <v>581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517</v>
      </c>
      <c r="J31" s="308"/>
      <c r="K31" s="308"/>
      <c r="L31" s="290" t="s">
        <v>634</v>
      </c>
      <c r="M31" s="290" t="s">
        <v>583</v>
      </c>
      <c r="N31" s="291" t="s">
        <v>13</v>
      </c>
      <c r="O31" s="325"/>
    </row>
    <row r="32" spans="1:16" customHeight="1" ht="13.5">
      <c r="A32" s="149" t="s">
        <v>481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IF(NOT(I27=0),'BF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586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587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589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590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635</v>
      </c>
      <c r="M36" s="290"/>
      <c r="N36" s="291"/>
      <c r="O36" s="325"/>
    </row>
    <row r="37" spans="1:16" customHeight="1" ht="13.5">
      <c r="A37" s="112" t="s">
        <v>591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592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594</v>
      </c>
      <c r="B39" s="107"/>
      <c r="C39" s="107"/>
      <c r="D39" s="385"/>
      <c r="E39" s="325"/>
      <c r="F39" s="325"/>
      <c r="G39" s="326"/>
      <c r="H39" s="106"/>
      <c r="I39" s="149" t="s">
        <v>480</v>
      </c>
      <c r="J39" s="150"/>
      <c r="K39" s="150"/>
      <c r="L39" s="150"/>
      <c r="M39" s="150"/>
      <c r="N39" s="153"/>
      <c r="O39" s="325"/>
    </row>
    <row r="40" spans="1:16">
      <c r="A40" s="113" t="s">
        <v>595</v>
      </c>
      <c r="B40" s="106"/>
      <c r="C40" s="106"/>
      <c r="D40" s="165" t="str">
        <f>D36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2" t="s">
        <v>596</v>
      </c>
      <c r="B41" s="107"/>
      <c r="C41" s="107"/>
      <c r="D41" s="165" t="str">
        <f>D35+D37</f>
        <v>0</v>
      </c>
      <c r="E41" s="325"/>
      <c r="F41" s="325"/>
      <c r="G41" s="326"/>
      <c r="H41" s="106"/>
      <c r="I41" s="112" t="s">
        <v>599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 customHeight="1" ht="13.5">
      <c r="A42" s="117" t="s">
        <v>597</v>
      </c>
      <c r="B42" s="118"/>
      <c r="C42" s="118"/>
      <c r="D42" s="168" t="str">
        <f>ROUNDUP((IF(D58&gt;0,('BF - MO'!M32*'BF - MO'!N32)/500+1,0)+IFERROR(SEARCH("liner",'BF - INPUT'!F29),0)*D37)*IF(G5="Dealer",1.1,1),0)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>
      <c r="A43" s="115" t="s">
        <v>598</v>
      </c>
      <c r="B43" s="106"/>
      <c r="C43" s="106"/>
      <c r="D43" s="384"/>
      <c r="E43" s="106"/>
      <c r="F43" s="106"/>
      <c r="G43" s="142"/>
      <c r="H43" s="106"/>
      <c r="I43" s="112" t="s">
        <v>485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2" t="s">
        <v>600</v>
      </c>
      <c r="B44" s="107"/>
      <c r="C44" s="107"/>
      <c r="D44" s="385"/>
      <c r="E44" s="106"/>
      <c r="F44" s="106"/>
      <c r="G44" s="142"/>
      <c r="H44" s="106"/>
      <c r="I44" s="144" t="s">
        <v>603</v>
      </c>
      <c r="J44" s="109"/>
      <c r="K44" s="109"/>
      <c r="L44" s="154" t="s">
        <v>604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601</v>
      </c>
      <c r="B45" s="107"/>
      <c r="C45" s="107"/>
      <c r="D45" s="385"/>
      <c r="E45" s="106"/>
      <c r="F45" s="106"/>
      <c r="G45" s="142"/>
      <c r="H45" s="106"/>
      <c r="I45" s="175" t="s">
        <v>603</v>
      </c>
      <c r="J45" s="154"/>
      <c r="K45" s="154"/>
      <c r="L45" s="154" t="s">
        <v>606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29" t="s">
        <v>602</v>
      </c>
      <c r="B46" s="130"/>
      <c r="C46" s="130"/>
      <c r="D46" s="587"/>
      <c r="E46" s="106"/>
      <c r="F46" s="106"/>
      <c r="G46" s="142"/>
      <c r="H46" s="106"/>
      <c r="I46" s="113"/>
      <c r="J46" s="106"/>
      <c r="K46" s="106"/>
      <c r="L46" s="106"/>
      <c r="M46" s="290" t="s">
        <v>67</v>
      </c>
      <c r="N46" s="291" t="s">
        <v>13</v>
      </c>
      <c r="O46" s="325"/>
    </row>
    <row r="47" spans="1:16" customHeight="1" ht="13.5">
      <c r="A47" s="117" t="s">
        <v>605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607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28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76" t="str">
        <f>IF('BF - INPUT'!F71="","",'BF - INPUT'!F71)</f>
        <v>0</v>
      </c>
      <c r="J50" s="1277"/>
      <c r="K50" s="1277"/>
      <c r="L50" s="1277"/>
      <c r="M50" s="1277"/>
      <c r="N50" s="1278"/>
      <c r="O50" s="325"/>
    </row>
    <row r="51" spans="1:16">
      <c r="A51" s="112" t="s">
        <v>498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76"/>
      <c r="J51" s="1277"/>
      <c r="K51" s="1277"/>
      <c r="L51" s="1277"/>
      <c r="M51" s="1277"/>
      <c r="N51" s="1278"/>
      <c r="O51" s="325"/>
    </row>
    <row r="52" spans="1:16" customHeight="1" ht="13.5">
      <c r="A52" s="112" t="s">
        <v>499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76"/>
      <c r="J52" s="1277"/>
      <c r="K52" s="1277"/>
      <c r="L52" s="1277"/>
      <c r="M52" s="1277"/>
      <c r="N52" s="1278"/>
      <c r="O52" s="325"/>
    </row>
    <row r="53" spans="1:16" customHeight="1" ht="13.5">
      <c r="A53" s="112" t="s">
        <v>492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79"/>
      <c r="J53" s="1280"/>
      <c r="K53" s="1280"/>
      <c r="L53" s="1280"/>
      <c r="M53" s="1280"/>
      <c r="N53" s="1281"/>
      <c r="O53" s="325"/>
    </row>
    <row r="54" spans="1:16" customHeight="1" ht="13.5">
      <c r="A54" s="129" t="s">
        <v>504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608</v>
      </c>
      <c r="B55" s="118"/>
      <c r="C55" s="118"/>
      <c r="D55" s="577"/>
      <c r="E55" s="106"/>
      <c r="F55" s="106"/>
      <c r="G55" s="142"/>
      <c r="H55" s="106"/>
      <c r="I55" s="1282" t="s">
        <v>612</v>
      </c>
      <c r="J55" s="1283"/>
      <c r="K55" s="1284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85"/>
      <c r="J56" s="1286"/>
      <c r="K56" s="1287"/>
      <c r="L56" s="212"/>
      <c r="M56" s="204"/>
      <c r="N56" s="210"/>
      <c r="O56" s="325"/>
    </row>
    <row r="57" spans="1:16" customHeight="1" ht="13.5">
      <c r="A57" s="404" t="s">
        <v>609</v>
      </c>
      <c r="B57" s="403" t="s">
        <v>610</v>
      </c>
      <c r="C57" s="386" t="s">
        <v>544</v>
      </c>
      <c r="D57" s="386" t="s">
        <v>13</v>
      </c>
      <c r="E57" s="386" t="s">
        <v>611</v>
      </c>
      <c r="F57" s="386" t="s">
        <v>96</v>
      </c>
      <c r="G57" s="387" t="s">
        <v>42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636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637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638</v>
      </c>
      <c r="B60" s="306" t="str">
        <f>$D$12</f>
        <v>0</v>
      </c>
      <c r="C60" s="306" t="str">
        <f>'BF - INPUT'!F68</f>
        <v>0</v>
      </c>
      <c r="D60" s="306" t="str">
        <f>IF(OR('BF - INPUT'!F68="N/A",'BF - INPUT'!F68=0),0,LEN(C60))*D9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639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613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613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613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614</v>
      </c>
      <c r="G67" s="297"/>
      <c r="H67" s="297"/>
    </row>
    <row r="68" spans="1:16">
      <c r="A68" s="299" t="s">
        <v>615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616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617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510</v>
      </c>
      <c r="B71" s="300"/>
      <c r="C71" s="300"/>
      <c r="D71" s="300"/>
      <c r="E71" s="300"/>
      <c r="F71" s="331" t="str">
        <f>F75</f>
        <v>0</v>
      </c>
      <c r="G71" s="297"/>
    </row>
    <row r="72" spans="1:16">
      <c r="A72" s="299" t="s">
        <v>587</v>
      </c>
      <c r="B72" s="300"/>
      <c r="C72" s="300"/>
      <c r="D72" s="300"/>
      <c r="E72" s="300"/>
      <c r="F72" s="590"/>
      <c r="G72" s="297"/>
    </row>
    <row r="73" spans="1:16">
      <c r="A73" s="299" t="s">
        <v>491</v>
      </c>
      <c r="B73" s="300"/>
      <c r="C73" s="300"/>
      <c r="D73" s="300"/>
      <c r="E73" s="300"/>
      <c r="F73" s="331" t="str">
        <f>M41*4+N41*4+F86</f>
        <v>0</v>
      </c>
      <c r="G73" s="297"/>
    </row>
    <row r="74" spans="1:16">
      <c r="A74" s="299" t="s">
        <v>618</v>
      </c>
      <c r="B74" s="300"/>
      <c r="C74" s="300"/>
      <c r="D74" s="300"/>
      <c r="E74" s="300"/>
      <c r="F74" s="331" t="str">
        <f>N43*2</f>
        <v>0</v>
      </c>
      <c r="G74" s="297"/>
    </row>
    <row r="75" spans="1:16">
      <c r="A75" s="299" t="s">
        <v>486</v>
      </c>
      <c r="B75" s="300"/>
      <c r="C75" s="300"/>
      <c r="D75" s="300"/>
      <c r="E75" s="300"/>
      <c r="F75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5" s="297"/>
    </row>
    <row r="76" spans="1:16">
      <c r="A76" s="299" t="s">
        <v>619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620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621</v>
      </c>
      <c r="B78" s="300"/>
      <c r="C78" s="300"/>
      <c r="D78" s="300"/>
      <c r="E78" s="300"/>
      <c r="F78" s="331" t="str">
        <f>$N$5*2</f>
        <v>0</v>
      </c>
    </row>
    <row r="79" spans="1:16">
      <c r="A79" s="299" t="s">
        <v>640</v>
      </c>
      <c r="B79" s="300"/>
      <c r="C79" s="300"/>
      <c r="D79" s="300"/>
      <c r="E79" s="300"/>
      <c r="F79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80" spans="1:16">
      <c r="A80" s="330" t="s">
        <v>622</v>
      </c>
      <c r="B80" s="300"/>
      <c r="C80" s="300"/>
      <c r="D80" s="300"/>
      <c r="E80" s="300"/>
      <c r="F80" s="331" t="str">
        <f>N43*1</f>
        <v>0</v>
      </c>
      <c r="G80" s="297"/>
    </row>
    <row r="81" spans="1:16">
      <c r="A81" s="299" t="s">
        <v>623</v>
      </c>
      <c r="B81" s="300"/>
      <c r="C81" s="300"/>
      <c r="D81" s="300"/>
      <c r="E81" s="300"/>
      <c r="F81" s="331" t="str">
        <f>(N23+N24)*2</f>
        <v>0</v>
      </c>
    </row>
    <row r="82" spans="1:16">
      <c r="A82" s="299" t="s">
        <v>624</v>
      </c>
      <c r="B82" s="300"/>
      <c r="C82" s="300"/>
      <c r="D82" s="300"/>
      <c r="E82" s="300"/>
      <c r="F82" s="590"/>
    </row>
    <row r="83" spans="1:16">
      <c r="A83" s="299" t="s">
        <v>625</v>
      </c>
      <c r="B83" s="300"/>
      <c r="C83" s="300"/>
      <c r="D83" s="300"/>
      <c r="E83" s="300"/>
      <c r="F83" s="331" t="str">
        <f>IF(D26="1 Side",N43,0)</f>
        <v>0</v>
      </c>
    </row>
    <row r="84" spans="1:16">
      <c r="A84" s="299" t="s">
        <v>626</v>
      </c>
      <c r="B84" s="300"/>
      <c r="C84" s="300"/>
      <c r="D84" s="300"/>
      <c r="E84" s="300"/>
      <c r="F84" s="331" t="str">
        <f>IF(D26="2 Sided",N43,0)</f>
        <v>0</v>
      </c>
    </row>
    <row r="85" spans="1:16">
      <c r="A85" s="299" t="s">
        <v>627</v>
      </c>
      <c r="B85" s="300"/>
      <c r="C85" s="300"/>
      <c r="D85" s="300"/>
      <c r="E85" s="300"/>
      <c r="F85" s="331" t="str">
        <f>F83+F84</f>
        <v>0</v>
      </c>
    </row>
    <row r="86" spans="1:16">
      <c r="A86" s="299" t="s">
        <v>628</v>
      </c>
      <c r="B86" s="300"/>
      <c r="C86" s="300"/>
      <c r="D86" s="300"/>
      <c r="E86" s="300"/>
      <c r="F86" s="590"/>
    </row>
    <row r="88" spans="1:16">
      <c r="A88" s="298" t="s">
        <v>641</v>
      </c>
    </row>
    <row r="89" spans="1:16">
      <c r="A89" s="330" t="s">
        <v>505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490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506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486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487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492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507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508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509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510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511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512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  <row r="101" spans="1:16">
      <c r="A101" s="330" t="s">
        <v>513</v>
      </c>
      <c r="B101" s="300"/>
      <c r="C101" s="300"/>
      <c r="D101" s="300"/>
      <c r="E101" s="329"/>
      <c r="F101" s="331" t="str">
        <f>INDEX(Components,MATCH(A101,Hardware!M44:M57,0),MATCH(A49,Hardware!M44:W44,0))*D49+INDEX(Components,MATCH(A101,Hardware!M44:M57,0),MATCH(A50,Hardware!M44:W44,0))*D50+INDEX(Components,MATCH(A101,Hardware!M44:M57,0),MATCH(A51,Hardware!M44:W44,0))*D51+INDEX(Components,MATCH(A101,Hardware!M44:M57,0),MATCH(A52,Hardware!M44:W44,0))*D52+INDEX(Components,MATCH(A101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  <mergeCell ref="G5:G6"/>
  </mergeCells>
  <conditionalFormatting sqref="G21">
    <cfRule type="containsText" dxfId="15" priority="1" operator="containsText" text="Reverse">
      <formula>NOT(ISERROR(SEARCH("Reverse",G21)))</formula>
    </cfRule>
  </conditionalFormatting>
  <conditionalFormatting sqref="G21">
    <cfRule type="containsText" dxfId="16" priority="2" operator="containsText" text="Reverse">
      <formula>NOT(ISERROR(SEARCH("Reverse",G21)))</formula>
    </cfRule>
  </conditionalFormatting>
  <conditionalFormatting sqref="D12">
    <cfRule type="containsText" dxfId="14" priority="3" operator="containsText" text="External">
      <formula>NOT(ISERROR(SEARCH("External",D12)))</formula>
    </cfRule>
  </conditionalFormatting>
  <conditionalFormatting sqref="D13">
    <cfRule type="containsText" dxfId="17" priority="4" operator="containsText" text="Non-Standard">
      <formula>NOT(ISERROR(SEARCH("Non-Standard",D13)))</formula>
    </cfRule>
  </conditionalFormatting>
  <conditionalFormatting sqref="D9">
    <cfRule type="cellIs" dxfId="1" priority="5" operator="greaterThan">
      <formula>1</formula>
    </cfRule>
  </conditionalFormatting>
  <conditionalFormatting sqref="I29">
    <cfRule type="containsText" dxfId="18" priority="6" operator="containsText" text="Top Track Cover">
      <formula>NOT(ISERROR(SEARCH("Top Track Cover",I29)))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1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75" t="s">
        <v>642</v>
      </c>
      <c r="E1" s="1275"/>
      <c r="F1" s="1275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75"/>
      <c r="E2" s="1275"/>
      <c r="F2" s="1275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551</v>
      </c>
      <c r="B4" s="205"/>
      <c r="C4" s="150"/>
      <c r="D4" s="150"/>
      <c r="E4" s="150"/>
      <c r="F4" s="150"/>
      <c r="G4" s="151"/>
      <c r="H4" s="96"/>
      <c r="I4" s="149" t="s">
        <v>552</v>
      </c>
      <c r="J4" s="150"/>
      <c r="K4" s="150"/>
      <c r="L4" s="150"/>
      <c r="M4" s="110" t="s">
        <v>42</v>
      </c>
      <c r="N4" s="111" t="s">
        <v>13</v>
      </c>
      <c r="O4" s="96"/>
    </row>
    <row r="5" spans="1:16">
      <c r="A5" s="129"/>
      <c r="B5" s="130" t="s">
        <v>64</v>
      </c>
      <c r="C5" s="130"/>
      <c r="D5" s="143" t="str">
        <f>'BP - INPUT'!F17</f>
        <v>0</v>
      </c>
      <c r="E5" s="143"/>
      <c r="F5" s="143"/>
      <c r="G5" s="1190" t="str">
        <f>'BP - INPUT'!F16</f>
        <v>0</v>
      </c>
      <c r="H5" s="325"/>
      <c r="I5" s="144" t="s">
        <v>335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288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65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553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554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555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14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556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17</v>
      </c>
      <c r="C11" s="107"/>
      <c r="D11" s="108" t="str">
        <f>'BP - INPUT'!F26</f>
        <v>0</v>
      </c>
      <c r="E11" s="108"/>
      <c r="F11" s="213" t="s">
        <v>12</v>
      </c>
      <c r="G11" s="119" t="str">
        <f>IF('BP - INPUT'!F27="","",'BP - INPUT'!F27)</f>
        <v>0</v>
      </c>
      <c r="H11" s="325"/>
      <c r="I11" s="112" t="s">
        <v>557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15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67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558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559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96</v>
      </c>
      <c r="G15" s="318" t="s">
        <v>97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20</v>
      </c>
      <c r="B16" s="152" t="str">
        <f>'BP - INPUT'!F35</f>
        <v>0</v>
      </c>
      <c r="C16" s="109"/>
      <c r="D16" s="229" t="s">
        <v>643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555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561</v>
      </c>
      <c r="B17" s="108" t="str">
        <f>'BP - INPUT'!F33</f>
        <v>0</v>
      </c>
      <c r="C17" s="107"/>
      <c r="D17" s="229" t="s">
        <v>562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556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563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557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142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565</v>
      </c>
      <c r="B20" s="109"/>
      <c r="C20" s="407"/>
      <c r="D20" s="1289" t="str">
        <f>'BP - INPUT'!F39</f>
        <v>0</v>
      </c>
      <c r="E20" s="1277"/>
      <c r="F20" s="1277"/>
      <c r="G20" s="1278"/>
      <c r="H20" s="325"/>
      <c r="I20" s="112" t="s">
        <v>567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123</v>
      </c>
      <c r="B21" s="107"/>
      <c r="C21" s="323" t="str">
        <f>'BP - INPUT'!F40</f>
        <v>0</v>
      </c>
      <c r="D21" s="1290"/>
      <c r="E21" s="1291"/>
      <c r="F21" s="1291"/>
      <c r="G21" s="1292"/>
      <c r="H21" s="325"/>
      <c r="I21" s="112" t="s">
        <v>569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570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571</v>
      </c>
      <c r="B23" s="205"/>
      <c r="C23" s="150"/>
      <c r="D23" s="150"/>
      <c r="E23" s="150"/>
      <c r="F23" s="150"/>
      <c r="G23" s="151"/>
      <c r="H23" s="325"/>
      <c r="I23" s="112" t="s">
        <v>574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631</v>
      </c>
      <c r="B24" s="109"/>
      <c r="C24" s="407"/>
      <c r="D24" s="409" t="str">
        <f>IFERROR('Panel Details'!H53,0)</f>
        <v>0</v>
      </c>
      <c r="E24" s="142" t="s">
        <v>573</v>
      </c>
      <c r="F24" s="142"/>
      <c r="G24" s="408" t="str">
        <f>IFERROR(ROUND((76.2*(D24-1))+103.2+M18+46-26.5,0),0)</f>
        <v>0</v>
      </c>
      <c r="H24" s="325"/>
      <c r="I24" s="112" t="s">
        <v>574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575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576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632</v>
      </c>
      <c r="J26" s="106"/>
      <c r="K26" s="106"/>
      <c r="L26" s="290" t="s">
        <v>633</v>
      </c>
      <c r="M26" s="290" t="s">
        <v>583</v>
      </c>
      <c r="N26" s="291" t="s">
        <v>13</v>
      </c>
      <c r="O26" s="325"/>
    </row>
    <row r="27" spans="1:16">
      <c r="A27" s="112" t="s">
        <v>577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579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580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581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517</v>
      </c>
      <c r="J31" s="308"/>
      <c r="K31" s="308"/>
      <c r="L31" s="290" t="s">
        <v>634</v>
      </c>
      <c r="M31" s="290" t="s">
        <v>583</v>
      </c>
      <c r="N31" s="291" t="s">
        <v>13</v>
      </c>
      <c r="O31" s="325"/>
    </row>
    <row r="32" spans="1:16" customHeight="1" ht="13.5">
      <c r="A32" s="149" t="s">
        <v>481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IF(NOT(I27=0),'BP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644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587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589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590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33</v>
      </c>
      <c r="J36" s="308"/>
      <c r="K36" s="308"/>
      <c r="L36" s="290" t="s">
        <v>635</v>
      </c>
      <c r="M36" s="290"/>
      <c r="N36" s="291"/>
      <c r="O36" s="325"/>
    </row>
    <row r="37" spans="1:16" customHeight="1" ht="13.5">
      <c r="A37" s="112" t="s">
        <v>591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592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594</v>
      </c>
      <c r="B39" s="107"/>
      <c r="C39" s="107"/>
      <c r="D39" s="385"/>
      <c r="E39" s="325"/>
      <c r="F39" s="325"/>
      <c r="G39" s="326"/>
      <c r="H39" s="106"/>
      <c r="I39" s="149" t="s">
        <v>480</v>
      </c>
      <c r="J39" s="150"/>
      <c r="K39" s="150"/>
      <c r="L39" s="150"/>
      <c r="M39" s="150"/>
      <c r="N39" s="153"/>
      <c r="O39" s="325"/>
    </row>
    <row r="40" spans="1:16">
      <c r="A40" s="113" t="s">
        <v>595</v>
      </c>
      <c r="B40" s="106"/>
      <c r="C40" s="106"/>
      <c r="D40" s="165" t="str">
        <f>D36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2" t="s">
        <v>596</v>
      </c>
      <c r="B41" s="107"/>
      <c r="C41" s="107"/>
      <c r="D41" s="165" t="str">
        <f>D37+D35</f>
        <v>0</v>
      </c>
      <c r="E41" s="325"/>
      <c r="F41" s="325"/>
      <c r="G41" s="326"/>
      <c r="H41" s="106"/>
      <c r="I41" s="112" t="s">
        <v>599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 customHeight="1" ht="13.5">
      <c r="A42" s="117" t="s">
        <v>597</v>
      </c>
      <c r="B42" s="118"/>
      <c r="C42" s="118"/>
      <c r="D42" s="168" t="str">
        <f>ROUNDUP((IF(D58&gt;0,('BP - MO'!M32*'BP - MO'!N32)/500+1,0)+IFERROR(SEARCH("liner",'BP - INPUT'!F29),0)*D37)*IF(G5="Dealer",1.1,1),0)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42</v>
      </c>
      <c r="N42" s="291" t="s">
        <v>13</v>
      </c>
      <c r="O42" s="325"/>
    </row>
    <row r="43" spans="1:16">
      <c r="A43" s="115" t="s">
        <v>598</v>
      </c>
      <c r="B43" s="106"/>
      <c r="C43" s="106"/>
      <c r="D43" s="384"/>
      <c r="E43" s="106"/>
      <c r="F43" s="106"/>
      <c r="G43" s="142"/>
      <c r="H43" s="106"/>
      <c r="I43" s="112" t="s">
        <v>485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2" t="s">
        <v>600</v>
      </c>
      <c r="B44" s="107"/>
      <c r="C44" s="162"/>
      <c r="D44" s="385"/>
      <c r="E44" s="106"/>
      <c r="F44" s="106"/>
      <c r="G44" s="142"/>
      <c r="H44" s="106"/>
      <c r="I44" s="144" t="s">
        <v>603</v>
      </c>
      <c r="J44" s="109"/>
      <c r="K44" s="109"/>
      <c r="L44" s="154" t="s">
        <v>604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601</v>
      </c>
      <c r="B45" s="107"/>
      <c r="C45" s="107"/>
      <c r="D45" s="385"/>
      <c r="E45" s="106"/>
      <c r="F45" s="106"/>
      <c r="G45" s="142"/>
      <c r="H45" s="106"/>
      <c r="I45" s="175" t="s">
        <v>603</v>
      </c>
      <c r="J45" s="154"/>
      <c r="K45" s="154"/>
      <c r="L45" s="154" t="s">
        <v>606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29" t="s">
        <v>602</v>
      </c>
      <c r="B46" s="130"/>
      <c r="C46" s="130"/>
      <c r="D46" s="587"/>
      <c r="E46" s="106"/>
      <c r="F46" s="106"/>
      <c r="G46" s="142"/>
      <c r="H46" s="106"/>
      <c r="I46" s="113"/>
      <c r="J46" s="106"/>
      <c r="K46" s="106"/>
      <c r="L46" s="106"/>
      <c r="M46" s="290" t="s">
        <v>67</v>
      </c>
      <c r="N46" s="291" t="s">
        <v>13</v>
      </c>
      <c r="O46" s="325"/>
    </row>
    <row r="47" spans="1:16" customHeight="1" ht="13.5">
      <c r="A47" s="117" t="s">
        <v>605</v>
      </c>
      <c r="B47" s="118"/>
      <c r="C47" s="231"/>
      <c r="D47" s="578">
        <v>0</v>
      </c>
      <c r="E47" s="106"/>
      <c r="F47" s="106"/>
      <c r="G47" s="142"/>
      <c r="H47" s="106"/>
      <c r="I47" s="117" t="s">
        <v>32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607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496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645</v>
      </c>
      <c r="J49" s="169"/>
      <c r="K49" s="169"/>
      <c r="L49" s="169"/>
      <c r="M49" s="169"/>
      <c r="N49" s="170"/>
      <c r="O49" s="325"/>
    </row>
    <row r="50" spans="1:16">
      <c r="A50" s="112" t="s">
        <v>497</v>
      </c>
      <c r="B50" s="107"/>
      <c r="C50" s="162"/>
      <c r="D50" s="385"/>
      <c r="E50" s="325"/>
      <c r="F50" s="325"/>
      <c r="G50" s="326"/>
      <c r="H50" s="106"/>
      <c r="I50" s="1276" t="str">
        <f>IF('BP - INPUT'!F71="","",'BP - INPUT'!F71)</f>
        <v>0</v>
      </c>
      <c r="J50" s="1277"/>
      <c r="K50" s="1277"/>
      <c r="L50" s="1277"/>
      <c r="M50" s="1277"/>
      <c r="N50" s="1278"/>
      <c r="O50" s="325"/>
    </row>
    <row r="51" spans="1:16">
      <c r="A51" s="112" t="s">
        <v>498</v>
      </c>
      <c r="B51" s="107"/>
      <c r="C51" s="162"/>
      <c r="D51" s="385"/>
      <c r="E51" s="325"/>
      <c r="F51" s="325"/>
      <c r="G51" s="326"/>
      <c r="H51" s="106"/>
      <c r="I51" s="1276"/>
      <c r="J51" s="1277"/>
      <c r="K51" s="1277"/>
      <c r="L51" s="1277"/>
      <c r="M51" s="1277"/>
      <c r="N51" s="1278"/>
      <c r="O51" s="325"/>
    </row>
    <row r="52" spans="1:16" customHeight="1" ht="13.5">
      <c r="A52" s="112" t="s">
        <v>499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76"/>
      <c r="J52" s="1277"/>
      <c r="K52" s="1277"/>
      <c r="L52" s="1277"/>
      <c r="M52" s="1277"/>
      <c r="N52" s="1278"/>
      <c r="O52" s="325"/>
    </row>
    <row r="53" spans="1:16" customHeight="1" ht="13.5">
      <c r="A53" s="112" t="s">
        <v>492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79"/>
      <c r="J53" s="1280"/>
      <c r="K53" s="1280"/>
      <c r="L53" s="1280"/>
      <c r="M53" s="1280"/>
      <c r="N53" s="1281"/>
      <c r="O53" s="325"/>
    </row>
    <row r="54" spans="1:16" customHeight="1" ht="13.5">
      <c r="A54" s="129" t="s">
        <v>504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608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82" t="s">
        <v>612</v>
      </c>
      <c r="J55" s="1283"/>
      <c r="K55" s="1284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85"/>
      <c r="J56" s="1286"/>
      <c r="K56" s="1287"/>
      <c r="L56" s="212"/>
      <c r="M56" s="204"/>
      <c r="N56" s="210"/>
      <c r="O56" s="325"/>
    </row>
    <row r="57" spans="1:16" customHeight="1" ht="13.5">
      <c r="A57" s="404" t="s">
        <v>609</v>
      </c>
      <c r="B57" s="403" t="s">
        <v>610</v>
      </c>
      <c r="C57" s="386" t="s">
        <v>544</v>
      </c>
      <c r="D57" s="386" t="s">
        <v>13</v>
      </c>
      <c r="E57" s="386" t="s">
        <v>611</v>
      </c>
      <c r="F57" s="386" t="s">
        <v>96</v>
      </c>
      <c r="G57" s="387" t="s">
        <v>42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636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637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638</v>
      </c>
      <c r="B60" s="306" t="str">
        <f>$D$12</f>
        <v>0</v>
      </c>
      <c r="C60" s="306" t="str">
        <f>'BP - INPUT'!F68</f>
        <v>0</v>
      </c>
      <c r="D60" s="306" t="str">
        <f>IF(OR('BP - INPUT'!F68="N/A",'BP - INPUT'!F68=0),0,LEN(C60))*D9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639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613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613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613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614</v>
      </c>
    </row>
    <row r="68" spans="1:16">
      <c r="A68" s="299" t="s">
        <v>615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616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617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510</v>
      </c>
      <c r="B71" s="300"/>
      <c r="C71" s="300"/>
      <c r="D71" s="300"/>
      <c r="E71" s="300"/>
      <c r="F71" s="331" t="str">
        <f>F75</f>
        <v>0</v>
      </c>
    </row>
    <row r="72" spans="1:16">
      <c r="A72" s="330" t="s">
        <v>587</v>
      </c>
      <c r="B72" s="300"/>
      <c r="C72" s="300"/>
      <c r="D72" s="300"/>
      <c r="E72" s="300"/>
      <c r="F72" s="590"/>
    </row>
    <row r="73" spans="1:16">
      <c r="A73" s="299" t="s">
        <v>491</v>
      </c>
      <c r="B73" s="300"/>
      <c r="C73" s="300"/>
      <c r="D73" s="300"/>
      <c r="E73" s="300"/>
      <c r="F73" s="331" t="str">
        <f>M41*4+N41*4+F86</f>
        <v>0</v>
      </c>
    </row>
    <row r="74" spans="1:16">
      <c r="A74" s="299" t="s">
        <v>618</v>
      </c>
      <c r="B74" s="300"/>
      <c r="C74" s="300"/>
      <c r="D74" s="300"/>
      <c r="E74" s="300"/>
      <c r="F74" s="331" t="str">
        <f>N43*2</f>
        <v>0</v>
      </c>
    </row>
    <row r="75" spans="1:16">
      <c r="A75" s="299" t="s">
        <v>486</v>
      </c>
      <c r="B75" s="300"/>
      <c r="C75" s="300"/>
      <c r="D75" s="300"/>
      <c r="E75" s="300"/>
      <c r="F75" s="331" t="str">
        <f>IFERROR(VLOOKUP(D20,Hardware!B96:H112,6,FALSE),0)</f>
        <v>0</v>
      </c>
    </row>
    <row r="76" spans="1:16">
      <c r="A76" s="299" t="s">
        <v>619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620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621</v>
      </c>
      <c r="B78" s="300"/>
      <c r="C78" s="300"/>
      <c r="D78" s="300"/>
      <c r="E78" s="300"/>
      <c r="F78" s="331" t="str">
        <f>$N$5*2</f>
        <v>0</v>
      </c>
    </row>
    <row r="79" spans="1:16">
      <c r="A79" s="299" t="s">
        <v>487</v>
      </c>
      <c r="B79" s="300"/>
      <c r="C79" s="300"/>
      <c r="D79" s="300"/>
      <c r="E79" s="300"/>
      <c r="F79" s="331" t="str">
        <f>IFERROR(VLOOKUP(D20,Hardware!B96:H112,7,FALSE),0)</f>
        <v>0</v>
      </c>
    </row>
    <row r="80" spans="1:16">
      <c r="A80" s="299" t="s">
        <v>622</v>
      </c>
      <c r="B80" s="300"/>
      <c r="C80" s="300"/>
      <c r="D80" s="300"/>
      <c r="E80" s="329"/>
      <c r="F80" s="331" t="str">
        <f>N43*2</f>
        <v>0</v>
      </c>
    </row>
    <row r="81" spans="1:16">
      <c r="A81" s="299" t="s">
        <v>623</v>
      </c>
      <c r="B81" s="300"/>
      <c r="C81" s="300"/>
      <c r="D81" s="300"/>
      <c r="E81" s="329"/>
      <c r="F81" s="331" t="str">
        <f>(N23+N24)*2</f>
        <v>0</v>
      </c>
    </row>
    <row r="82" spans="1:16">
      <c r="A82" s="299" t="s">
        <v>624</v>
      </c>
      <c r="B82" s="300"/>
      <c r="C82" s="300"/>
      <c r="D82" s="300"/>
      <c r="E82" s="329"/>
      <c r="F82" s="590"/>
    </row>
    <row r="83" spans="1:16">
      <c r="A83" s="299" t="s">
        <v>625</v>
      </c>
      <c r="B83" s="300"/>
      <c r="C83" s="300"/>
      <c r="D83" s="300"/>
      <c r="E83" s="300"/>
      <c r="F83" s="331" t="str">
        <f>IF(D26="1 Side",N43,0)</f>
        <v>0</v>
      </c>
    </row>
    <row r="84" spans="1:16">
      <c r="A84" s="299" t="s">
        <v>626</v>
      </c>
      <c r="B84" s="300"/>
      <c r="C84" s="300"/>
      <c r="D84" s="300"/>
      <c r="E84" s="300"/>
      <c r="F84" s="331" t="str">
        <f>IF(D26="2 Sided",N43,0)</f>
        <v>0</v>
      </c>
    </row>
    <row r="85" spans="1:16">
      <c r="A85" s="299" t="s">
        <v>627</v>
      </c>
      <c r="B85" s="300"/>
      <c r="C85" s="300"/>
      <c r="D85" s="300"/>
      <c r="E85" s="300"/>
      <c r="F85" s="331" t="str">
        <f>F83+F84</f>
        <v>0</v>
      </c>
    </row>
    <row r="86" spans="1:16">
      <c r="A86" s="299" t="s">
        <v>628</v>
      </c>
      <c r="B86" s="300"/>
      <c r="C86" s="300"/>
      <c r="D86" s="300"/>
      <c r="E86" s="300"/>
      <c r="F86" s="590"/>
    </row>
    <row r="88" spans="1:16">
      <c r="A88" s="298" t="s">
        <v>641</v>
      </c>
    </row>
    <row r="89" spans="1:16">
      <c r="A89" s="330" t="s">
        <v>505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490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506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486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487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492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507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508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509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510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511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512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  <row r="101" spans="1:16">
      <c r="A101" s="330" t="s">
        <v>513</v>
      </c>
      <c r="B101" s="300"/>
      <c r="C101" s="300"/>
      <c r="D101" s="300"/>
      <c r="E101" s="329"/>
      <c r="F101" s="331" t="str">
        <f>INDEX(Components,MATCH(A101,Hardware!M44:M57,0),MATCH(A49,Hardware!M44:W44,0))*D49+INDEX(Components,MATCH(A101,Hardware!M44:M57,0),MATCH(A52,Hardware!M44:W44,0))*D52+INDEX(Components,MATCH(A101,Hardware!M44:M57,0),MATCH(A53,Hardware!M44:W44,0))*D53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  <mergeCell ref="G5:G6"/>
  </mergeCells>
  <conditionalFormatting sqref="D12">
    <cfRule type="containsText" dxfId="14" priority="1" operator="containsText" text="External">
      <formula>NOT(ISERROR(SEARCH("External",D12)))</formula>
    </cfRule>
  </conditionalFormatting>
  <conditionalFormatting sqref="D13">
    <cfRule type="containsText" dxfId="17" priority="2" operator="containsText" text="Non-Standard">
      <formula>NOT(ISERROR(SEARCH("Non-Standard",D13)))</formula>
    </cfRule>
  </conditionalFormatting>
  <conditionalFormatting sqref="D9">
    <cfRule type="cellIs" dxfId="1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10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646</v>
      </c>
      <c r="G1" s="21"/>
      <c r="H1" s="21"/>
      <c r="I1" s="240">
        <v>13.75</v>
      </c>
      <c r="J1" s="592">
        <v>43011</v>
      </c>
    </row>
    <row r="2" spans="1:13" hidden="true">
      <c r="F2" s="239" t="s">
        <v>647</v>
      </c>
      <c r="G2" s="21"/>
      <c r="H2" s="21"/>
      <c r="I2" s="240">
        <v>16.5</v>
      </c>
      <c r="J2" s="592">
        <v>43011</v>
      </c>
    </row>
    <row r="3" spans="1:13" hidden="true">
      <c r="F3" s="239" t="s">
        <v>648</v>
      </c>
      <c r="G3" s="21"/>
      <c r="H3" s="21"/>
      <c r="I3" s="241">
        <v>3096</v>
      </c>
      <c r="J3" s="592">
        <v>43011</v>
      </c>
    </row>
    <row r="4" spans="1:13" hidden="true">
      <c r="F4" s="239" t="s">
        <v>648</v>
      </c>
      <c r="G4" s="21"/>
      <c r="H4" s="21"/>
      <c r="I4" s="241">
        <v>6497</v>
      </c>
      <c r="J4" s="592">
        <v>43011</v>
      </c>
    </row>
    <row r="5" spans="1:13" hidden="true">
      <c r="F5" s="239" t="s">
        <v>649</v>
      </c>
      <c r="G5" s="243" t="s">
        <v>650</v>
      </c>
      <c r="H5" s="21"/>
      <c r="I5" s="242">
        <v>0.2</v>
      </c>
      <c r="K5" s="1"/>
    </row>
    <row r="6" spans="1:13" hidden="true">
      <c r="F6" s="239" t="s">
        <v>649</v>
      </c>
      <c r="G6" s="243" t="s">
        <v>651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652</v>
      </c>
      <c r="B9" s="233" t="str">
        <f>IF('H - INPUT'!F21&gt;0,'H - INPUT'!E11,IF('BF - INPUT'!F21&gt;0,'BF - INPUT'!E11,IF('BP - INPUT'!F21&gt;0,'BP - INPUT'!E11,0)))</f>
        <v>0</v>
      </c>
      <c r="F9" s="21" t="s">
        <v>552</v>
      </c>
      <c r="G9" s="21"/>
      <c r="H9" s="21"/>
      <c r="I9" s="244" t="str">
        <f>SUMIF($B$23:$I$109,F9,$I$23:$I$109)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653</v>
      </c>
      <c r="G10" s="21"/>
      <c r="H10" s="21"/>
      <c r="I10" s="244" t="str">
        <f>SUMIF($B$23:$I$109,F10,$I$23:$I$109)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654</v>
      </c>
      <c r="G11" s="21"/>
      <c r="H11" s="21"/>
      <c r="I11" s="244" t="str">
        <f>SUMIF($B$23:$I$109,F11,$I$23:$I$109)</f>
        <v>0</v>
      </c>
      <c r="K11" s="9"/>
    </row>
    <row r="12" spans="1:13">
      <c r="A12" s="196" t="s">
        <v>65</v>
      </c>
      <c r="B12" s="234" t="str">
        <f>IF($B$9="Hinged",'H - INPUT'!F20,IF($B$9="Bi-Fold",'BF - INPUT'!F20,IF($B$9="By-Pass",'BP - INPUT'!F20,0)))</f>
        <v>0</v>
      </c>
      <c r="F12" s="21" t="s">
        <v>655</v>
      </c>
      <c r="G12" s="21"/>
      <c r="H12" s="21"/>
      <c r="I12" s="244" t="str">
        <f>SUMIF($B$23:$I$109,F12,$I$23:$I$109)</f>
        <v>0</v>
      </c>
      <c r="K12" s="9"/>
    </row>
    <row r="13" spans="1:13">
      <c r="A13" s="196" t="s">
        <v>86</v>
      </c>
      <c r="B13" s="234" t="str">
        <f>IF($B$9="Hinged",'H - MO'!F16,IF($B$9="Bi-Fold",'BF - MO'!F16,IF($B$9="By-Pass",'BP - MO'!F16,0)))</f>
        <v>0</v>
      </c>
      <c r="F13" s="21" t="s">
        <v>609</v>
      </c>
      <c r="G13" s="21"/>
      <c r="H13" s="21"/>
      <c r="I13" s="244" t="str">
        <f>SUMIF($B$23:$I$109,F13,$I$23:$I$109)</f>
        <v>0</v>
      </c>
      <c r="K13" s="1"/>
    </row>
    <row r="14" spans="1:13">
      <c r="A14" s="196" t="s">
        <v>87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565</v>
      </c>
      <c r="B15" s="234" t="str">
        <f>IF($B$9="Hinged",'H - MO'!C20,IF($B$9="Bi-Fold",'BF - MO'!D20,IF($B$9="By-Pass",'BP - MO'!D20,0)))</f>
        <v>0</v>
      </c>
      <c r="F15" s="246" t="s">
        <v>656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123</v>
      </c>
      <c r="B16" s="235" t="str">
        <f>IF($B$9="Hinged",'H - MO'!C21,IF($B$9="Bi-Fold",'BF - MO'!D21,IF($B$9="By-Pass",'BP - MO'!C21,0)))</f>
        <v>0</v>
      </c>
      <c r="F16" s="21" t="s">
        <v>657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658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659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660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93" t="s">
        <v>661</v>
      </c>
      <c r="I21" s="1293"/>
    </row>
    <row r="22" spans="1:13">
      <c r="A22" s="437" t="s">
        <v>662</v>
      </c>
      <c r="B22" s="437" t="s">
        <v>663</v>
      </c>
      <c r="C22" s="437" t="s">
        <v>664</v>
      </c>
      <c r="D22" s="63" t="s">
        <v>665</v>
      </c>
      <c r="E22" s="437" t="s">
        <v>666</v>
      </c>
      <c r="F22" s="63" t="s">
        <v>667</v>
      </c>
      <c r="G22" s="441" t="s">
        <v>668</v>
      </c>
      <c r="H22" s="441" t="s">
        <v>669</v>
      </c>
      <c r="I22" s="441" t="s">
        <v>670</v>
      </c>
    </row>
    <row r="23" spans="1:13">
      <c r="A23" t="s">
        <v>552</v>
      </c>
      <c r="B23" t="s">
        <v>552</v>
      </c>
      <c r="C23" t="s">
        <v>671</v>
      </c>
      <c r="D23" t="s">
        <v>335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552</v>
      </c>
      <c r="B24" t="s">
        <v>552</v>
      </c>
      <c r="C24" t="s">
        <v>671</v>
      </c>
      <c r="D24" t="s">
        <v>553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552</v>
      </c>
      <c r="B25" t="s">
        <v>552</v>
      </c>
      <c r="C25" t="s">
        <v>671</v>
      </c>
      <c r="D25" t="s">
        <v>555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552</v>
      </c>
      <c r="B26" t="s">
        <v>552</v>
      </c>
      <c r="C26" t="s">
        <v>671</v>
      </c>
      <c r="D26" t="s">
        <v>556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552</v>
      </c>
      <c r="B27" t="s">
        <v>552</v>
      </c>
      <c r="C27" t="s">
        <v>671</v>
      </c>
      <c r="D27" t="s">
        <v>558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552</v>
      </c>
      <c r="B28" t="s">
        <v>552</v>
      </c>
      <c r="C28" t="s">
        <v>671</v>
      </c>
      <c r="D28" t="s">
        <v>567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552</v>
      </c>
      <c r="B29" t="s">
        <v>552</v>
      </c>
      <c r="C29" t="s">
        <v>671</v>
      </c>
      <c r="D29" t="s">
        <v>569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552</v>
      </c>
      <c r="B30" t="s">
        <v>552</v>
      </c>
      <c r="C30" t="s">
        <v>671</v>
      </c>
      <c r="D30" t="s">
        <v>672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552</v>
      </c>
      <c r="B31" t="s">
        <v>552</v>
      </c>
      <c r="C31" t="s">
        <v>671</v>
      </c>
      <c r="D31" t="s">
        <v>574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552</v>
      </c>
      <c r="B32" t="s">
        <v>552</v>
      </c>
      <c r="C32" t="s">
        <v>671</v>
      </c>
      <c r="D32" t="s">
        <v>578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552</v>
      </c>
      <c r="B33" t="s">
        <v>552</v>
      </c>
      <c r="C33" t="s">
        <v>671</v>
      </c>
      <c r="D33" t="s">
        <v>673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552</v>
      </c>
      <c r="B34" t="s">
        <v>552</v>
      </c>
      <c r="C34" t="s">
        <v>671</v>
      </c>
      <c r="D34" t="s">
        <v>674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552</v>
      </c>
      <c r="B35" t="s">
        <v>552</v>
      </c>
      <c r="C35" t="s">
        <v>671</v>
      </c>
      <c r="D35" t="s">
        <v>675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552</v>
      </c>
      <c r="B36" t="s">
        <v>552</v>
      </c>
      <c r="C36" t="s">
        <v>671</v>
      </c>
      <c r="D36" t="s">
        <v>676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552</v>
      </c>
      <c r="B37" t="s">
        <v>552</v>
      </c>
      <c r="C37" t="s">
        <v>671</v>
      </c>
      <c r="D37" t="s">
        <v>677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552</v>
      </c>
      <c r="B38" t="s">
        <v>552</v>
      </c>
      <c r="C38" t="s">
        <v>671</v>
      </c>
      <c r="D38" t="s">
        <v>521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552</v>
      </c>
      <c r="B39" t="s">
        <v>552</v>
      </c>
      <c r="C39" t="s">
        <v>671</v>
      </c>
      <c r="D39" t="s">
        <v>522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552</v>
      </c>
      <c r="B40" t="s">
        <v>552</v>
      </c>
      <c r="C40" t="s">
        <v>671</v>
      </c>
      <c r="D40" t="s">
        <v>678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552</v>
      </c>
      <c r="B41" t="s">
        <v>552</v>
      </c>
      <c r="C41" t="s">
        <v>671</v>
      </c>
      <c r="D41" t="s">
        <v>679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552</v>
      </c>
      <c r="B42" t="s">
        <v>552</v>
      </c>
      <c r="C42" t="s">
        <v>680</v>
      </c>
      <c r="D42" s="1" t="s">
        <v>520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552</v>
      </c>
      <c r="B43" t="s">
        <v>552</v>
      </c>
      <c r="C43" t="s">
        <v>671</v>
      </c>
      <c r="D43" t="s">
        <v>545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552</v>
      </c>
      <c r="B44" t="s">
        <v>552</v>
      </c>
      <c r="C44" t="s">
        <v>671</v>
      </c>
      <c r="D44" t="s">
        <v>681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653</v>
      </c>
      <c r="B46" t="s">
        <v>653</v>
      </c>
      <c r="C46" t="s">
        <v>682</v>
      </c>
      <c r="D46" t="s">
        <v>683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653</v>
      </c>
      <c r="B47" t="s">
        <v>653</v>
      </c>
      <c r="C47" t="s">
        <v>684</v>
      </c>
      <c r="D47" t="s">
        <v>685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653</v>
      </c>
      <c r="B48" t="s">
        <v>653</v>
      </c>
      <c r="C48" t="s">
        <v>684</v>
      </c>
      <c r="D48" t="s">
        <v>686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653</v>
      </c>
      <c r="B49" t="s">
        <v>653</v>
      </c>
      <c r="C49" s="1" t="s">
        <v>687</v>
      </c>
      <c r="D49" t="s">
        <v>688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653</v>
      </c>
      <c r="B50" t="s">
        <v>653</v>
      </c>
      <c r="C50" s="1" t="s">
        <v>689</v>
      </c>
      <c r="D50" t="s">
        <v>690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653</v>
      </c>
      <c r="B51" t="s">
        <v>653</v>
      </c>
      <c r="C51" s="1" t="s">
        <v>689</v>
      </c>
      <c r="D51" t="s">
        <v>32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653</v>
      </c>
      <c r="B52" t="s">
        <v>653</v>
      </c>
      <c r="C52" s="1" t="s">
        <v>691</v>
      </c>
      <c r="D52" t="s">
        <v>692</v>
      </c>
      <c r="E52" s="194" t="str">
        <f>'H - MO'!D44+'BF - MO'!D44+'BP - MO'!D44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653</v>
      </c>
      <c r="B53" t="s">
        <v>653</v>
      </c>
      <c r="C53" t="s">
        <v>680</v>
      </c>
      <c r="D53" t="s">
        <v>608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693</v>
      </c>
      <c r="B55" t="s">
        <v>654</v>
      </c>
      <c r="C55" t="s">
        <v>694</v>
      </c>
      <c r="D55" t="s">
        <v>615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693</v>
      </c>
      <c r="B56" t="s">
        <v>654</v>
      </c>
      <c r="C56" t="s">
        <v>694</v>
      </c>
      <c r="D56" t="s">
        <v>616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693</v>
      </c>
      <c r="B57" t="s">
        <v>654</v>
      </c>
      <c r="C57" t="s">
        <v>694</v>
      </c>
      <c r="D57" t="s">
        <v>617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693</v>
      </c>
      <c r="B58" t="s">
        <v>654</v>
      </c>
      <c r="C58" t="s">
        <v>694</v>
      </c>
      <c r="D58" t="s">
        <v>627</v>
      </c>
      <c r="E58" s="192" t="str">
        <f>'H - MO'!F80+'BF - MO'!F85+'BP - MO'!F85</f>
        <v>0</v>
      </c>
      <c r="F58" s="190" t="str">
        <f>0.036</f>
        <v>0</v>
      </c>
      <c r="H58" s="187" t="str">
        <f>F58*(1+$I$6)*$I$1</f>
        <v>0</v>
      </c>
      <c r="I58" s="193" t="str">
        <f>E58*H58</f>
        <v>0</v>
      </c>
    </row>
    <row r="59" spans="1:13">
      <c r="A59" t="s">
        <v>693</v>
      </c>
      <c r="B59" t="s">
        <v>654</v>
      </c>
      <c r="C59" t="s">
        <v>694</v>
      </c>
      <c r="D59" t="s">
        <v>587</v>
      </c>
      <c r="E59" s="192" t="str">
        <f>'H - MO'!F67</f>
        <v>0</v>
      </c>
      <c r="F59" s="190" t="str">
        <f>0.024</f>
        <v>0</v>
      </c>
      <c r="H59" s="187" t="str">
        <f>F59*(1+$I$6)*$I$1</f>
        <v>0</v>
      </c>
      <c r="I59" s="193" t="str">
        <f>E59*H59</f>
        <v>0</v>
      </c>
    </row>
    <row r="60" spans="1:13">
      <c r="A60" t="s">
        <v>693</v>
      </c>
      <c r="B60" t="s">
        <v>654</v>
      </c>
      <c r="C60" s="439" t="s">
        <v>687</v>
      </c>
      <c r="D60" t="s">
        <v>510</v>
      </c>
      <c r="E60" s="192" t="str">
        <f>'H - MO'!F66+'BF - MO'!F71+'BP - MO'!F71</f>
        <v>0</v>
      </c>
      <c r="H60" s="187">
        <v>0.2</v>
      </c>
      <c r="I60" s="193" t="str">
        <f>E60*H60</f>
        <v>0</v>
      </c>
    </row>
    <row r="61" spans="1:13">
      <c r="A61" t="s">
        <v>693</v>
      </c>
      <c r="B61" t="s">
        <v>654</v>
      </c>
      <c r="C61" t="s">
        <v>695</v>
      </c>
      <c r="D61" t="s">
        <v>491</v>
      </c>
      <c r="E61" s="192" t="str">
        <f>'H - MO'!F68+'BF - MO'!F73+'BP - MO'!F73+'H - MO'!D39+'BF - MO'!D39+'BP - MO'!D39</f>
        <v>0</v>
      </c>
      <c r="H61" s="187" t="str">
        <f>330/1000</f>
        <v>0</v>
      </c>
      <c r="I61" s="193" t="str">
        <f>E61*H61</f>
        <v>0</v>
      </c>
    </row>
    <row r="62" spans="1:13">
      <c r="A62" t="s">
        <v>693</v>
      </c>
      <c r="B62" t="s">
        <v>654</v>
      </c>
      <c r="C62" t="s">
        <v>695</v>
      </c>
      <c r="D62" t="s">
        <v>618</v>
      </c>
      <c r="E62" s="192" t="str">
        <f>'H - MO'!F69+'BF - MO'!F74+'BP - MO'!F74</f>
        <v>0</v>
      </c>
      <c r="H62" s="187">
        <v>0.2</v>
      </c>
      <c r="I62" s="193" t="str">
        <f>E62*H62</f>
        <v>0</v>
      </c>
    </row>
    <row r="63" spans="1:13">
      <c r="A63" t="s">
        <v>693</v>
      </c>
      <c r="B63" t="s">
        <v>655</v>
      </c>
      <c r="C63" t="s">
        <v>696</v>
      </c>
      <c r="D63" t="s">
        <v>486</v>
      </c>
      <c r="E63" s="192" t="str">
        <f>'H - MO'!F70+'BF - MO'!F75+'BP - MO'!F75</f>
        <v>0</v>
      </c>
      <c r="H63" s="189">
        <v>2.81</v>
      </c>
      <c r="I63" s="193" t="str">
        <f>E63*H63</f>
        <v>0</v>
      </c>
    </row>
    <row r="64" spans="1:13">
      <c r="A64" t="s">
        <v>693</v>
      </c>
      <c r="B64" t="s">
        <v>655</v>
      </c>
      <c r="C64" t="s">
        <v>696</v>
      </c>
      <c r="D64" t="s">
        <v>619</v>
      </c>
      <c r="E64" s="192" t="str">
        <f>'H - MO'!F71+'BF - MO'!F76+'BP - MO'!F76</f>
        <v>0</v>
      </c>
      <c r="H64" s="189">
        <v>1.15</v>
      </c>
      <c r="I64" s="193" t="str">
        <f>E64*H64</f>
        <v>0</v>
      </c>
    </row>
    <row r="65" spans="1:13">
      <c r="A65" t="s">
        <v>693</v>
      </c>
      <c r="B65" t="s">
        <v>655</v>
      </c>
      <c r="C65" t="s">
        <v>696</v>
      </c>
      <c r="D65" t="s">
        <v>620</v>
      </c>
      <c r="E65" s="192" t="str">
        <f>'H - MO'!F72+'BF - MO'!F77+'BP - MO'!F77</f>
        <v>0</v>
      </c>
      <c r="H65" s="189">
        <v>1.3</v>
      </c>
      <c r="I65" s="193" t="str">
        <f>E65*H65</f>
        <v>0</v>
      </c>
    </row>
    <row r="66" spans="1:13">
      <c r="A66" t="s">
        <v>693</v>
      </c>
      <c r="B66" t="s">
        <v>655</v>
      </c>
      <c r="C66" t="s">
        <v>696</v>
      </c>
      <c r="D66" t="s">
        <v>621</v>
      </c>
      <c r="E66" s="192" t="str">
        <f>'H - MO'!F73+'BF - MO'!F78+'BP - MO'!F78</f>
        <v>0</v>
      </c>
      <c r="H66" s="189">
        <v>0.05</v>
      </c>
      <c r="I66" s="193" t="str">
        <f>E66*H66</f>
        <v>0</v>
      </c>
    </row>
    <row r="67" spans="1:13">
      <c r="A67" t="s">
        <v>693</v>
      </c>
      <c r="B67" t="s">
        <v>655</v>
      </c>
      <c r="C67" t="s">
        <v>696</v>
      </c>
      <c r="D67" t="s">
        <v>487</v>
      </c>
      <c r="E67" s="192" t="str">
        <f>'H - MO'!F74+'BF - MO'!F79+'BP - MO'!F79</f>
        <v>0</v>
      </c>
      <c r="H67" s="189">
        <v>0.88</v>
      </c>
      <c r="I67" s="193" t="str">
        <f>E67*H67</f>
        <v>0</v>
      </c>
    </row>
    <row r="68" spans="1:13">
      <c r="A68" t="s">
        <v>693</v>
      </c>
      <c r="B68" t="s">
        <v>655</v>
      </c>
      <c r="C68" t="s">
        <v>696</v>
      </c>
      <c r="D68" t="s">
        <v>622</v>
      </c>
      <c r="E68" s="192" t="str">
        <f>'H - MO'!F75+'BF - MO'!F80+'BP - MO'!F80</f>
        <v>0</v>
      </c>
      <c r="H68" s="189">
        <v>0.88</v>
      </c>
      <c r="I68" s="193" t="str">
        <f>E68*H68</f>
        <v>0</v>
      </c>
    </row>
    <row r="69" spans="1:13">
      <c r="A69" t="s">
        <v>693</v>
      </c>
      <c r="B69" t="s">
        <v>654</v>
      </c>
      <c r="C69" s="1" t="s">
        <v>691</v>
      </c>
      <c r="D69" t="s">
        <v>623</v>
      </c>
      <c r="E69" s="192" t="str">
        <f>'H - MO'!F76+'BF - MO'!F81+'BP - MO'!F81</f>
        <v>0</v>
      </c>
      <c r="H69" s="189">
        <v>0.37</v>
      </c>
      <c r="I69" s="193" t="str">
        <f>E69*H69</f>
        <v>0</v>
      </c>
    </row>
    <row r="70" spans="1:13">
      <c r="A70" t="s">
        <v>693</v>
      </c>
      <c r="B70" t="s">
        <v>655</v>
      </c>
      <c r="C70" t="s">
        <v>697</v>
      </c>
      <c r="D70" t="s">
        <v>624</v>
      </c>
      <c r="E70" s="192" t="str">
        <f>'H - MO'!F77+'BF - MO'!F82+'BP - MO'!F82</f>
        <v>0</v>
      </c>
      <c r="F70">
        <v>0.0385</v>
      </c>
      <c r="H70" s="187" t="str">
        <f>F70*(1+$I$6)*$I$1</f>
        <v>0</v>
      </c>
      <c r="I70" s="193" t="str">
        <f>E70*H70</f>
        <v>0</v>
      </c>
    </row>
    <row r="71" spans="1:13">
      <c r="A71" t="s">
        <v>693</v>
      </c>
      <c r="B71" t="s">
        <v>655</v>
      </c>
      <c r="C71" t="s">
        <v>696</v>
      </c>
      <c r="D71" t="s">
        <v>628</v>
      </c>
      <c r="E71" s="194" t="str">
        <f>'H - MO'!F81+'BF - MO'!F86+'BP - MO'!F86</f>
        <v>0</v>
      </c>
      <c r="H71" s="189">
        <v>3.33</v>
      </c>
      <c r="I71" s="193" t="str">
        <f>E71*H71</f>
        <v>0</v>
      </c>
    </row>
    <row r="72" spans="1:13">
      <c r="E72" s="9"/>
      <c r="I72" s="193"/>
    </row>
    <row r="73" spans="1:13">
      <c r="A73" t="s">
        <v>481</v>
      </c>
      <c r="B73" t="s">
        <v>654</v>
      </c>
      <c r="C73" t="s">
        <v>694</v>
      </c>
      <c r="D73" t="s">
        <v>587</v>
      </c>
      <c r="E73" s="192" t="str">
        <f>'H - MO'!D34+'BF - MO'!D34+'BP - MO'!D34</f>
        <v>0</v>
      </c>
      <c r="F73" s="1">
        <v>0.024</v>
      </c>
      <c r="H73" s="187" t="str">
        <f>F73*(1+$I$6)*$I$1</f>
        <v>0</v>
      </c>
      <c r="I73" s="193" t="str">
        <f>E73*H73</f>
        <v>0</v>
      </c>
    </row>
    <row r="74" spans="1:13">
      <c r="A74" t="s">
        <v>481</v>
      </c>
      <c r="B74" t="s">
        <v>654</v>
      </c>
      <c r="C74" t="s">
        <v>694</v>
      </c>
      <c r="D74" t="s">
        <v>589</v>
      </c>
      <c r="E74" s="192" t="str">
        <f>'H - MO'!D35+'BF - MO'!D35+'BP - MO'!D35</f>
        <v>0</v>
      </c>
      <c r="F74" s="1">
        <v>0.061</v>
      </c>
      <c r="H74" s="187" t="str">
        <f>F74*(1+$I$6)*$I$1</f>
        <v>0</v>
      </c>
      <c r="I74" s="193" t="str">
        <f>E74*H74</f>
        <v>0</v>
      </c>
    </row>
    <row r="75" spans="1:13">
      <c r="A75" t="s">
        <v>481</v>
      </c>
      <c r="B75" t="s">
        <v>654</v>
      </c>
      <c r="C75" t="s">
        <v>694</v>
      </c>
      <c r="D75" t="s">
        <v>590</v>
      </c>
      <c r="E75" s="192" t="str">
        <f>'H - MO'!D36+'BF - MO'!D36+'BP - MO'!D36</f>
        <v>0</v>
      </c>
      <c r="F75" s="1">
        <v>0.037</v>
      </c>
      <c r="H75" s="187" t="str">
        <f>F75*(1+$I$6)*$I$1</f>
        <v>0</v>
      </c>
      <c r="I75" s="193" t="str">
        <f>E75*H75</f>
        <v>0</v>
      </c>
    </row>
    <row r="76" spans="1:13">
      <c r="A76" t="s">
        <v>481</v>
      </c>
      <c r="B76" t="s">
        <v>654</v>
      </c>
      <c r="C76" t="s">
        <v>694</v>
      </c>
      <c r="D76" t="s">
        <v>591</v>
      </c>
      <c r="E76" s="192" t="str">
        <f>'H - MO'!D37+'BF - MO'!D37+'BP - MO'!D37</f>
        <v>0</v>
      </c>
      <c r="F76" s="1">
        <v>0.048</v>
      </c>
      <c r="H76" s="187" t="str">
        <f>F76*(1+$I$6)*$I$1</f>
        <v>0</v>
      </c>
      <c r="I76" s="193" t="str">
        <f>E76*H76</f>
        <v>0</v>
      </c>
    </row>
    <row r="77" spans="1:13">
      <c r="A77" t="s">
        <v>481</v>
      </c>
      <c r="B77" t="s">
        <v>654</v>
      </c>
      <c r="C77" s="1" t="s">
        <v>687</v>
      </c>
      <c r="D77" t="s">
        <v>592</v>
      </c>
      <c r="E77" s="192" t="str">
        <f>'H - MO'!D38+'BF - MO'!D38+'BP - MO'!D38</f>
        <v>0</v>
      </c>
      <c r="H77" s="187">
        <v>0.79</v>
      </c>
      <c r="I77" s="193" t="str">
        <f>E77*H77</f>
        <v>0</v>
      </c>
    </row>
    <row r="78" spans="1:13">
      <c r="A78" t="s">
        <v>481</v>
      </c>
      <c r="B78" t="s">
        <v>654</v>
      </c>
      <c r="C78" s="1" t="s">
        <v>698</v>
      </c>
      <c r="D78" t="s">
        <v>595</v>
      </c>
      <c r="E78" s="192" t="str">
        <f>'H - MO'!D40+'BF - MO'!D40+'BP - MO'!D40</f>
        <v>0</v>
      </c>
      <c r="H78" s="187">
        <v>0.86</v>
      </c>
      <c r="I78" s="193" t="str">
        <f>E78*H78</f>
        <v>0</v>
      </c>
    </row>
    <row r="79" spans="1:13">
      <c r="A79" t="s">
        <v>481</v>
      </c>
      <c r="B79" t="s">
        <v>654</v>
      </c>
      <c r="C79" s="1" t="s">
        <v>698</v>
      </c>
      <c r="D79" t="s">
        <v>596</v>
      </c>
      <c r="E79" s="192" t="str">
        <f>'H - MO'!D41+'BF - MO'!D41+'BP - MO'!D41</f>
        <v>0</v>
      </c>
      <c r="H79" s="189">
        <v>1.07</v>
      </c>
      <c r="I79" s="193" t="str">
        <f>E79*H79</f>
        <v>0</v>
      </c>
    </row>
    <row r="80" spans="1:13">
      <c r="A80" t="s">
        <v>481</v>
      </c>
      <c r="B80" t="s">
        <v>654</v>
      </c>
      <c r="C80" s="1" t="s">
        <v>699</v>
      </c>
      <c r="D80" t="s">
        <v>597</v>
      </c>
      <c r="E80" s="192" t="str">
        <f>'H - MO'!D42+'BF - MO'!D42+'BP - MO'!D42</f>
        <v>0</v>
      </c>
      <c r="H80" s="189">
        <v>0.25</v>
      </c>
      <c r="I80" s="193" t="str">
        <f>E80*H80</f>
        <v>0</v>
      </c>
    </row>
    <row r="81" spans="1:13">
      <c r="A81" t="s">
        <v>481</v>
      </c>
      <c r="B81" t="s">
        <v>655</v>
      </c>
      <c r="C81" s="1" t="s">
        <v>691</v>
      </c>
      <c r="D81" t="s">
        <v>600</v>
      </c>
      <c r="E81" s="192" t="str">
        <f>'H - MO'!D44+'BF - MO'!D44+'BP - MO'!D44</f>
        <v>0</v>
      </c>
      <c r="H81" s="189">
        <v>1.14</v>
      </c>
      <c r="I81" s="193" t="str">
        <f>E81*H81</f>
        <v>0</v>
      </c>
    </row>
    <row r="82" spans="1:13">
      <c r="A82" t="s">
        <v>481</v>
      </c>
      <c r="B82" t="s">
        <v>653</v>
      </c>
      <c r="C82" s="249"/>
      <c r="D82" t="s">
        <v>601</v>
      </c>
      <c r="E82" s="192" t="str">
        <f>'H - MO'!D45+'BF - MO'!D45+'BP - MO'!D45</f>
        <v>0</v>
      </c>
      <c r="H82" s="188">
        <v>30</v>
      </c>
      <c r="I82" s="193" t="str">
        <f>E82*H82</f>
        <v>0</v>
      </c>
    </row>
    <row r="83" spans="1:13">
      <c r="A83" t="s">
        <v>481</v>
      </c>
      <c r="B83" t="s">
        <v>653</v>
      </c>
      <c r="C83" s="249"/>
      <c r="D83" t="s">
        <v>605</v>
      </c>
      <c r="E83" s="192" t="str">
        <f>'H - MO'!D47+'BF - MO'!D47+'BP - MO'!D47</f>
        <v>0</v>
      </c>
      <c r="H83" s="188">
        <v>110</v>
      </c>
      <c r="I83" s="193" t="str">
        <f>E83*H83</f>
        <v>0</v>
      </c>
    </row>
    <row r="84" spans="1:13">
      <c r="E84" s="192"/>
      <c r="I84" s="193"/>
    </row>
    <row r="85" spans="1:13">
      <c r="A85" t="s">
        <v>481</v>
      </c>
      <c r="B85" t="s">
        <v>654</v>
      </c>
      <c r="C85" t="s">
        <v>694</v>
      </c>
      <c r="D85" t="s">
        <v>505</v>
      </c>
      <c r="E85" s="192" t="str">
        <f>'BF - MO'!F89+'BP - MO'!F89</f>
        <v>0</v>
      </c>
      <c r="F85" s="1">
        <v>0.058</v>
      </c>
      <c r="H85" s="187" t="str">
        <f>F85*(1+$I$6)*$I$1</f>
        <v>0</v>
      </c>
      <c r="I85" s="193" t="str">
        <f>E85*H85</f>
        <v>0</v>
      </c>
    </row>
    <row r="86" spans="1:13">
      <c r="A86" t="s">
        <v>481</v>
      </c>
      <c r="B86" t="s">
        <v>654</v>
      </c>
      <c r="C86" t="s">
        <v>694</v>
      </c>
      <c r="D86" t="s">
        <v>490</v>
      </c>
      <c r="E86" s="192" t="str">
        <f>'BF - MO'!F90+'BP - MO'!F90</f>
        <v>0</v>
      </c>
      <c r="F86" s="1">
        <v>0.1</v>
      </c>
      <c r="H86" s="187" t="str">
        <f>F86*(1+$I$6)*$I$1</f>
        <v>0</v>
      </c>
      <c r="I86" s="193" t="str">
        <f>E86*H86</f>
        <v>0</v>
      </c>
    </row>
    <row r="87" spans="1:13">
      <c r="A87" t="s">
        <v>481</v>
      </c>
      <c r="B87" t="s">
        <v>653</v>
      </c>
      <c r="C87" t="s">
        <v>680</v>
      </c>
      <c r="D87" t="s">
        <v>506</v>
      </c>
      <c r="E87" s="192" t="str">
        <f>'BF - MO'!F91+'BP - MO'!F91</f>
        <v>0</v>
      </c>
      <c r="H87" s="189">
        <v>39.67</v>
      </c>
      <c r="I87" s="193" t="str">
        <f>E87*H87</f>
        <v>0</v>
      </c>
    </row>
    <row r="88" spans="1:13">
      <c r="A88" t="s">
        <v>481</v>
      </c>
      <c r="B88" t="s">
        <v>655</v>
      </c>
      <c r="C88" t="s">
        <v>696</v>
      </c>
      <c r="D88" t="s">
        <v>486</v>
      </c>
      <c r="E88" s="192" t="str">
        <f>'BF - MO'!F92+'BP - MO'!F92</f>
        <v>0</v>
      </c>
      <c r="H88" s="189">
        <v>2.81</v>
      </c>
      <c r="I88" s="193" t="str">
        <f>E88*H88</f>
        <v>0</v>
      </c>
    </row>
    <row r="89" spans="1:13">
      <c r="A89" t="s">
        <v>481</v>
      </c>
      <c r="B89" t="s">
        <v>655</v>
      </c>
      <c r="C89" t="s">
        <v>696</v>
      </c>
      <c r="D89" t="s">
        <v>487</v>
      </c>
      <c r="E89" s="192" t="str">
        <f>'BF - MO'!F93+'BP - MO'!F93</f>
        <v>0</v>
      </c>
      <c r="H89" s="189">
        <v>0.88</v>
      </c>
      <c r="I89" s="193" t="str">
        <f>E89*H89</f>
        <v>0</v>
      </c>
    </row>
    <row r="90" spans="1:13">
      <c r="A90" t="s">
        <v>481</v>
      </c>
      <c r="B90" t="s">
        <v>655</v>
      </c>
      <c r="C90" t="s">
        <v>696</v>
      </c>
      <c r="D90" t="s">
        <v>492</v>
      </c>
      <c r="E90" s="192" t="str">
        <f>'BF - MO'!F94+'BP - MO'!F94</f>
        <v>0</v>
      </c>
      <c r="H90" s="189">
        <v>0.28</v>
      </c>
      <c r="I90" s="193" t="str">
        <f>E90*H90</f>
        <v>0</v>
      </c>
    </row>
    <row r="91" spans="1:13">
      <c r="A91" t="s">
        <v>481</v>
      </c>
      <c r="B91" t="s">
        <v>654</v>
      </c>
      <c r="C91" s="439" t="s">
        <v>687</v>
      </c>
      <c r="D91" t="s">
        <v>507</v>
      </c>
      <c r="E91" s="192" t="str">
        <f>'BF - MO'!F95+'BP - MO'!F95</f>
        <v>0</v>
      </c>
      <c r="H91" s="189" t="str">
        <f>16/100</f>
        <v>0</v>
      </c>
      <c r="I91" s="193" t="str">
        <f>E91*H91</f>
        <v>0</v>
      </c>
    </row>
    <row r="92" spans="1:13">
      <c r="A92" t="s">
        <v>481</v>
      </c>
      <c r="B92" t="s">
        <v>654</v>
      </c>
      <c r="C92" s="439" t="s">
        <v>687</v>
      </c>
      <c r="D92" t="s">
        <v>508</v>
      </c>
      <c r="E92" s="192" t="str">
        <f>'BF - MO'!F96+'BP - MO'!F96</f>
        <v>0</v>
      </c>
      <c r="H92" s="189">
        <v>0.19</v>
      </c>
      <c r="I92" s="193" t="str">
        <f>E92*H92</f>
        <v>0</v>
      </c>
    </row>
    <row r="93" spans="1:13">
      <c r="A93" t="s">
        <v>481</v>
      </c>
      <c r="B93" t="s">
        <v>654</v>
      </c>
      <c r="C93" s="439" t="s">
        <v>687</v>
      </c>
      <c r="D93" t="s">
        <v>509</v>
      </c>
      <c r="E93" s="192" t="str">
        <f>'BF - MO'!F97+'BP - MO'!F97</f>
        <v>0</v>
      </c>
      <c r="H93" s="189">
        <v>0.4</v>
      </c>
      <c r="I93" s="193" t="str">
        <f>E93*H93</f>
        <v>0</v>
      </c>
    </row>
    <row r="94" spans="1:13">
      <c r="A94" t="s">
        <v>481</v>
      </c>
      <c r="B94" t="s">
        <v>654</v>
      </c>
      <c r="C94" s="439" t="s">
        <v>687</v>
      </c>
      <c r="D94" t="s">
        <v>510</v>
      </c>
      <c r="E94" s="192" t="str">
        <f>'BF - MO'!F98+'BP - MO'!F98</f>
        <v>0</v>
      </c>
      <c r="H94" s="189">
        <v>0.2</v>
      </c>
      <c r="I94" s="193" t="str">
        <f>E94*H94</f>
        <v>0</v>
      </c>
    </row>
    <row r="95" spans="1:13">
      <c r="A95" t="s">
        <v>481</v>
      </c>
      <c r="B95" t="s">
        <v>654</v>
      </c>
      <c r="C95" s="439" t="s">
        <v>687</v>
      </c>
      <c r="D95" t="s">
        <v>511</v>
      </c>
      <c r="E95" s="192" t="str">
        <f>'BF - MO'!F99+'BP - MO'!F99</f>
        <v>0</v>
      </c>
      <c r="H95" s="189">
        <v>1.46</v>
      </c>
      <c r="I95" s="193" t="str">
        <f>E95*H95</f>
        <v>0</v>
      </c>
    </row>
    <row r="96" spans="1:13">
      <c r="A96" t="s">
        <v>481</v>
      </c>
      <c r="B96" t="s">
        <v>654</v>
      </c>
      <c r="C96" t="s">
        <v>700</v>
      </c>
      <c r="D96" t="s">
        <v>512</v>
      </c>
      <c r="E96" s="192" t="str">
        <f>'BF - MO'!F100+'BP - MO'!F100</f>
        <v>0</v>
      </c>
      <c r="H96" s="189">
        <v>0.19</v>
      </c>
      <c r="I96" s="193" t="str">
        <f>E96*H96</f>
        <v>0</v>
      </c>
    </row>
    <row r="97" spans="1:13">
      <c r="A97" t="s">
        <v>481</v>
      </c>
      <c r="B97" t="s">
        <v>655</v>
      </c>
      <c r="C97" t="s">
        <v>701</v>
      </c>
      <c r="D97" t="s">
        <v>513</v>
      </c>
      <c r="E97" s="192" t="str">
        <f>'BF - MO'!F101+'BP - MO'!F101</f>
        <v>0</v>
      </c>
      <c r="H97" s="189">
        <v>1.18</v>
      </c>
      <c r="I97" s="193" t="str">
        <f>E97*H97</f>
        <v>0</v>
      </c>
    </row>
    <row r="98" spans="1:13">
      <c r="E98" s="192"/>
      <c r="I98" s="193"/>
    </row>
    <row r="99" spans="1:13">
      <c r="A99" t="s">
        <v>609</v>
      </c>
      <c r="B99" t="s">
        <v>609</v>
      </c>
      <c r="C99" t="s">
        <v>702</v>
      </c>
      <c r="D99" t="s">
        <v>535</v>
      </c>
      <c r="E99" s="192" t="str">
        <f>IF(AND('BF - MO'!F58&gt;0,'BF - MO'!F58&lt;=100),'BF - MO'!D58*'BF - MO'!G58,0)/1000+IF(AND('BP - MO'!F58&gt;0,'BP - MO'!F58&lt;=100),'BP - MO'!D58*'BP - MO'!G58)/1000</f>
        <v>0</v>
      </c>
      <c r="F99" s="191"/>
      <c r="H99" s="189">
        <v>62.06</v>
      </c>
      <c r="I99" s="193" t="str">
        <f>E99/1000*H99</f>
        <v>0</v>
      </c>
    </row>
    <row r="100" spans="1:13">
      <c r="A100" t="s">
        <v>609</v>
      </c>
      <c r="B100" t="s">
        <v>609</v>
      </c>
      <c r="C100" t="s">
        <v>702</v>
      </c>
      <c r="D100" t="s">
        <v>536</v>
      </c>
      <c r="E100" s="192" t="str">
        <f>IF(AND('BF - MO'!F58&gt;100,'BF - MO'!F58&lt;=160),'BF - MO'!D58*'BF - MO'!G58,0)/1000+IF(AND('BP - MO'!F58&gt;100,'BP - MO'!F58&lt;=160),'BP - MO'!D58*'BP - MO'!G58)/1000</f>
        <v>0</v>
      </c>
      <c r="F100" s="191"/>
      <c r="H100" s="189">
        <v>85.34</v>
      </c>
      <c r="I100" s="193" t="str">
        <f>E100/1000*H100</f>
        <v>0</v>
      </c>
    </row>
    <row r="101" spans="1:13">
      <c r="A101" t="s">
        <v>609</v>
      </c>
      <c r="B101" t="s">
        <v>609</v>
      </c>
      <c r="C101" t="s">
        <v>702</v>
      </c>
      <c r="D101" t="s">
        <v>537</v>
      </c>
      <c r="E101" s="192" t="str">
        <f>IF(AND('BF - MO'!F58&gt;160,'BF - MO'!F58&lt;=200),'BF - MO'!D58*'BF - MO'!G58,0)/1000+IF(AND('BP - MO'!F58&gt;160,'BP - MO'!F58&lt;=200),'BP - MO'!D58*'BP - MO'!G58)/1000</f>
        <v>0</v>
      </c>
      <c r="F101" s="191"/>
      <c r="H101" s="189">
        <v>110.95</v>
      </c>
      <c r="I101" s="193" t="str">
        <f>E101/1000*H101</f>
        <v>0</v>
      </c>
    </row>
    <row r="102" spans="1:13">
      <c r="A102" t="s">
        <v>609</v>
      </c>
      <c r="B102" t="s">
        <v>609</v>
      </c>
      <c r="C102" t="s">
        <v>702</v>
      </c>
      <c r="D102" t="s">
        <v>703</v>
      </c>
      <c r="E102" s="192" t="str">
        <f>IF(AND('BF - MO'!F59&gt;0,'BF - MO'!F59&lt;=62),'BF - MO'!D59*'BF - MO'!G59,0)/1000+IF(AND('BP - MO'!F59&gt;0,'BP - MO'!F59&lt;=62),'BP - MO'!D59*'BP - MO'!G59)/1000</f>
        <v>0</v>
      </c>
      <c r="F102" s="191"/>
      <c r="H102" s="187">
        <v>41.14</v>
      </c>
      <c r="I102" s="193" t="str">
        <f>E102/1000*H102</f>
        <v>0</v>
      </c>
    </row>
    <row r="103" spans="1:13">
      <c r="A103" t="s">
        <v>609</v>
      </c>
      <c r="B103" t="s">
        <v>609</v>
      </c>
      <c r="C103" t="s">
        <v>702</v>
      </c>
      <c r="D103" t="s">
        <v>540</v>
      </c>
      <c r="E103" s="192" t="str">
        <f>IF(AND('BF - MO'!F59&gt;62,'BF - MO'!F59&lt;=101),'BF - MO'!D59*'BF - MO'!G59,0)/1000+IF(AND('BP - MO'!F59&gt;62,'BP - MO'!F59&lt;=101),'BP - MO'!D59*'BP - MO'!G59)/1000</f>
        <v>0</v>
      </c>
      <c r="F103" s="191"/>
      <c r="H103" s="187">
        <v>61.43</v>
      </c>
      <c r="I103" s="193" t="str">
        <f>E103/1000*H103</f>
        <v>0</v>
      </c>
    </row>
    <row r="104" spans="1:13">
      <c r="A104" t="s">
        <v>609</v>
      </c>
      <c r="B104" t="s">
        <v>609</v>
      </c>
      <c r="C104" t="s">
        <v>704</v>
      </c>
      <c r="D104" t="s">
        <v>265</v>
      </c>
      <c r="E104" s="192" t="str">
        <f>IF('BF - MO'!E61=27,'BF - MO'!D61*'BF - MO'!G61,0)/1000+IF('BP - MO'!E61=27,'BP - MO'!D61*'BP - MO'!G61,0)/1000</f>
        <v>0</v>
      </c>
      <c r="F104" s="191"/>
      <c r="H104" s="187">
        <v>38.64</v>
      </c>
      <c r="I104" s="193" t="str">
        <f>E104/1000*H104</f>
        <v>0</v>
      </c>
    </row>
    <row r="105" spans="1:13">
      <c r="A105" t="s">
        <v>609</v>
      </c>
      <c r="B105" t="s">
        <v>609</v>
      </c>
      <c r="C105" t="s">
        <v>704</v>
      </c>
      <c r="D105" t="s">
        <v>269</v>
      </c>
      <c r="E105" s="192" t="str">
        <f>IF('BF - MO'!E61=46,'BF - MO'!D61*'BF - MO'!G61,0)/1000+IF('BP - MO'!E61=46,'BP - MO'!D61*'BP - MO'!G61,0)/1000</f>
        <v>0</v>
      </c>
      <c r="F105" s="191"/>
      <c r="H105" s="187">
        <v>54.09</v>
      </c>
      <c r="I105" s="193" t="str">
        <f>E105/1000*H105</f>
        <v>0</v>
      </c>
    </row>
    <row r="106" spans="1:13">
      <c r="A106" t="s">
        <v>609</v>
      </c>
      <c r="B106" t="s">
        <v>609</v>
      </c>
      <c r="C106" t="s">
        <v>702</v>
      </c>
      <c r="D106" t="s">
        <v>273</v>
      </c>
      <c r="E106" s="192" t="str">
        <f>IF(AND('BF - MO'!F61&gt;0,'BF - MO'!F61&lt;=100),'BF - MO'!D61*'BF - MO'!G61,0)/1000+IF(AND('BP - MO'!F61&gt;0,'BP - MO'!F61&lt;=100),'BP - MO'!D61*'BP - MO'!G61)/1000</f>
        <v>0</v>
      </c>
      <c r="F106" s="191"/>
      <c r="H106" s="189">
        <v>136.01</v>
      </c>
      <c r="I106" s="193" t="str">
        <f>E106/1000*H106</f>
        <v>0</v>
      </c>
    </row>
    <row r="107" spans="1:13">
      <c r="A107" t="s">
        <v>609</v>
      </c>
      <c r="B107" t="s">
        <v>609</v>
      </c>
      <c r="C107" t="s">
        <v>702</v>
      </c>
      <c r="D107" t="s">
        <v>277</v>
      </c>
      <c r="E107" s="192" t="str">
        <f>IF(AND('BF - MO'!F61&gt;100,'BF - MO'!F61&lt;=160),'BF - MO'!D61*'BF - MO'!G61,0)/1000+IF(AND('BP - MO'!F61&gt;100,'BP - MO'!F61&lt;=160),'BP - MO'!D61*'BP - MO'!G61)/1000</f>
        <v>0</v>
      </c>
      <c r="F107" s="191"/>
      <c r="H107" s="189">
        <v>210.43</v>
      </c>
      <c r="I107" s="193" t="str">
        <f>E107/1000*H107</f>
        <v>0</v>
      </c>
    </row>
    <row r="108" spans="1:13">
      <c r="A108" t="s">
        <v>609</v>
      </c>
      <c r="B108" t="s">
        <v>609</v>
      </c>
      <c r="C108" t="s">
        <v>702</v>
      </c>
      <c r="D108" t="s">
        <v>281</v>
      </c>
      <c r="E108" s="192" t="str">
        <f>IF(AND('BF - MO'!F61&gt;160,'BF - MO'!F61&lt;=200),'BF - MO'!D61*'BF - MO'!G61,0)/1000+IF(AND('BP - MO'!F61&gt;160,'BP - MO'!F61&lt;=200),'BP - MO'!D61*'BP - MO'!G61)/1000</f>
        <v>0</v>
      </c>
      <c r="F108" s="191"/>
      <c r="H108" s="189">
        <v>263</v>
      </c>
      <c r="I108" s="193" t="str">
        <f>E108/1000*H108</f>
        <v>0</v>
      </c>
    </row>
    <row r="109" spans="1:13">
      <c r="E109" s="9"/>
      <c r="F109" s="9"/>
    </row>
    <row r="110" spans="1:13">
      <c r="I110" s="199" t="str">
        <f>SUM(I23:I109)</f>
        <v>0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84</v>
      </c>
    </row>
    <row r="2" spans="1:13" customHeight="1" ht="15">
      <c r="A2" s="4" t="s">
        <v>85</v>
      </c>
    </row>
    <row r="4" spans="1:13">
      <c r="A4" s="1" t="s">
        <v>86</v>
      </c>
      <c r="B4" s="10" t="str">
        <f>'H - INPUT'!F35</f>
        <v>0</v>
      </c>
    </row>
    <row r="5" spans="1:13">
      <c r="A5" s="1" t="s">
        <v>87</v>
      </c>
      <c r="B5" s="11" t="str">
        <f>'H - INPUT'!F36</f>
        <v>0</v>
      </c>
    </row>
    <row r="6" spans="1:13">
      <c r="A6" s="1" t="s">
        <v>88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89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90</v>
      </c>
      <c r="B8" s="12" t="str">
        <f>ROUNDDOWN(B4+B6,0)</f>
        <v>0</v>
      </c>
    </row>
    <row r="9" spans="1:13">
      <c r="A9" s="1" t="s">
        <v>91</v>
      </c>
      <c r="B9" s="13" t="str">
        <f>ROUNDDOWN(B5+B7,0)</f>
        <v>0</v>
      </c>
    </row>
    <row r="11" spans="1:13">
      <c r="C11" s="37" t="s">
        <v>92</v>
      </c>
      <c r="D11" s="457"/>
      <c r="E11" s="457">
        <v>3.5</v>
      </c>
    </row>
    <row r="12" spans="1:13">
      <c r="C12" s="37" t="s">
        <v>93</v>
      </c>
      <c r="D12" s="457"/>
      <c r="E12" s="457">
        <v>32</v>
      </c>
    </row>
    <row r="13" spans="1:13" customHeight="1" ht="12.75"/>
    <row r="14" spans="1:13">
      <c r="C14" s="983" t="s">
        <v>58</v>
      </c>
      <c r="D14" s="984"/>
      <c r="E14" s="984"/>
      <c r="F14" s="985"/>
    </row>
    <row r="15" spans="1:13">
      <c r="C15" s="981" t="s">
        <v>94</v>
      </c>
      <c r="D15" s="982"/>
      <c r="E15" s="981" t="s">
        <v>95</v>
      </c>
      <c r="F15" s="982"/>
    </row>
    <row r="16" spans="1:13" customHeight="1" ht="12.75">
      <c r="C16" s="468" t="s">
        <v>96</v>
      </c>
      <c r="D16" s="469" t="s">
        <v>97</v>
      </c>
      <c r="E16" s="468" t="s">
        <v>96</v>
      </c>
      <c r="F16" s="469" t="s">
        <v>97</v>
      </c>
    </row>
    <row r="17" spans="1:13">
      <c r="B17" s="474" t="s">
        <v>62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98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99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100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101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102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103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104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105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106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107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108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109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110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111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112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113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114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115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116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117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118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119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120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121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84</v>
      </c>
      <c r="B1" s="2"/>
      <c r="C1" s="2"/>
    </row>
    <row r="2" spans="1:30" customHeight="1" ht="15">
      <c r="A2" s="4" t="s">
        <v>122</v>
      </c>
      <c r="B2" s="2"/>
      <c r="C2" s="2"/>
    </row>
    <row r="3" spans="1:30">
      <c r="A3" s="2"/>
      <c r="B3" s="2"/>
      <c r="C3" s="2"/>
    </row>
    <row r="4" spans="1:30">
      <c r="A4" s="1" t="s">
        <v>90</v>
      </c>
      <c r="B4" s="14" t="str">
        <f>'Opening H'!B8</f>
        <v>0</v>
      </c>
    </row>
    <row r="5" spans="1:30">
      <c r="A5" s="1" t="s">
        <v>91</v>
      </c>
      <c r="B5" s="97" t="str">
        <f>'Opening H'!B9</f>
        <v>0</v>
      </c>
    </row>
    <row r="6" spans="1:30">
      <c r="A6" s="9" t="s">
        <v>123</v>
      </c>
      <c r="B6" s="14" t="str">
        <f>'H - INPUT'!F39</f>
        <v>0</v>
      </c>
    </row>
    <row r="7" spans="1:30">
      <c r="A7" s="9" t="s">
        <v>124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125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126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127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128</v>
      </c>
      <c r="B11" s="19" t="str">
        <f>ROUNDDOWN((B4+B9)/B7,0)</f>
        <v>0</v>
      </c>
      <c r="C11" s="18" t="s">
        <v>129</v>
      </c>
    </row>
    <row r="12" spans="1:30">
      <c r="A12" s="9" t="s">
        <v>130</v>
      </c>
      <c r="B12" s="20" t="str">
        <f>ROUNDDOWN((B5+B10)/B8,0)</f>
        <v>0</v>
      </c>
      <c r="C12" s="18" t="s">
        <v>129</v>
      </c>
    </row>
    <row r="14" spans="1:30">
      <c r="F14" s="529" t="s">
        <v>131</v>
      </c>
    </row>
    <row r="15" spans="1:30">
      <c r="B15" s="5" t="s">
        <v>132</v>
      </c>
      <c r="D15" t="s">
        <v>133</v>
      </c>
      <c r="F15" s="458">
        <v>3.25</v>
      </c>
    </row>
    <row r="16" spans="1:30">
      <c r="D16" t="s">
        <v>134</v>
      </c>
      <c r="F16" s="458">
        <v>5.5</v>
      </c>
    </row>
    <row r="17" spans="1:30">
      <c r="D17" t="s">
        <v>135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136</v>
      </c>
      <c r="D19" s="530" t="s">
        <v>137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134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138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92" t="s">
        <v>58</v>
      </c>
      <c r="D23" s="993"/>
      <c r="E23" s="993"/>
      <c r="F23" s="993"/>
      <c r="G23" s="993"/>
      <c r="H23" s="993"/>
      <c r="I23" s="993"/>
      <c r="J23" s="993"/>
      <c r="K23" s="993"/>
      <c r="L23" s="993"/>
      <c r="M23" s="994"/>
      <c r="N23" s="481"/>
      <c r="O23" s="481"/>
      <c r="P23" s="481"/>
      <c r="Q23" s="481"/>
      <c r="R23" s="998" t="s">
        <v>139</v>
      </c>
      <c r="S23" s="999"/>
      <c r="T23" s="999"/>
      <c r="U23" s="999"/>
      <c r="V23" s="999"/>
      <c r="W23" s="999"/>
      <c r="X23" s="999"/>
      <c r="Y23" s="999"/>
      <c r="Z23" s="999"/>
      <c r="AA23" s="999"/>
      <c r="AB23" s="1000"/>
    </row>
    <row r="24" spans="1:30" customHeight="1" ht="12.75">
      <c r="B24" s="460"/>
      <c r="C24" s="986" t="s">
        <v>140</v>
      </c>
      <c r="D24" s="987"/>
      <c r="E24" s="987"/>
      <c r="F24" s="987"/>
      <c r="G24" s="987"/>
      <c r="H24" s="987"/>
      <c r="I24" s="988"/>
      <c r="J24" s="989" t="s">
        <v>141</v>
      </c>
      <c r="K24" s="990"/>
      <c r="L24" s="990"/>
      <c r="M24" s="991"/>
      <c r="N24" s="482"/>
      <c r="R24" s="995" t="s">
        <v>140</v>
      </c>
      <c r="S24" s="996"/>
      <c r="T24" s="996"/>
      <c r="U24" s="996"/>
      <c r="V24" s="996"/>
      <c r="W24" s="996"/>
      <c r="X24" s="997"/>
      <c r="Y24" s="989" t="s">
        <v>141</v>
      </c>
      <c r="Z24" s="990"/>
      <c r="AA24" s="990"/>
      <c r="AB24" s="991"/>
    </row>
    <row r="25" spans="1:30" customHeight="1" ht="36.75">
      <c r="B25" s="461" t="s">
        <v>142</v>
      </c>
      <c r="C25" s="138" t="s">
        <v>143</v>
      </c>
      <c r="D25" s="453" t="s">
        <v>131</v>
      </c>
      <c r="E25" s="136" t="s">
        <v>144</v>
      </c>
      <c r="F25" s="453" t="s">
        <v>131</v>
      </c>
      <c r="G25" s="136" t="s">
        <v>145</v>
      </c>
      <c r="H25" s="477" t="s">
        <v>131</v>
      </c>
      <c r="I25" s="501" t="s">
        <v>146</v>
      </c>
      <c r="J25" s="138" t="s">
        <v>147</v>
      </c>
      <c r="K25" s="136" t="s">
        <v>148</v>
      </c>
      <c r="L25" s="136" t="s">
        <v>149</v>
      </c>
      <c r="M25" s="501" t="s">
        <v>146</v>
      </c>
      <c r="N25" s="81"/>
      <c r="O25" s="486" t="s">
        <v>150</v>
      </c>
      <c r="P25" s="498" t="s">
        <v>142</v>
      </c>
      <c r="Q25" s="487" t="s">
        <v>151</v>
      </c>
      <c r="R25" s="138" t="s">
        <v>143</v>
      </c>
      <c r="S25" s="453" t="s">
        <v>131</v>
      </c>
      <c r="T25" s="136" t="s">
        <v>144</v>
      </c>
      <c r="U25" s="453" t="s">
        <v>131</v>
      </c>
      <c r="V25" s="136" t="s">
        <v>145</v>
      </c>
      <c r="W25" s="477" t="s">
        <v>131</v>
      </c>
      <c r="X25" s="501" t="s">
        <v>146</v>
      </c>
      <c r="Y25" s="138" t="s">
        <v>147</v>
      </c>
      <c r="Z25" s="136" t="s">
        <v>148</v>
      </c>
      <c r="AA25" s="136" t="s">
        <v>149</v>
      </c>
      <c r="AB25" s="501" t="s">
        <v>146</v>
      </c>
    </row>
    <row r="26" spans="1:30" customHeight="1" ht="12.75">
      <c r="B26" s="460" t="s">
        <v>62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62</v>
      </c>
      <c r="P26" s="485" t="s">
        <v>62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152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98</v>
      </c>
      <c r="P27" s="492" t="s">
        <v>152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153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98</v>
      </c>
      <c r="P28" s="105" t="s">
        <v>153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98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98</v>
      </c>
      <c r="P29" s="105" t="s">
        <v>98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154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98</v>
      </c>
      <c r="P30" s="105" t="s">
        <v>154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155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98</v>
      </c>
      <c r="P31" s="105" t="s">
        <v>155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156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98</v>
      </c>
      <c r="P32" s="105" t="s">
        <v>156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157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98</v>
      </c>
      <c r="P33" s="105" t="s">
        <v>157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158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98</v>
      </c>
      <c r="P34" s="105" t="s">
        <v>158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159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98</v>
      </c>
      <c r="P35" s="105" t="s">
        <v>159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160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98</v>
      </c>
      <c r="P36" s="105" t="s">
        <v>160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161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98</v>
      </c>
      <c r="P37" s="495" t="s">
        <v>161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99</v>
      </c>
      <c r="P38" s="492" t="s">
        <v>152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99</v>
      </c>
      <c r="P39" s="105" t="s">
        <v>153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162</v>
      </c>
      <c r="F40" s="457">
        <v>22.2</v>
      </c>
      <c r="O40" s="493" t="s">
        <v>99</v>
      </c>
      <c r="P40" s="105" t="s">
        <v>98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99</v>
      </c>
      <c r="P41" s="105" t="s">
        <v>154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150</v>
      </c>
      <c r="C42" s="473" t="s">
        <v>163</v>
      </c>
      <c r="D42" s="79" t="s">
        <v>131</v>
      </c>
      <c r="E42" s="473" t="s">
        <v>164</v>
      </c>
      <c r="F42" s="79" t="s">
        <v>131</v>
      </c>
      <c r="O42" s="493" t="s">
        <v>99</v>
      </c>
      <c r="P42" s="105" t="s">
        <v>155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62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99</v>
      </c>
      <c r="P43" s="105" t="s">
        <v>156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98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99</v>
      </c>
      <c r="P44" s="105" t="s">
        <v>157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99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99</v>
      </c>
      <c r="P45" s="105" t="s">
        <v>158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100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99</v>
      </c>
      <c r="P46" s="105" t="s">
        <v>159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101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99</v>
      </c>
      <c r="P47" s="105" t="s">
        <v>160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102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99</v>
      </c>
      <c r="P48" s="495" t="s">
        <v>161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103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100</v>
      </c>
      <c r="P49" s="492" t="s">
        <v>152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104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100</v>
      </c>
      <c r="P50" s="105" t="s">
        <v>153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105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100</v>
      </c>
      <c r="P51" s="105" t="s">
        <v>98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106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100</v>
      </c>
      <c r="P52" s="105" t="s">
        <v>154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107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100</v>
      </c>
      <c r="P53" s="105" t="s">
        <v>155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108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100</v>
      </c>
      <c r="P54" s="105" t="s">
        <v>156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109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100</v>
      </c>
      <c r="P55" s="105" t="s">
        <v>157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110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100</v>
      </c>
      <c r="P56" s="105" t="s">
        <v>158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111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100</v>
      </c>
      <c r="P57" s="105" t="s">
        <v>159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112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100</v>
      </c>
      <c r="P58" s="105" t="s">
        <v>160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113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100</v>
      </c>
      <c r="P59" s="495" t="s">
        <v>161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114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101</v>
      </c>
      <c r="P60" s="492" t="s">
        <v>152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115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101</v>
      </c>
      <c r="P61" s="105" t="s">
        <v>153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116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101</v>
      </c>
      <c r="P62" s="105" t="s">
        <v>98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117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101</v>
      </c>
      <c r="P63" s="105" t="s">
        <v>154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118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101</v>
      </c>
      <c r="P64" s="105" t="s">
        <v>155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119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101</v>
      </c>
      <c r="P65" s="105" t="s">
        <v>156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120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101</v>
      </c>
      <c r="P66" s="105" t="s">
        <v>157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121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101</v>
      </c>
      <c r="P67" s="105" t="s">
        <v>158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101</v>
      </c>
      <c r="P68" s="105" t="s">
        <v>159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101</v>
      </c>
      <c r="P69" s="105" t="s">
        <v>160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101</v>
      </c>
      <c r="P70" s="495" t="s">
        <v>161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102</v>
      </c>
      <c r="P71" s="492" t="s">
        <v>152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102</v>
      </c>
      <c r="P72" s="105" t="s">
        <v>153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102</v>
      </c>
      <c r="P73" s="105" t="s">
        <v>98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102</v>
      </c>
      <c r="P74" s="105" t="s">
        <v>154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102</v>
      </c>
      <c r="P75" s="105" t="s">
        <v>155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102</v>
      </c>
      <c r="P76" s="105" t="s">
        <v>156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102</v>
      </c>
      <c r="P77" s="105" t="s">
        <v>157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102</v>
      </c>
      <c r="P78" s="105" t="s">
        <v>158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102</v>
      </c>
      <c r="P79" s="105" t="s">
        <v>159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102</v>
      </c>
      <c r="P80" s="105" t="s">
        <v>160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102</v>
      </c>
      <c r="P81" s="495" t="s">
        <v>161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103</v>
      </c>
      <c r="P82" s="492" t="s">
        <v>152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103</v>
      </c>
      <c r="P83" s="105" t="s">
        <v>153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103</v>
      </c>
      <c r="P84" s="105" t="s">
        <v>98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103</v>
      </c>
      <c r="P85" s="105" t="s">
        <v>154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103</v>
      </c>
      <c r="P86" s="105" t="s">
        <v>155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103</v>
      </c>
      <c r="P87" s="105" t="s">
        <v>156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103</v>
      </c>
      <c r="P88" s="105" t="s">
        <v>157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103</v>
      </c>
      <c r="P89" s="105" t="s">
        <v>158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103</v>
      </c>
      <c r="P90" s="105" t="s">
        <v>159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103</v>
      </c>
      <c r="P91" s="105" t="s">
        <v>160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103</v>
      </c>
      <c r="P92" s="495" t="s">
        <v>161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104</v>
      </c>
      <c r="P93" s="492" t="s">
        <v>152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104</v>
      </c>
      <c r="P94" s="105" t="s">
        <v>153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104</v>
      </c>
      <c r="P95" s="105" t="s">
        <v>98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104</v>
      </c>
      <c r="P96" s="105" t="s">
        <v>154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104</v>
      </c>
      <c r="P97" s="105" t="s">
        <v>155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104</v>
      </c>
      <c r="P98" s="105" t="s">
        <v>156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104</v>
      </c>
      <c r="P99" s="105" t="s">
        <v>157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104</v>
      </c>
      <c r="P100" s="105" t="s">
        <v>158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104</v>
      </c>
      <c r="P101" s="105" t="s">
        <v>159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104</v>
      </c>
      <c r="P102" s="105" t="s">
        <v>160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104</v>
      </c>
      <c r="P103" s="495" t="s">
        <v>161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105</v>
      </c>
      <c r="P104" s="492" t="s">
        <v>152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105</v>
      </c>
      <c r="P105" s="105" t="s">
        <v>153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105</v>
      </c>
      <c r="P106" s="105" t="s">
        <v>98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105</v>
      </c>
      <c r="P107" s="105" t="s">
        <v>154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105</v>
      </c>
      <c r="P108" s="105" t="s">
        <v>155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105</v>
      </c>
      <c r="P109" s="105" t="s">
        <v>156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105</v>
      </c>
      <c r="P110" s="105" t="s">
        <v>157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105</v>
      </c>
      <c r="P111" s="105" t="s">
        <v>158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105</v>
      </c>
      <c r="P112" s="105" t="s">
        <v>159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105</v>
      </c>
      <c r="P113" s="105" t="s">
        <v>160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105</v>
      </c>
      <c r="P114" s="495" t="s">
        <v>161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106</v>
      </c>
      <c r="P115" s="492" t="s">
        <v>152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106</v>
      </c>
      <c r="P116" s="105" t="s">
        <v>153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106</v>
      </c>
      <c r="P117" s="105" t="s">
        <v>98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106</v>
      </c>
      <c r="P118" s="105" t="s">
        <v>154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106</v>
      </c>
      <c r="P119" s="105" t="s">
        <v>155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106</v>
      </c>
      <c r="P120" s="105" t="s">
        <v>156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106</v>
      </c>
      <c r="P121" s="105" t="s">
        <v>157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106</v>
      </c>
      <c r="P122" s="105" t="s">
        <v>158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106</v>
      </c>
      <c r="P123" s="105" t="s">
        <v>159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106</v>
      </c>
      <c r="P124" s="105" t="s">
        <v>160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106</v>
      </c>
      <c r="P125" s="495" t="s">
        <v>161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107</v>
      </c>
      <c r="P126" s="492" t="s">
        <v>152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107</v>
      </c>
      <c r="P127" s="105" t="s">
        <v>153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107</v>
      </c>
      <c r="P128" s="105" t="s">
        <v>98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107</v>
      </c>
      <c r="P129" s="105" t="s">
        <v>154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107</v>
      </c>
      <c r="P130" s="105" t="s">
        <v>155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107</v>
      </c>
      <c r="P131" s="105" t="s">
        <v>156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107</v>
      </c>
      <c r="P132" s="105" t="s">
        <v>157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107</v>
      </c>
      <c r="P133" s="105" t="s">
        <v>158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107</v>
      </c>
      <c r="P134" s="105" t="s">
        <v>159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107</v>
      </c>
      <c r="P135" s="105" t="s">
        <v>160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107</v>
      </c>
      <c r="P136" s="495" t="s">
        <v>161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108</v>
      </c>
      <c r="P137" s="492" t="s">
        <v>152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108</v>
      </c>
      <c r="P138" s="105" t="s">
        <v>153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108</v>
      </c>
      <c r="P139" s="105" t="s">
        <v>98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108</v>
      </c>
      <c r="P140" s="105" t="s">
        <v>154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108</v>
      </c>
      <c r="P141" s="105" t="s">
        <v>155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108</v>
      </c>
      <c r="P142" s="105" t="s">
        <v>156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108</v>
      </c>
      <c r="P143" s="105" t="s">
        <v>157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108</v>
      </c>
      <c r="P144" s="105" t="s">
        <v>158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108</v>
      </c>
      <c r="P145" s="105" t="s">
        <v>159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108</v>
      </c>
      <c r="P146" s="105" t="s">
        <v>160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108</v>
      </c>
      <c r="P147" s="495" t="s">
        <v>161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109</v>
      </c>
      <c r="P148" s="492" t="s">
        <v>152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109</v>
      </c>
      <c r="P149" s="105" t="s">
        <v>153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109</v>
      </c>
      <c r="P150" s="105" t="s">
        <v>98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109</v>
      </c>
      <c r="P151" s="105" t="s">
        <v>154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109</v>
      </c>
      <c r="P152" s="105" t="s">
        <v>155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109</v>
      </c>
      <c r="P153" s="105" t="s">
        <v>156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109</v>
      </c>
      <c r="P154" s="105" t="s">
        <v>157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109</v>
      </c>
      <c r="P155" s="105" t="s">
        <v>158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109</v>
      </c>
      <c r="P156" s="105" t="s">
        <v>159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109</v>
      </c>
      <c r="P157" s="105" t="s">
        <v>160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109</v>
      </c>
      <c r="P158" s="495" t="s">
        <v>161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110</v>
      </c>
      <c r="P159" s="492" t="s">
        <v>152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110</v>
      </c>
      <c r="P160" s="105" t="s">
        <v>153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110</v>
      </c>
      <c r="P161" s="105" t="s">
        <v>98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110</v>
      </c>
      <c r="P162" s="105" t="s">
        <v>154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110</v>
      </c>
      <c r="P163" s="105" t="s">
        <v>155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110</v>
      </c>
      <c r="P164" s="105" t="s">
        <v>156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110</v>
      </c>
      <c r="P165" s="105" t="s">
        <v>157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110</v>
      </c>
      <c r="P166" s="105" t="s">
        <v>158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110</v>
      </c>
      <c r="P167" s="105" t="s">
        <v>159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110</v>
      </c>
      <c r="P168" s="105" t="s">
        <v>160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110</v>
      </c>
      <c r="P169" s="495" t="s">
        <v>161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111</v>
      </c>
      <c r="P170" s="492" t="s">
        <v>152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111</v>
      </c>
      <c r="P171" s="105" t="s">
        <v>153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111</v>
      </c>
      <c r="P172" s="105" t="s">
        <v>98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111</v>
      </c>
      <c r="P173" s="105" t="s">
        <v>154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111</v>
      </c>
      <c r="P174" s="105" t="s">
        <v>155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111</v>
      </c>
      <c r="P175" s="105" t="s">
        <v>156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111</v>
      </c>
      <c r="P176" s="105" t="s">
        <v>157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111</v>
      </c>
      <c r="P177" s="105" t="s">
        <v>158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111</v>
      </c>
      <c r="P178" s="105" t="s">
        <v>159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111</v>
      </c>
      <c r="P179" s="105" t="s">
        <v>160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111</v>
      </c>
      <c r="P180" s="495" t="s">
        <v>161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112</v>
      </c>
      <c r="P181" s="492" t="s">
        <v>152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112</v>
      </c>
      <c r="P182" s="105" t="s">
        <v>153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112</v>
      </c>
      <c r="P183" s="105" t="s">
        <v>98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112</v>
      </c>
      <c r="P184" s="105" t="s">
        <v>154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112</v>
      </c>
      <c r="P185" s="105" t="s">
        <v>155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112</v>
      </c>
      <c r="P186" s="105" t="s">
        <v>156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112</v>
      </c>
      <c r="P187" s="105" t="s">
        <v>157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112</v>
      </c>
      <c r="P188" s="105" t="s">
        <v>158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112</v>
      </c>
      <c r="P189" s="105" t="s">
        <v>159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112</v>
      </c>
      <c r="P190" s="105" t="s">
        <v>160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112</v>
      </c>
      <c r="P191" s="495" t="s">
        <v>161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113</v>
      </c>
      <c r="P192" s="492" t="s">
        <v>152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113</v>
      </c>
      <c r="P193" s="105" t="s">
        <v>153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113</v>
      </c>
      <c r="P194" s="105" t="s">
        <v>98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113</v>
      </c>
      <c r="P195" s="105" t="s">
        <v>154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113</v>
      </c>
      <c r="P196" s="105" t="s">
        <v>155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113</v>
      </c>
      <c r="P197" s="105" t="s">
        <v>156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113</v>
      </c>
      <c r="P198" s="105" t="s">
        <v>157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113</v>
      </c>
      <c r="P199" s="105" t="s">
        <v>158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113</v>
      </c>
      <c r="P200" s="105" t="s">
        <v>159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113</v>
      </c>
      <c r="P201" s="105" t="s">
        <v>160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113</v>
      </c>
      <c r="P202" s="495" t="s">
        <v>161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114</v>
      </c>
      <c r="P203" s="492" t="s">
        <v>152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114</v>
      </c>
      <c r="P204" s="105" t="s">
        <v>153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114</v>
      </c>
      <c r="P205" s="105" t="s">
        <v>98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114</v>
      </c>
      <c r="P206" s="105" t="s">
        <v>154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114</v>
      </c>
      <c r="P207" s="105" t="s">
        <v>155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114</v>
      </c>
      <c r="P208" s="105" t="s">
        <v>156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114</v>
      </c>
      <c r="P209" s="105" t="s">
        <v>157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114</v>
      </c>
      <c r="P210" s="105" t="s">
        <v>158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114</v>
      </c>
      <c r="P211" s="105" t="s">
        <v>159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114</v>
      </c>
      <c r="P212" s="105" t="s">
        <v>160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114</v>
      </c>
      <c r="P213" s="495" t="s">
        <v>161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115</v>
      </c>
      <c r="P214" s="492" t="s">
        <v>152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115</v>
      </c>
      <c r="P215" s="105" t="s">
        <v>153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115</v>
      </c>
      <c r="P216" s="105" t="s">
        <v>98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115</v>
      </c>
      <c r="P217" s="105" t="s">
        <v>154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115</v>
      </c>
      <c r="P218" s="105" t="s">
        <v>155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115</v>
      </c>
      <c r="P219" s="105" t="s">
        <v>156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115</v>
      </c>
      <c r="P220" s="105" t="s">
        <v>157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115</v>
      </c>
      <c r="P221" s="105" t="s">
        <v>158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115</v>
      </c>
      <c r="P222" s="105" t="s">
        <v>159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115</v>
      </c>
      <c r="P223" s="105" t="s">
        <v>160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115</v>
      </c>
      <c r="P224" s="495" t="s">
        <v>161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116</v>
      </c>
      <c r="P225" s="492" t="s">
        <v>152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116</v>
      </c>
      <c r="P226" s="105" t="s">
        <v>153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116</v>
      </c>
      <c r="P227" s="105" t="s">
        <v>98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116</v>
      </c>
      <c r="P228" s="105" t="s">
        <v>154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116</v>
      </c>
      <c r="P229" s="105" t="s">
        <v>155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116</v>
      </c>
      <c r="P230" s="105" t="s">
        <v>156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116</v>
      </c>
      <c r="P231" s="105" t="s">
        <v>157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116</v>
      </c>
      <c r="P232" s="105" t="s">
        <v>158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116</v>
      </c>
      <c r="P233" s="105" t="s">
        <v>159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116</v>
      </c>
      <c r="P234" s="105" t="s">
        <v>160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116</v>
      </c>
      <c r="P235" s="495" t="s">
        <v>161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117</v>
      </c>
      <c r="P236" s="492" t="s">
        <v>152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117</v>
      </c>
      <c r="P237" s="105" t="s">
        <v>153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117</v>
      </c>
      <c r="P238" s="105" t="s">
        <v>98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117</v>
      </c>
      <c r="P239" s="105" t="s">
        <v>154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117</v>
      </c>
      <c r="P240" s="105" t="s">
        <v>155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117</v>
      </c>
      <c r="P241" s="105" t="s">
        <v>156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117</v>
      </c>
      <c r="P242" s="105" t="s">
        <v>157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117</v>
      </c>
      <c r="P243" s="105" t="s">
        <v>158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117</v>
      </c>
      <c r="P244" s="105" t="s">
        <v>159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117</v>
      </c>
      <c r="P245" s="105" t="s">
        <v>160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117</v>
      </c>
      <c r="P246" s="495" t="s">
        <v>161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118</v>
      </c>
      <c r="P247" s="492" t="s">
        <v>152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118</v>
      </c>
      <c r="P248" s="105" t="s">
        <v>153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118</v>
      </c>
      <c r="P249" s="105" t="s">
        <v>98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118</v>
      </c>
      <c r="P250" s="105" t="s">
        <v>154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118</v>
      </c>
      <c r="P251" s="105" t="s">
        <v>155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118</v>
      </c>
      <c r="P252" s="105" t="s">
        <v>156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118</v>
      </c>
      <c r="P253" s="105" t="s">
        <v>157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118</v>
      </c>
      <c r="P254" s="105" t="s">
        <v>158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118</v>
      </c>
      <c r="P255" s="105" t="s">
        <v>159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118</v>
      </c>
      <c r="P256" s="105" t="s">
        <v>160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118</v>
      </c>
      <c r="P257" s="495" t="s">
        <v>161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119</v>
      </c>
      <c r="P258" s="492" t="s">
        <v>152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119</v>
      </c>
      <c r="P259" s="105" t="s">
        <v>153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119</v>
      </c>
      <c r="P260" s="105" t="s">
        <v>98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119</v>
      </c>
      <c r="P261" s="105" t="s">
        <v>154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119</v>
      </c>
      <c r="P262" s="105" t="s">
        <v>155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119</v>
      </c>
      <c r="P263" s="105" t="s">
        <v>156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119</v>
      </c>
      <c r="P264" s="105" t="s">
        <v>157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119</v>
      </c>
      <c r="P265" s="105" t="s">
        <v>158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119</v>
      </c>
      <c r="P266" s="105" t="s">
        <v>159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119</v>
      </c>
      <c r="P267" s="105" t="s">
        <v>160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119</v>
      </c>
      <c r="P268" s="495" t="s">
        <v>161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120</v>
      </c>
      <c r="P269" s="492" t="s">
        <v>152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120</v>
      </c>
      <c r="P270" s="105" t="s">
        <v>153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120</v>
      </c>
      <c r="P271" s="105" t="s">
        <v>98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120</v>
      </c>
      <c r="P272" s="105" t="s">
        <v>154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120</v>
      </c>
      <c r="P273" s="105" t="s">
        <v>155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120</v>
      </c>
      <c r="P274" s="105" t="s">
        <v>156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120</v>
      </c>
      <c r="P275" s="105" t="s">
        <v>157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120</v>
      </c>
      <c r="P276" s="105" t="s">
        <v>158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120</v>
      </c>
      <c r="P277" s="105" t="s">
        <v>159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120</v>
      </c>
      <c r="P278" s="105" t="s">
        <v>160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120</v>
      </c>
      <c r="P279" s="495" t="s">
        <v>161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121</v>
      </c>
      <c r="P280" s="492" t="s">
        <v>152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121</v>
      </c>
      <c r="P281" s="105" t="s">
        <v>153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121</v>
      </c>
      <c r="P282" s="105" t="s">
        <v>98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121</v>
      </c>
      <c r="P283" s="105" t="s">
        <v>154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121</v>
      </c>
      <c r="P284" s="105" t="s">
        <v>155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121</v>
      </c>
      <c r="P285" s="105" t="s">
        <v>156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121</v>
      </c>
      <c r="P286" s="105" t="s">
        <v>157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121</v>
      </c>
      <c r="P287" s="105" t="s">
        <v>158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121</v>
      </c>
      <c r="P288" s="105" t="s">
        <v>159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121</v>
      </c>
      <c r="P289" s="105" t="s">
        <v>160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121</v>
      </c>
      <c r="P290" s="495" t="s">
        <v>161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84</v>
      </c>
      <c r="B1" s="2"/>
      <c r="C1" s="2"/>
      <c r="D1" s="2"/>
      <c r="V1" s="4" t="s">
        <v>84</v>
      </c>
    </row>
    <row r="2" spans="1:38" customHeight="1" ht="15">
      <c r="A2" s="4" t="s">
        <v>165</v>
      </c>
      <c r="B2" s="2"/>
      <c r="C2" s="2"/>
      <c r="D2" s="2"/>
      <c r="V2" s="419" t="s">
        <v>166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167</v>
      </c>
      <c r="B4" s="91" t="str">
        <f>'H - INPUT'!F29</f>
        <v>0</v>
      </c>
      <c r="C4" s="2"/>
      <c r="D4" s="2"/>
      <c r="V4" s="1" t="s">
        <v>168</v>
      </c>
      <c r="W4" s="99" t="str">
        <f>'Panel H'!B11</f>
        <v>0</v>
      </c>
    </row>
    <row r="5" spans="1:38" s="1" customFormat="1">
      <c r="A5" s="1" t="s">
        <v>150</v>
      </c>
      <c r="B5" s="91" t="str">
        <f>'H - INPUT'!F30</f>
        <v>0</v>
      </c>
      <c r="C5" s="2"/>
      <c r="D5" s="2"/>
      <c r="V5" s="1" t="s">
        <v>169</v>
      </c>
      <c r="W5" s="256">
        <v>21</v>
      </c>
    </row>
    <row r="6" spans="1:38" s="1" customFormat="1">
      <c r="A6" s="1" t="s">
        <v>90</v>
      </c>
      <c r="B6" s="92" t="str">
        <f>'Opening H'!B8</f>
        <v>0</v>
      </c>
      <c r="C6" s="2"/>
      <c r="D6" s="2"/>
    </row>
    <row r="7" spans="1:38" s="1" customFormat="1">
      <c r="A7" s="1" t="s">
        <v>91</v>
      </c>
      <c r="B7" s="92" t="str">
        <f>'Opening H'!B9</f>
        <v>0</v>
      </c>
      <c r="C7" s="2"/>
      <c r="D7" s="2"/>
    </row>
    <row r="9" spans="1:38">
      <c r="A9" t="s">
        <v>170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171</v>
      </c>
      <c r="B10" s="8">
        <v>0</v>
      </c>
    </row>
    <row r="11" spans="1:38">
      <c r="A11" t="s">
        <v>172</v>
      </c>
      <c r="B11" s="8">
        <v>15</v>
      </c>
    </row>
    <row r="12" spans="1:38" customHeight="1" ht="12.75"/>
    <row r="13" spans="1:38" customHeight="1" ht="36">
      <c r="D13" s="1013" t="s">
        <v>152</v>
      </c>
      <c r="E13" s="1008"/>
      <c r="F13" s="1007" t="s">
        <v>173</v>
      </c>
      <c r="G13" s="1008"/>
      <c r="H13" s="1007" t="s">
        <v>153</v>
      </c>
      <c r="I13" s="1008"/>
      <c r="J13" s="1007" t="s">
        <v>174</v>
      </c>
      <c r="K13" s="1008"/>
      <c r="L13" s="1007" t="s">
        <v>175</v>
      </c>
      <c r="M13" s="1008"/>
      <c r="N13" s="1007" t="s">
        <v>176</v>
      </c>
      <c r="O13" s="1008"/>
      <c r="P13" s="1007" t="s">
        <v>177</v>
      </c>
      <c r="Q13" s="1008"/>
      <c r="R13" s="1007" t="s">
        <v>178</v>
      </c>
      <c r="S13" s="1012"/>
      <c r="V13" s="85" t="s">
        <v>142</v>
      </c>
      <c r="W13" s="86" t="s">
        <v>179</v>
      </c>
      <c r="X13" s="86" t="s">
        <v>180</v>
      </c>
      <c r="Y13" s="86" t="s">
        <v>181</v>
      </c>
      <c r="Z13" s="86" t="s">
        <v>134</v>
      </c>
      <c r="AA13" s="86" t="s">
        <v>182</v>
      </c>
      <c r="AB13" s="86" t="s">
        <v>183</v>
      </c>
      <c r="AC13" s="86" t="s">
        <v>184</v>
      </c>
      <c r="AE13" s="986" t="s">
        <v>185</v>
      </c>
      <c r="AF13" s="987"/>
      <c r="AG13" s="1009" t="s">
        <v>186</v>
      </c>
      <c r="AH13" s="1009"/>
      <c r="AI13" s="1009" t="s">
        <v>187</v>
      </c>
      <c r="AJ13" s="1010"/>
    </row>
    <row r="14" spans="1:38" customHeight="1" ht="12.75">
      <c r="D14" s="29" t="s">
        <v>188</v>
      </c>
      <c r="E14" s="26" t="s">
        <v>189</v>
      </c>
      <c r="F14" s="26" t="s">
        <v>188</v>
      </c>
      <c r="G14" s="26" t="s">
        <v>189</v>
      </c>
      <c r="H14" s="26" t="s">
        <v>188</v>
      </c>
      <c r="I14" s="26" t="s">
        <v>189</v>
      </c>
      <c r="J14" s="26" t="s">
        <v>188</v>
      </c>
      <c r="K14" s="26" t="s">
        <v>189</v>
      </c>
      <c r="L14" s="26" t="s">
        <v>188</v>
      </c>
      <c r="M14" s="26" t="s">
        <v>189</v>
      </c>
      <c r="N14" s="26" t="s">
        <v>188</v>
      </c>
      <c r="O14" s="26" t="s">
        <v>189</v>
      </c>
      <c r="P14" s="26" t="s">
        <v>188</v>
      </c>
      <c r="Q14" s="26" t="s">
        <v>189</v>
      </c>
      <c r="R14" s="26" t="s">
        <v>188</v>
      </c>
      <c r="S14" s="27" t="s">
        <v>189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190</v>
      </c>
      <c r="AF14" s="104" t="s">
        <v>30</v>
      </c>
      <c r="AG14" s="104" t="s">
        <v>190</v>
      </c>
      <c r="AH14" s="104" t="s">
        <v>30</v>
      </c>
      <c r="AI14" s="104" t="s">
        <v>190</v>
      </c>
      <c r="AJ14" s="124" t="s">
        <v>30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62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152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152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153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153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1004" t="s">
        <v>191</v>
      </c>
      <c r="E18" s="1005"/>
      <c r="F18" s="1005"/>
      <c r="G18" s="1005"/>
      <c r="H18" s="1005"/>
      <c r="I18" s="1005"/>
      <c r="J18" s="1005"/>
      <c r="K18" s="1005"/>
      <c r="L18" s="1005"/>
      <c r="M18" s="1005"/>
      <c r="N18" s="1005"/>
      <c r="O18" s="1005"/>
      <c r="P18" s="1005"/>
      <c r="Q18" s="1005"/>
      <c r="R18" s="1005"/>
      <c r="S18" s="1006"/>
      <c r="V18" s="58" t="s">
        <v>98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153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1002" t="s">
        <v>150</v>
      </c>
      <c r="D19" s="1001" t="s">
        <v>152</v>
      </c>
      <c r="E19" s="1001"/>
      <c r="F19" s="1001" t="s">
        <v>173</v>
      </c>
      <c r="G19" s="1001"/>
      <c r="H19" s="1001" t="s">
        <v>153</v>
      </c>
      <c r="I19" s="1001"/>
      <c r="J19" s="1001" t="s">
        <v>174</v>
      </c>
      <c r="K19" s="1001"/>
      <c r="L19" s="1001" t="s">
        <v>175</v>
      </c>
      <c r="M19" s="1001"/>
      <c r="N19" s="1001" t="s">
        <v>176</v>
      </c>
      <c r="O19" s="1001"/>
      <c r="P19" s="1001" t="s">
        <v>177</v>
      </c>
      <c r="Q19" s="1001"/>
      <c r="R19" s="1001" t="s">
        <v>178</v>
      </c>
      <c r="S19" s="1011"/>
      <c r="V19" s="58" t="s">
        <v>154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152</v>
      </c>
      <c r="AF19" s="420" t="str">
        <f>X19+W4-W5</f>
        <v>0</v>
      </c>
      <c r="AG19" s="420" t="s">
        <v>152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1003"/>
      <c r="D20" s="26" t="s">
        <v>188</v>
      </c>
      <c r="E20" s="26" t="s">
        <v>189</v>
      </c>
      <c r="F20" s="26" t="s">
        <v>188</v>
      </c>
      <c r="G20" s="26" t="s">
        <v>189</v>
      </c>
      <c r="H20" s="26" t="s">
        <v>188</v>
      </c>
      <c r="I20" s="26" t="s">
        <v>189</v>
      </c>
      <c r="J20" s="26" t="s">
        <v>188</v>
      </c>
      <c r="K20" s="26" t="s">
        <v>189</v>
      </c>
      <c r="L20" s="26" t="s">
        <v>188</v>
      </c>
      <c r="M20" s="26" t="s">
        <v>189</v>
      </c>
      <c r="N20" s="26" t="s">
        <v>188</v>
      </c>
      <c r="O20" s="26" t="s">
        <v>189</v>
      </c>
      <c r="P20" s="26" t="s">
        <v>188</v>
      </c>
      <c r="Q20" s="26" t="s">
        <v>189</v>
      </c>
      <c r="R20" s="26" t="s">
        <v>188</v>
      </c>
      <c r="S20" s="27" t="s">
        <v>189</v>
      </c>
      <c r="V20" s="58" t="s">
        <v>155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153</v>
      </c>
      <c r="AF20" s="420" t="str">
        <f>AB20+W4+AA20+W4-W5</f>
        <v>0</v>
      </c>
      <c r="AG20" s="420" t="s">
        <v>153</v>
      </c>
      <c r="AH20" s="420" t="str">
        <f>AB20+W4-W5</f>
        <v>0</v>
      </c>
      <c r="AI20" s="420"/>
      <c r="AJ20" s="421"/>
    </row>
    <row r="21" spans="1:38">
      <c r="B21" s="23"/>
      <c r="C21" s="7" t="s">
        <v>98</v>
      </c>
      <c r="D21">
        <v>0</v>
      </c>
      <c r="E21">
        <v>0</v>
      </c>
      <c r="F21" s="28" t="s">
        <v>192</v>
      </c>
      <c r="G21" s="28" t="s">
        <v>192</v>
      </c>
      <c r="H21">
        <v>0</v>
      </c>
      <c r="I21">
        <v>0</v>
      </c>
      <c r="J21" s="28" t="s">
        <v>192</v>
      </c>
      <c r="K21" s="28" t="s">
        <v>192</v>
      </c>
      <c r="L21" s="28" t="s">
        <v>192</v>
      </c>
      <c r="M21" s="28" t="s">
        <v>192</v>
      </c>
      <c r="N21" s="28" t="s">
        <v>192</v>
      </c>
      <c r="O21" s="28" t="s">
        <v>192</v>
      </c>
      <c r="P21" s="28" t="s">
        <v>192</v>
      </c>
      <c r="Q21" s="28" t="s">
        <v>192</v>
      </c>
      <c r="R21" s="28" t="s">
        <v>192</v>
      </c>
      <c r="S21" s="30" t="s">
        <v>192</v>
      </c>
      <c r="V21" s="105" t="s">
        <v>156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153</v>
      </c>
      <c r="AF21" s="420" t="str">
        <f>AB21+W4+AA21+W4-W5</f>
        <v>0</v>
      </c>
      <c r="AG21" s="420" t="s">
        <v>153</v>
      </c>
      <c r="AH21" s="420" t="str">
        <f>AB21+W4-W5</f>
        <v>0</v>
      </c>
      <c r="AI21" s="420"/>
      <c r="AJ21" s="421"/>
    </row>
    <row r="22" spans="1:38">
      <c r="B22" s="23"/>
      <c r="C22" s="24" t="s">
        <v>99</v>
      </c>
      <c r="D22" t="str">
        <f>$B$9</f>
        <v>0</v>
      </c>
      <c r="E22" t="str">
        <f>$B$10</f>
        <v>0</v>
      </c>
      <c r="F22" s="28" t="s">
        <v>192</v>
      </c>
      <c r="G22" s="28" t="s">
        <v>192</v>
      </c>
      <c r="H22" t="str">
        <f>$B$9</f>
        <v>0</v>
      </c>
      <c r="I22" t="str">
        <f>$B$10</f>
        <v>0</v>
      </c>
      <c r="J22" s="28" t="s">
        <v>192</v>
      </c>
      <c r="K22" s="28" t="s">
        <v>192</v>
      </c>
      <c r="L22" t="str">
        <f>$B$9*2</f>
        <v>0</v>
      </c>
      <c r="M22" t="str">
        <f>$B$10</f>
        <v>0</v>
      </c>
      <c r="N22" s="28" t="s">
        <v>192</v>
      </c>
      <c r="O22" s="28" t="s">
        <v>192</v>
      </c>
      <c r="P22" s="28" t="s">
        <v>192</v>
      </c>
      <c r="Q22" s="28" t="s">
        <v>192</v>
      </c>
      <c r="R22" s="28" t="s">
        <v>192</v>
      </c>
      <c r="S22" s="30" t="s">
        <v>192</v>
      </c>
      <c r="V22" s="105" t="s">
        <v>157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152</v>
      </c>
      <c r="AF22" s="420" t="str">
        <f>X22+W4+Y22+W5</f>
        <v>0</v>
      </c>
      <c r="AG22" s="420" t="s">
        <v>153</v>
      </c>
      <c r="AH22" s="420" t="str">
        <f>AB22+W4-W5</f>
        <v>0</v>
      </c>
      <c r="AI22" s="420"/>
      <c r="AJ22" s="421"/>
    </row>
    <row r="23" spans="1:38">
      <c r="B23" s="23"/>
      <c r="C23" s="24" t="s">
        <v>100</v>
      </c>
      <c r="D23" t="str">
        <f>$B$9</f>
        <v>0</v>
      </c>
      <c r="E23" t="str">
        <f>$B$10</f>
        <v>0</v>
      </c>
      <c r="F23" s="28" t="s">
        <v>192</v>
      </c>
      <c r="G23" s="28" t="s">
        <v>192</v>
      </c>
      <c r="H23" t="str">
        <f>$B$9</f>
        <v>0</v>
      </c>
      <c r="I23" t="str">
        <f>$B$10</f>
        <v>0</v>
      </c>
      <c r="J23" s="28" t="s">
        <v>192</v>
      </c>
      <c r="K23" s="28" t="s">
        <v>192</v>
      </c>
      <c r="L23" s="21" t="s">
        <v>192</v>
      </c>
      <c r="M23" s="21" t="s">
        <v>192</v>
      </c>
      <c r="N23" s="28" t="s">
        <v>192</v>
      </c>
      <c r="O23" s="28" t="s">
        <v>192</v>
      </c>
      <c r="P23" t="str">
        <f>B9*2</f>
        <v>0</v>
      </c>
      <c r="Q23" t="str">
        <f>B10</f>
        <v>0</v>
      </c>
      <c r="R23" s="28" t="s">
        <v>192</v>
      </c>
      <c r="S23" s="30" t="s">
        <v>192</v>
      </c>
      <c r="V23" s="105" t="s">
        <v>158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152</v>
      </c>
      <c r="AF23" s="420" t="str">
        <f>X23+W4+Y23+W5</f>
        <v>0</v>
      </c>
      <c r="AG23" s="420" t="s">
        <v>153</v>
      </c>
      <c r="AH23" s="420" t="str">
        <f>AB23+W4+AA23+W4-W5</f>
        <v>0</v>
      </c>
      <c r="AI23" s="420" t="s">
        <v>153</v>
      </c>
      <c r="AJ23" s="421" t="str">
        <f>AB23+W4-W5</f>
        <v>0</v>
      </c>
    </row>
    <row r="24" spans="1:38">
      <c r="B24" s="23"/>
      <c r="C24" s="24" t="s">
        <v>101</v>
      </c>
      <c r="D24" t="str">
        <f>B9*2</f>
        <v>0</v>
      </c>
      <c r="E24" t="str">
        <f>B10</f>
        <v>0</v>
      </c>
      <c r="F24" s="28" t="s">
        <v>192</v>
      </c>
      <c r="G24" s="28" t="s">
        <v>192</v>
      </c>
      <c r="H24" s="28" t="s">
        <v>192</v>
      </c>
      <c r="I24" s="28" t="s">
        <v>192</v>
      </c>
      <c r="J24" s="28" t="s">
        <v>192</v>
      </c>
      <c r="K24" s="28" t="s">
        <v>192</v>
      </c>
      <c r="L24" t="str">
        <f>B9</f>
        <v>0</v>
      </c>
      <c r="M24" t="str">
        <f>B10</f>
        <v>0</v>
      </c>
      <c r="N24" s="28" t="s">
        <v>192</v>
      </c>
      <c r="O24" s="28" t="s">
        <v>192</v>
      </c>
      <c r="P24" t="str">
        <f>B9</f>
        <v>0</v>
      </c>
      <c r="Q24" t="str">
        <f>B10</f>
        <v>0</v>
      </c>
      <c r="R24" s="28" t="s">
        <v>192</v>
      </c>
      <c r="S24" s="30" t="s">
        <v>192</v>
      </c>
      <c r="V24" s="105" t="s">
        <v>159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152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102</v>
      </c>
      <c r="D25" s="28" t="s">
        <v>192</v>
      </c>
      <c r="E25" s="28" t="s">
        <v>192</v>
      </c>
      <c r="F25" s="28" t="s">
        <v>192</v>
      </c>
      <c r="G25" s="28" t="s">
        <v>192</v>
      </c>
      <c r="H25" t="str">
        <f>B9*2</f>
        <v>0</v>
      </c>
      <c r="I25" t="str">
        <f>B10</f>
        <v>0</v>
      </c>
      <c r="J25" s="28" t="s">
        <v>192</v>
      </c>
      <c r="K25" s="28" t="s">
        <v>192</v>
      </c>
      <c r="L25" t="str">
        <f>B9</f>
        <v>0</v>
      </c>
      <c r="M25" t="str">
        <f>B10</f>
        <v>0</v>
      </c>
      <c r="N25" s="28" t="s">
        <v>192</v>
      </c>
      <c r="O25" s="28" t="s">
        <v>192</v>
      </c>
      <c r="P25" t="str">
        <f>B9</f>
        <v>0</v>
      </c>
      <c r="Q25" t="str">
        <f>B10</f>
        <v>0</v>
      </c>
      <c r="R25" s="28" t="s">
        <v>192</v>
      </c>
      <c r="S25" s="30" t="s">
        <v>192</v>
      </c>
      <c r="V25" s="105" t="s">
        <v>160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153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103</v>
      </c>
      <c r="D26" s="31" t="str">
        <f>B9*2</f>
        <v>0</v>
      </c>
      <c r="E26" s="32" t="str">
        <f>B10</f>
        <v>0</v>
      </c>
      <c r="F26" s="33" t="s">
        <v>192</v>
      </c>
      <c r="G26" s="33" t="s">
        <v>192</v>
      </c>
      <c r="H26" s="32" t="str">
        <f>B9*2</f>
        <v>0</v>
      </c>
      <c r="I26" s="32" t="str">
        <f>B10</f>
        <v>0</v>
      </c>
      <c r="J26" s="33" t="s">
        <v>192</v>
      </c>
      <c r="K26" s="33" t="s">
        <v>192</v>
      </c>
      <c r="L26" s="32" t="str">
        <f>B9*2</f>
        <v>0</v>
      </c>
      <c r="M26" s="32" t="str">
        <f>B10</f>
        <v>0</v>
      </c>
      <c r="N26" s="33" t="s">
        <v>192</v>
      </c>
      <c r="O26" s="33" t="s">
        <v>192</v>
      </c>
      <c r="P26" s="32" t="str">
        <f>B9*2</f>
        <v>0</v>
      </c>
      <c r="Q26" s="32" t="str">
        <f>B10</f>
        <v>0</v>
      </c>
      <c r="R26" s="33" t="s">
        <v>192</v>
      </c>
      <c r="S26" s="34" t="s">
        <v>192</v>
      </c>
      <c r="V26" s="7" t="s">
        <v>161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153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1004" t="s">
        <v>193</v>
      </c>
      <c r="E28" s="1005"/>
      <c r="F28" s="1005"/>
      <c r="G28" s="1005"/>
      <c r="H28" s="1005"/>
      <c r="I28" s="1005"/>
      <c r="J28" s="1005"/>
      <c r="K28" s="1005"/>
      <c r="L28" s="1005"/>
      <c r="M28" s="1005"/>
      <c r="N28" s="1005"/>
      <c r="O28" s="1005"/>
      <c r="P28" s="1005"/>
      <c r="Q28" s="1005"/>
      <c r="R28" s="1005"/>
      <c r="S28" s="1006"/>
    </row>
    <row r="29" spans="1:38">
      <c r="C29" s="1002" t="s">
        <v>150</v>
      </c>
      <c r="D29" s="1001" t="s">
        <v>152</v>
      </c>
      <c r="E29" s="1001"/>
      <c r="F29" s="1001" t="s">
        <v>173</v>
      </c>
      <c r="G29" s="1001"/>
      <c r="H29" s="1001" t="s">
        <v>153</v>
      </c>
      <c r="I29" s="1001"/>
      <c r="J29" s="1001" t="s">
        <v>174</v>
      </c>
      <c r="K29" s="1001"/>
      <c r="L29" s="1001" t="s">
        <v>175</v>
      </c>
      <c r="M29" s="1001"/>
      <c r="N29" s="1001" t="s">
        <v>176</v>
      </c>
      <c r="O29" s="1001"/>
      <c r="P29" s="1001" t="s">
        <v>177</v>
      </c>
      <c r="Q29" s="1001"/>
      <c r="R29" s="1001" t="s">
        <v>178</v>
      </c>
      <c r="S29" s="1011"/>
      <c r="U29" s="572" t="s">
        <v>18</v>
      </c>
      <c r="V29" s="574" t="s">
        <v>194</v>
      </c>
    </row>
    <row r="30" spans="1:38" customHeight="1" ht="12.75">
      <c r="C30" s="1003"/>
      <c r="D30" s="26" t="s">
        <v>188</v>
      </c>
      <c r="E30" s="26" t="s">
        <v>189</v>
      </c>
      <c r="F30" s="26" t="s">
        <v>188</v>
      </c>
      <c r="G30" s="26" t="s">
        <v>189</v>
      </c>
      <c r="H30" s="26" t="s">
        <v>188</v>
      </c>
      <c r="I30" s="26" t="s">
        <v>189</v>
      </c>
      <c r="J30" s="26" t="s">
        <v>188</v>
      </c>
      <c r="K30" s="26" t="s">
        <v>189</v>
      </c>
      <c r="L30" s="26" t="s">
        <v>188</v>
      </c>
      <c r="M30" s="26" t="s">
        <v>189</v>
      </c>
      <c r="N30" s="26" t="s">
        <v>188</v>
      </c>
      <c r="O30" s="26" t="s">
        <v>189</v>
      </c>
      <c r="P30" s="26" t="s">
        <v>188</v>
      </c>
      <c r="Q30" s="26" t="s">
        <v>189</v>
      </c>
      <c r="R30" s="26" t="s">
        <v>188</v>
      </c>
      <c r="S30" s="27" t="s">
        <v>189</v>
      </c>
      <c r="U30" s="573" t="s">
        <v>195</v>
      </c>
      <c r="V30" s="575" t="s">
        <v>196</v>
      </c>
    </row>
    <row r="31" spans="1:38">
      <c r="C31" s="7" t="s">
        <v>98</v>
      </c>
      <c r="D31">
        <v>0</v>
      </c>
      <c r="E31">
        <v>0</v>
      </c>
      <c r="F31" s="28" t="s">
        <v>192</v>
      </c>
      <c r="G31" s="28" t="s">
        <v>192</v>
      </c>
      <c r="H31">
        <v>0</v>
      </c>
      <c r="I31">
        <v>0</v>
      </c>
      <c r="J31" s="28" t="s">
        <v>192</v>
      </c>
      <c r="K31" s="28" t="s">
        <v>192</v>
      </c>
      <c r="L31" s="28" t="s">
        <v>192</v>
      </c>
      <c r="M31" s="28" t="s">
        <v>192</v>
      </c>
      <c r="N31" s="28" t="s">
        <v>192</v>
      </c>
      <c r="O31" s="28" t="s">
        <v>192</v>
      </c>
      <c r="P31" s="28" t="s">
        <v>192</v>
      </c>
      <c r="Q31" s="28" t="s">
        <v>192</v>
      </c>
      <c r="R31" s="28" t="s">
        <v>192</v>
      </c>
      <c r="S31" s="30" t="s">
        <v>192</v>
      </c>
      <c r="U31" s="570">
        <v>0</v>
      </c>
      <c r="V31" s="365">
        <v>1</v>
      </c>
    </row>
    <row r="32" spans="1:38">
      <c r="C32" s="24" t="s">
        <v>99</v>
      </c>
      <c r="D32" t="str">
        <f>B9</f>
        <v>0</v>
      </c>
      <c r="E32" t="str">
        <f>B11</f>
        <v>0</v>
      </c>
      <c r="F32" s="28" t="s">
        <v>192</v>
      </c>
      <c r="G32" s="28" t="s">
        <v>192</v>
      </c>
      <c r="H32" t="str">
        <f>B9</f>
        <v>0</v>
      </c>
      <c r="I32" t="str">
        <f>B11</f>
        <v>0</v>
      </c>
      <c r="J32" s="28" t="s">
        <v>192</v>
      </c>
      <c r="K32" s="28" t="s">
        <v>192</v>
      </c>
      <c r="L32" t="str">
        <f>B9*2</f>
        <v>0</v>
      </c>
      <c r="M32" t="str">
        <f>B11*2</f>
        <v>0</v>
      </c>
      <c r="N32" s="28" t="s">
        <v>192</v>
      </c>
      <c r="O32" s="28" t="s">
        <v>192</v>
      </c>
      <c r="P32" s="28" t="s">
        <v>192</v>
      </c>
      <c r="Q32" s="28" t="s">
        <v>192</v>
      </c>
      <c r="R32" s="28" t="s">
        <v>192</v>
      </c>
      <c r="S32" s="30" t="s">
        <v>192</v>
      </c>
      <c r="U32" s="570">
        <v>4</v>
      </c>
      <c r="V32" s="365">
        <v>1</v>
      </c>
    </row>
    <row r="33" spans="1:38">
      <c r="C33" s="24" t="s">
        <v>100</v>
      </c>
      <c r="D33" t="str">
        <f>B9</f>
        <v>0</v>
      </c>
      <c r="E33" t="str">
        <f>B11</f>
        <v>0</v>
      </c>
      <c r="F33" s="28" t="s">
        <v>192</v>
      </c>
      <c r="G33" s="28" t="s">
        <v>192</v>
      </c>
      <c r="H33" t="str">
        <f>B9</f>
        <v>0</v>
      </c>
      <c r="I33" t="str">
        <f>B11</f>
        <v>0</v>
      </c>
      <c r="J33" s="28" t="s">
        <v>192</v>
      </c>
      <c r="K33" s="28" t="s">
        <v>192</v>
      </c>
      <c r="L33" s="28" t="s">
        <v>192</v>
      </c>
      <c r="M33" s="28" t="s">
        <v>192</v>
      </c>
      <c r="N33" s="28" t="s">
        <v>192</v>
      </c>
      <c r="O33" s="28" t="s">
        <v>192</v>
      </c>
      <c r="P33" t="str">
        <f>B9*2</f>
        <v>0</v>
      </c>
      <c r="Q33" t="str">
        <f>B11*2</f>
        <v>0</v>
      </c>
      <c r="R33" s="28" t="s">
        <v>192</v>
      </c>
      <c r="S33" s="30" t="s">
        <v>192</v>
      </c>
      <c r="U33" s="570">
        <v>4</v>
      </c>
      <c r="V33" s="365">
        <v>0</v>
      </c>
    </row>
    <row r="34" spans="1:38">
      <c r="C34" s="24" t="s">
        <v>101</v>
      </c>
      <c r="D34" t="str">
        <f>B9*2</f>
        <v>0</v>
      </c>
      <c r="E34" t="str">
        <f>B11*2</f>
        <v>0</v>
      </c>
      <c r="F34" s="28" t="s">
        <v>192</v>
      </c>
      <c r="G34" s="28" t="s">
        <v>192</v>
      </c>
      <c r="H34" s="28" t="s">
        <v>192</v>
      </c>
      <c r="I34" s="28" t="s">
        <v>192</v>
      </c>
      <c r="J34" s="28" t="s">
        <v>192</v>
      </c>
      <c r="K34" s="28" t="s">
        <v>192</v>
      </c>
      <c r="L34" t="str">
        <f>B9</f>
        <v>0</v>
      </c>
      <c r="M34" t="str">
        <f>B11</f>
        <v>0</v>
      </c>
      <c r="N34" s="28" t="s">
        <v>192</v>
      </c>
      <c r="O34" s="28" t="s">
        <v>192</v>
      </c>
      <c r="P34" t="str">
        <f>B9</f>
        <v>0</v>
      </c>
      <c r="Q34" t="str">
        <f>B11</f>
        <v>0</v>
      </c>
      <c r="R34" s="28" t="s">
        <v>192</v>
      </c>
      <c r="S34" s="30" t="s">
        <v>192</v>
      </c>
      <c r="U34" s="570">
        <v>4</v>
      </c>
      <c r="V34" s="365">
        <v>0</v>
      </c>
    </row>
    <row r="35" spans="1:38">
      <c r="C35" s="24" t="s">
        <v>102</v>
      </c>
      <c r="D35" s="28" t="s">
        <v>192</v>
      </c>
      <c r="E35" s="28" t="s">
        <v>192</v>
      </c>
      <c r="F35" s="28" t="s">
        <v>192</v>
      </c>
      <c r="G35" s="28" t="s">
        <v>192</v>
      </c>
      <c r="H35" t="str">
        <f>B9*2</f>
        <v>0</v>
      </c>
      <c r="I35" t="str">
        <f>B11*2</f>
        <v>0</v>
      </c>
      <c r="J35" s="28" t="s">
        <v>192</v>
      </c>
      <c r="K35" s="28" t="s">
        <v>192</v>
      </c>
      <c r="L35" t="str">
        <f>B9</f>
        <v>0</v>
      </c>
      <c r="M35" t="str">
        <f>B11</f>
        <v>0</v>
      </c>
      <c r="N35" s="28" t="s">
        <v>192</v>
      </c>
      <c r="O35" s="28" t="s">
        <v>192</v>
      </c>
      <c r="P35" t="str">
        <f>B9</f>
        <v>0</v>
      </c>
      <c r="Q35" t="str">
        <f>B11</f>
        <v>0</v>
      </c>
      <c r="R35" s="28" t="s">
        <v>192</v>
      </c>
      <c r="S35" s="30" t="s">
        <v>192</v>
      </c>
      <c r="U35" s="570">
        <v>4</v>
      </c>
      <c r="V35" s="365">
        <v>0</v>
      </c>
    </row>
    <row r="36" spans="1:38">
      <c r="C36" s="24" t="s">
        <v>103</v>
      </c>
      <c r="D36" t="str">
        <f>B9*2</f>
        <v>0</v>
      </c>
      <c r="E36" t="str">
        <f>B11*2</f>
        <v>0</v>
      </c>
      <c r="F36" s="28" t="s">
        <v>192</v>
      </c>
      <c r="G36" s="28" t="s">
        <v>192</v>
      </c>
      <c r="H36" t="str">
        <f>B9*2</f>
        <v>0</v>
      </c>
      <c r="I36" t="str">
        <f>B11*2</f>
        <v>0</v>
      </c>
      <c r="J36" s="28" t="s">
        <v>192</v>
      </c>
      <c r="K36" s="28" t="s">
        <v>192</v>
      </c>
      <c r="L36" t="str">
        <f>B9*2</f>
        <v>0</v>
      </c>
      <c r="M36" t="str">
        <f>B11*2</f>
        <v>0</v>
      </c>
      <c r="N36" s="28" t="s">
        <v>192</v>
      </c>
      <c r="O36" s="28" t="s">
        <v>192</v>
      </c>
      <c r="P36" t="str">
        <f>B9*2</f>
        <v>0</v>
      </c>
      <c r="Q36" t="str">
        <f>B11*2</f>
        <v>0</v>
      </c>
      <c r="R36" s="28" t="s">
        <v>192</v>
      </c>
      <c r="S36" s="30" t="s">
        <v>192</v>
      </c>
      <c r="U36" s="570">
        <v>8</v>
      </c>
      <c r="V36" s="365">
        <v>0</v>
      </c>
    </row>
    <row r="37" spans="1:38">
      <c r="C37" s="24" t="s">
        <v>104</v>
      </c>
      <c r="D37" t="str">
        <f>B9</f>
        <v>0</v>
      </c>
      <c r="E37" t="str">
        <f>B10</f>
        <v>0</v>
      </c>
      <c r="F37" s="28" t="s">
        <v>192</v>
      </c>
      <c r="G37" s="28" t="s">
        <v>192</v>
      </c>
      <c r="H37" t="str">
        <f>B9</f>
        <v>0</v>
      </c>
      <c r="I37" t="str">
        <f>B10</f>
        <v>0</v>
      </c>
      <c r="J37" s="28" t="s">
        <v>192</v>
      </c>
      <c r="K37" s="28" t="s">
        <v>192</v>
      </c>
      <c r="L37" s="28" t="s">
        <v>192</v>
      </c>
      <c r="M37" s="28" t="s">
        <v>192</v>
      </c>
      <c r="N37" t="str">
        <f>B9*2</f>
        <v>0</v>
      </c>
      <c r="O37" t="str">
        <f>B10</f>
        <v>0</v>
      </c>
      <c r="P37" s="28" t="s">
        <v>192</v>
      </c>
      <c r="Q37" s="28" t="s">
        <v>192</v>
      </c>
      <c r="R37" s="28" t="s">
        <v>192</v>
      </c>
      <c r="S37" s="30" t="s">
        <v>192</v>
      </c>
      <c r="U37" s="570">
        <v>4</v>
      </c>
      <c r="V37" s="365">
        <v>1</v>
      </c>
    </row>
    <row r="38" spans="1:38">
      <c r="C38" s="24" t="s">
        <v>105</v>
      </c>
      <c r="D38" t="str">
        <f>B9</f>
        <v>0</v>
      </c>
      <c r="E38" t="str">
        <f>B10</f>
        <v>0</v>
      </c>
      <c r="F38" s="28" t="s">
        <v>192</v>
      </c>
      <c r="G38" s="28" t="s">
        <v>192</v>
      </c>
      <c r="H38" t="str">
        <f>B9</f>
        <v>0</v>
      </c>
      <c r="I38" t="str">
        <f>B10</f>
        <v>0</v>
      </c>
      <c r="J38" s="28" t="s">
        <v>192</v>
      </c>
      <c r="K38" s="28" t="s">
        <v>192</v>
      </c>
      <c r="L38" s="28" t="s">
        <v>192</v>
      </c>
      <c r="M38" s="28" t="s">
        <v>192</v>
      </c>
      <c r="N38" s="28" t="s">
        <v>192</v>
      </c>
      <c r="O38" s="28" t="s">
        <v>192</v>
      </c>
      <c r="P38" s="28" t="s">
        <v>192</v>
      </c>
      <c r="Q38" s="28" t="s">
        <v>192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106</v>
      </c>
      <c r="D39" t="str">
        <f>B9*2</f>
        <v>0</v>
      </c>
      <c r="E39" t="str">
        <f>B11</f>
        <v>0</v>
      </c>
      <c r="F39" s="28" t="s">
        <v>192</v>
      </c>
      <c r="G39" s="28" t="s">
        <v>192</v>
      </c>
      <c r="H39" t="str">
        <f>B9*2</f>
        <v>0</v>
      </c>
      <c r="I39" t="str">
        <f>B11</f>
        <v>0</v>
      </c>
      <c r="J39" s="28" t="s">
        <v>192</v>
      </c>
      <c r="K39" s="28" t="s">
        <v>192</v>
      </c>
      <c r="L39" t="str">
        <f>B9*2</f>
        <v>0</v>
      </c>
      <c r="M39" t="str">
        <f>B11*2</f>
        <v>0</v>
      </c>
      <c r="N39" s="28" t="s">
        <v>192</v>
      </c>
      <c r="O39" s="28" t="s">
        <v>192</v>
      </c>
      <c r="P39" s="28" t="s">
        <v>192</v>
      </c>
      <c r="Q39" s="28" t="s">
        <v>192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107</v>
      </c>
      <c r="D40" t="str">
        <f>B9*2</f>
        <v>0</v>
      </c>
      <c r="E40" t="str">
        <f>B11</f>
        <v>0</v>
      </c>
      <c r="F40" s="28" t="s">
        <v>192</v>
      </c>
      <c r="G40" s="28" t="s">
        <v>192</v>
      </c>
      <c r="H40" t="str">
        <f>B9*2</f>
        <v>0</v>
      </c>
      <c r="I40" t="str">
        <f>B11</f>
        <v>0</v>
      </c>
      <c r="J40" s="28" t="s">
        <v>192</v>
      </c>
      <c r="K40" s="28" t="s">
        <v>192</v>
      </c>
      <c r="L40" s="28" t="s">
        <v>192</v>
      </c>
      <c r="M40" s="28" t="s">
        <v>192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192</v>
      </c>
      <c r="S40" s="30" t="s">
        <v>192</v>
      </c>
      <c r="U40" s="570">
        <v>8</v>
      </c>
      <c r="V40" s="365">
        <v>0</v>
      </c>
    </row>
    <row r="41" spans="1:38">
      <c r="C41" s="24" t="s">
        <v>108</v>
      </c>
      <c r="D41" s="28" t="s">
        <v>192</v>
      </c>
      <c r="E41" s="28" t="s">
        <v>192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192</v>
      </c>
      <c r="K41" s="28" t="s">
        <v>192</v>
      </c>
      <c r="L41" t="str">
        <f>B9*2</f>
        <v>0</v>
      </c>
      <c r="M41" t="str">
        <f>B11</f>
        <v>0</v>
      </c>
      <c r="N41" s="28" t="s">
        <v>192</v>
      </c>
      <c r="O41" s="28" t="s">
        <v>192</v>
      </c>
      <c r="P41" t="str">
        <f>B9*2</f>
        <v>0</v>
      </c>
      <c r="Q41" t="str">
        <f>B11</f>
        <v>0</v>
      </c>
      <c r="R41" s="28" t="s">
        <v>192</v>
      </c>
      <c r="S41" s="30" t="s">
        <v>192</v>
      </c>
      <c r="U41" s="570">
        <v>8</v>
      </c>
      <c r="V41" s="365">
        <v>0</v>
      </c>
    </row>
    <row r="42" spans="1:38">
      <c r="C42" s="24" t="s">
        <v>109</v>
      </c>
      <c r="D42" t="str">
        <f>B9*2</f>
        <v>0</v>
      </c>
      <c r="E42" t="str">
        <f>B11*2</f>
        <v>0</v>
      </c>
      <c r="F42" s="28" t="s">
        <v>192</v>
      </c>
      <c r="G42" s="28" t="s">
        <v>192</v>
      </c>
      <c r="H42" s="28" t="s">
        <v>192</v>
      </c>
      <c r="I42" s="28" t="s">
        <v>192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192</v>
      </c>
      <c r="O42" s="28" t="s">
        <v>192</v>
      </c>
      <c r="P42" t="str">
        <f>B9*2</f>
        <v>0</v>
      </c>
      <c r="Q42" t="str">
        <f>B11</f>
        <v>0</v>
      </c>
      <c r="R42" s="28" t="s">
        <v>192</v>
      </c>
      <c r="S42" s="30" t="s">
        <v>192</v>
      </c>
      <c r="U42" s="570">
        <v>8</v>
      </c>
      <c r="V42" s="365">
        <v>0</v>
      </c>
    </row>
    <row r="43" spans="1:38">
      <c r="C43" s="24" t="s">
        <v>110</v>
      </c>
      <c r="D43" t="str">
        <f>B9*2</f>
        <v>0</v>
      </c>
      <c r="E43" t="str">
        <f>B10</f>
        <v>0</v>
      </c>
      <c r="F43" s="28" t="s">
        <v>192</v>
      </c>
      <c r="G43" s="28" t="s">
        <v>192</v>
      </c>
      <c r="H43" t="str">
        <f>B9*2</f>
        <v>0</v>
      </c>
      <c r="I43" t="str">
        <f>B10</f>
        <v>0</v>
      </c>
      <c r="J43" s="28" t="s">
        <v>192</v>
      </c>
      <c r="K43" s="28" t="s">
        <v>192</v>
      </c>
      <c r="L43" s="28" t="s">
        <v>192</v>
      </c>
      <c r="M43" s="28" t="s">
        <v>192</v>
      </c>
      <c r="N43" t="str">
        <f>B9*2</f>
        <v>0</v>
      </c>
      <c r="O43" t="str">
        <f>B10</f>
        <v>0</v>
      </c>
      <c r="P43" s="28" t="s">
        <v>192</v>
      </c>
      <c r="Q43" s="28" t="s">
        <v>192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111</v>
      </c>
      <c r="D44" s="28" t="s">
        <v>192</v>
      </c>
      <c r="E44" s="28" t="s">
        <v>192</v>
      </c>
      <c r="F44" t="str">
        <f>B9*2</f>
        <v>0</v>
      </c>
      <c r="G44" t="str">
        <f>B10</f>
        <v>0</v>
      </c>
      <c r="H44" s="28" t="s">
        <v>192</v>
      </c>
      <c r="I44" s="28" t="s">
        <v>192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192</v>
      </c>
      <c r="O44" s="28" t="s">
        <v>192</v>
      </c>
      <c r="P44" t="str">
        <f>B9*2</f>
        <v>0</v>
      </c>
      <c r="Q44" t="str">
        <f>B10</f>
        <v>0</v>
      </c>
      <c r="R44" s="28" t="s">
        <v>192</v>
      </c>
      <c r="S44" s="30" t="s">
        <v>192</v>
      </c>
      <c r="U44" s="570">
        <v>8</v>
      </c>
      <c r="V44" s="365">
        <v>0</v>
      </c>
    </row>
    <row r="45" spans="1:38">
      <c r="C45" s="24" t="s">
        <v>112</v>
      </c>
      <c r="D45" s="28" t="s">
        <v>192</v>
      </c>
      <c r="E45" s="28" t="s">
        <v>192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192</v>
      </c>
      <c r="K45" s="28" t="s">
        <v>192</v>
      </c>
      <c r="L45" s="28" t="s">
        <v>192</v>
      </c>
      <c r="M45" s="28" t="s">
        <v>192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192</v>
      </c>
      <c r="S45" s="30" t="s">
        <v>192</v>
      </c>
      <c r="U45" s="570">
        <v>8</v>
      </c>
      <c r="V45" s="365">
        <v>0</v>
      </c>
    </row>
    <row r="46" spans="1:38">
      <c r="C46" s="24" t="s">
        <v>113</v>
      </c>
      <c r="D46" s="28" t="s">
        <v>192</v>
      </c>
      <c r="E46" s="28" t="s">
        <v>192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192</v>
      </c>
      <c r="K46" s="28" t="s">
        <v>192</v>
      </c>
      <c r="L46" t="str">
        <f>B9*2</f>
        <v>0</v>
      </c>
      <c r="M46" t="str">
        <f>B11</f>
        <v>0</v>
      </c>
      <c r="N46" s="28" t="s">
        <v>192</v>
      </c>
      <c r="O46" s="28" t="s">
        <v>192</v>
      </c>
      <c r="P46" s="28" t="s">
        <v>192</v>
      </c>
      <c r="Q46" s="28" t="s">
        <v>192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114</v>
      </c>
      <c r="D47" t="str">
        <f>B9*2</f>
        <v>0</v>
      </c>
      <c r="E47" t="str">
        <f>B11</f>
        <v>0</v>
      </c>
      <c r="F47" s="28" t="s">
        <v>192</v>
      </c>
      <c r="G47" s="28" t="s">
        <v>192</v>
      </c>
      <c r="H47" s="28" t="s">
        <v>192</v>
      </c>
      <c r="I47" s="28" t="s">
        <v>192</v>
      </c>
      <c r="J47" t="str">
        <f>B9*2</f>
        <v>0</v>
      </c>
      <c r="K47" t="str">
        <f>B10</f>
        <v>0</v>
      </c>
      <c r="L47" s="28" t="s">
        <v>192</v>
      </c>
      <c r="M47" s="28" t="s">
        <v>192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192</v>
      </c>
      <c r="S47" s="30" t="s">
        <v>192</v>
      </c>
      <c r="U47" s="570">
        <v>8</v>
      </c>
      <c r="V47" s="365">
        <v>0</v>
      </c>
    </row>
    <row r="48" spans="1:38">
      <c r="C48" s="24" t="s">
        <v>115</v>
      </c>
      <c r="D48" t="str">
        <f>B9*2</f>
        <v>0</v>
      </c>
      <c r="E48" t="str">
        <f>B11</f>
        <v>0</v>
      </c>
      <c r="F48" s="28" t="s">
        <v>192</v>
      </c>
      <c r="G48" s="28" t="s">
        <v>192</v>
      </c>
      <c r="H48" s="28" t="s">
        <v>192</v>
      </c>
      <c r="I48" s="28" t="s">
        <v>192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192</v>
      </c>
      <c r="O48" s="28" t="s">
        <v>192</v>
      </c>
      <c r="P48" s="28" t="s">
        <v>192</v>
      </c>
      <c r="Q48" s="28" t="s">
        <v>192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116</v>
      </c>
      <c r="D49" s="28" t="s">
        <v>192</v>
      </c>
      <c r="E49" s="28" t="s">
        <v>192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192</v>
      </c>
      <c r="K49" s="28" t="s">
        <v>192</v>
      </c>
      <c r="L49" s="28" t="s">
        <v>192</v>
      </c>
      <c r="M49" s="28" t="s">
        <v>192</v>
      </c>
      <c r="N49" t="str">
        <f>B9*2</f>
        <v>0</v>
      </c>
      <c r="O49" t="str">
        <f>B10</f>
        <v>0</v>
      </c>
      <c r="P49" s="28" t="s">
        <v>192</v>
      </c>
      <c r="Q49" s="28" t="s">
        <v>192</v>
      </c>
      <c r="R49" s="28" t="s">
        <v>192</v>
      </c>
      <c r="S49" s="30" t="s">
        <v>192</v>
      </c>
      <c r="U49" s="570">
        <v>4</v>
      </c>
      <c r="V49" s="365">
        <v>1</v>
      </c>
    </row>
    <row r="50" spans="1:38">
      <c r="C50" s="24" t="s">
        <v>117</v>
      </c>
      <c r="D50" t="str">
        <f>B9</f>
        <v>0</v>
      </c>
      <c r="E50" t="str">
        <f>B10</f>
        <v>0</v>
      </c>
      <c r="F50" s="28" t="s">
        <v>192</v>
      </c>
      <c r="G50" s="28" t="s">
        <v>192</v>
      </c>
      <c r="H50" s="28" t="s">
        <v>192</v>
      </c>
      <c r="I50" s="28" t="s">
        <v>192</v>
      </c>
      <c r="J50" t="str">
        <f>B9</f>
        <v>0</v>
      </c>
      <c r="K50" t="str">
        <f>B10</f>
        <v>0</v>
      </c>
      <c r="L50" s="28" t="s">
        <v>192</v>
      </c>
      <c r="M50" s="28" t="s">
        <v>192</v>
      </c>
      <c r="N50" t="str">
        <f>B9*2</f>
        <v>0</v>
      </c>
      <c r="O50" t="str">
        <f>B10</f>
        <v>0</v>
      </c>
      <c r="P50" s="28" t="s">
        <v>192</v>
      </c>
      <c r="Q50" s="28" t="s">
        <v>192</v>
      </c>
      <c r="R50" s="28" t="s">
        <v>192</v>
      </c>
      <c r="S50" s="30" t="s">
        <v>192</v>
      </c>
      <c r="U50" s="570">
        <v>4</v>
      </c>
      <c r="V50" s="365">
        <v>1</v>
      </c>
    </row>
    <row r="51" spans="1:38">
      <c r="C51" s="24" t="s">
        <v>118</v>
      </c>
      <c r="D51" s="28" t="s">
        <v>192</v>
      </c>
      <c r="E51" s="28" t="s">
        <v>192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192</v>
      </c>
      <c r="K51" s="28" t="s">
        <v>192</v>
      </c>
      <c r="L51" s="28" t="s">
        <v>192</v>
      </c>
      <c r="M51" s="28" t="s">
        <v>192</v>
      </c>
      <c r="N51" s="28" t="s">
        <v>192</v>
      </c>
      <c r="O51" s="28" t="s">
        <v>192</v>
      </c>
      <c r="P51" s="28" t="s">
        <v>192</v>
      </c>
      <c r="Q51" s="28" t="s">
        <v>192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119</v>
      </c>
      <c r="D52" t="str">
        <f>B9</f>
        <v>0</v>
      </c>
      <c r="E52" t="str">
        <f>B10</f>
        <v>0</v>
      </c>
      <c r="F52" s="28" t="s">
        <v>192</v>
      </c>
      <c r="G52" s="28" t="s">
        <v>192</v>
      </c>
      <c r="H52" s="28" t="s">
        <v>192</v>
      </c>
      <c r="I52" s="28" t="s">
        <v>192</v>
      </c>
      <c r="J52" t="str">
        <f>B9</f>
        <v>0</v>
      </c>
      <c r="K52" t="str">
        <f>B10</f>
        <v>0</v>
      </c>
      <c r="L52" s="28" t="s">
        <v>192</v>
      </c>
      <c r="M52" s="28" t="s">
        <v>192</v>
      </c>
      <c r="N52" s="28" t="s">
        <v>192</v>
      </c>
      <c r="O52" s="28" t="s">
        <v>192</v>
      </c>
      <c r="P52" s="28" t="s">
        <v>192</v>
      </c>
      <c r="Q52" s="28" t="s">
        <v>192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120</v>
      </c>
      <c r="D53" s="28" t="s">
        <v>192</v>
      </c>
      <c r="E53" s="28" t="s">
        <v>192</v>
      </c>
      <c r="F53" t="str">
        <f>B9</f>
        <v>0</v>
      </c>
      <c r="G53" t="str">
        <f>B10</f>
        <v>0</v>
      </c>
      <c r="H53" s="28" t="s">
        <v>192</v>
      </c>
      <c r="I53" s="28" t="s">
        <v>192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192</v>
      </c>
      <c r="O53" s="28" t="s">
        <v>192</v>
      </c>
      <c r="P53" s="28" t="s">
        <v>192</v>
      </c>
      <c r="Q53" s="28" t="s">
        <v>192</v>
      </c>
      <c r="R53" s="28" t="s">
        <v>192</v>
      </c>
      <c r="S53" s="30" t="s">
        <v>192</v>
      </c>
      <c r="U53" s="570">
        <v>4</v>
      </c>
      <c r="V53" s="365">
        <v>1</v>
      </c>
    </row>
    <row r="54" spans="1:38">
      <c r="C54" s="24" t="s">
        <v>121</v>
      </c>
      <c r="D54" s="35" t="s">
        <v>192</v>
      </c>
      <c r="E54" s="33" t="s">
        <v>192</v>
      </c>
      <c r="F54" s="32" t="str">
        <f>B9</f>
        <v>0</v>
      </c>
      <c r="G54" s="32" t="str">
        <f>B10</f>
        <v>0</v>
      </c>
      <c r="H54" s="33" t="s">
        <v>192</v>
      </c>
      <c r="I54" s="33" t="s">
        <v>192</v>
      </c>
      <c r="J54" s="32" t="str">
        <f>B9</f>
        <v>0</v>
      </c>
      <c r="K54" s="32" t="str">
        <f>B10</f>
        <v>0</v>
      </c>
      <c r="L54" s="33" t="s">
        <v>192</v>
      </c>
      <c r="M54" s="33" t="s">
        <v>192</v>
      </c>
      <c r="N54" s="33" t="s">
        <v>192</v>
      </c>
      <c r="O54" s="33" t="s">
        <v>192</v>
      </c>
      <c r="P54" s="32" t="str">
        <f>B9*2</f>
        <v>0</v>
      </c>
      <c r="Q54" s="32" t="str">
        <f>B10</f>
        <v>0</v>
      </c>
      <c r="R54" s="33" t="s">
        <v>192</v>
      </c>
      <c r="S54" s="34" t="s">
        <v>192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3"/>
    <col min="2" max="2" width="4.83203125" customWidth="true" style="643"/>
    <col min="3" max="3" width="14.1640625" customWidth="true" style="643"/>
    <col min="4" max="4" width="10.83203125" customWidth="true" style="643"/>
    <col min="5" max="5" width="8.6640625" customWidth="true" style="643"/>
    <col min="6" max="6" width="10.83203125" customWidth="true" style="643"/>
    <col min="7" max="7" width="14.5" customWidth="true" style="643"/>
    <col min="8" max="8" width="9.33203125" customWidth="true" style="643"/>
    <col min="9" max="9" width="11.33203125" customWidth="true" style="643"/>
    <col min="10" max="10" width="3.6640625" customWidth="true" style="643"/>
    <col min="11" max="11" width="4.6640625" customWidth="true" style="643"/>
    <col min="12" max="12" width="3.6640625" customWidth="true" style="643"/>
    <col min="13" max="13" width="4.6640625" customWidth="true" style="643"/>
    <col min="14" max="14" width="3.6640625" customWidth="true" style="643"/>
    <col min="15" max="15" width="4.6640625" customWidth="true" style="643"/>
    <col min="16" max="16" width="3.6640625" customWidth="true" style="643"/>
    <col min="17" max="17" width="4.6640625" customWidth="true" style="643"/>
    <col min="18" max="18" width="12.5" customWidth="true" style="643"/>
    <col min="19" max="19" width="11.5" customWidth="true" style="643"/>
    <col min="20" max="20" width="11.5" customWidth="true" style="643"/>
    <col min="21" max="21" width="11.5" customWidth="true" style="643"/>
    <col min="22" max="22" width="14" customWidth="true" style="643"/>
    <col min="23" max="23" width="13.83203125" customWidth="true" style="643"/>
    <col min="24" max="24" width="11.1640625" customWidth="true" style="643"/>
    <col min="25" max="25" width="11.33203125" customWidth="true" style="643"/>
    <col min="26" max="26" width="11.33203125" customWidth="true" style="643"/>
    <col min="27" max="27" width="17.33203125" customWidth="true" style="643"/>
    <col min="28" max="28" width="9.33203125" customWidth="true" style="643"/>
  </cols>
  <sheetData>
    <row r="1" spans="1:28" customHeight="1" ht="6.75"/>
    <row r="2" spans="1:28" customHeight="1" ht="17.25">
      <c r="A2" s="644" t="s">
        <v>0</v>
      </c>
      <c r="B2" s="645"/>
      <c r="C2" s="646"/>
      <c r="D2" s="646"/>
      <c r="E2" s="647"/>
      <c r="F2" s="1031"/>
      <c r="G2" s="1032"/>
      <c r="H2" s="648" t="s">
        <v>2</v>
      </c>
      <c r="I2" s="649"/>
      <c r="J2" s="1054"/>
      <c r="K2" s="1055"/>
      <c r="L2" s="1055"/>
      <c r="M2" s="1055"/>
      <c r="N2" s="1055"/>
      <c r="O2" s="1055"/>
      <c r="P2" s="1055"/>
      <c r="Q2" s="1055"/>
      <c r="R2" s="1056"/>
      <c r="S2" s="1076" t="s">
        <v>4</v>
      </c>
      <c r="T2" s="1077"/>
      <c r="U2" s="1057"/>
      <c r="V2" s="1058"/>
      <c r="W2" s="648" t="s">
        <v>6</v>
      </c>
      <c r="X2" s="646"/>
      <c r="Y2" s="1054"/>
      <c r="Z2" s="1055"/>
      <c r="AA2" s="1056"/>
    </row>
    <row r="3" spans="1:28" customHeight="1" ht="18">
      <c r="A3" s="650" t="s">
        <v>8</v>
      </c>
      <c r="B3" s="651"/>
      <c r="C3" s="651"/>
      <c r="D3" s="652"/>
      <c r="E3" s="653"/>
      <c r="F3" s="1026"/>
      <c r="G3" s="1027"/>
      <c r="H3" s="654" t="s">
        <v>10</v>
      </c>
      <c r="I3" s="655"/>
      <c r="J3" s="1028"/>
      <c r="K3" s="1029"/>
      <c r="L3" s="1029"/>
      <c r="M3" s="1029"/>
      <c r="N3" s="1029"/>
      <c r="O3" s="1029"/>
      <c r="P3" s="1029"/>
      <c r="Q3" s="1029"/>
      <c r="R3" s="1030"/>
      <c r="S3" s="1078"/>
      <c r="T3" s="1079"/>
      <c r="U3" s="1059"/>
      <c r="V3" s="1060"/>
      <c r="W3" s="656" t="s">
        <v>11</v>
      </c>
      <c r="X3" s="651"/>
      <c r="Y3" s="657"/>
      <c r="Z3" s="658"/>
      <c r="AA3" s="659"/>
    </row>
    <row r="4" spans="1:28" customHeight="1" ht="6.75"/>
    <row r="5" spans="1:28" customHeight="1" ht="15">
      <c r="A5" s="1033" t="s">
        <v>12</v>
      </c>
      <c r="B5" s="1036" t="s">
        <v>13</v>
      </c>
      <c r="C5" s="1036" t="s">
        <v>14</v>
      </c>
      <c r="D5" s="1036" t="s">
        <v>15</v>
      </c>
      <c r="E5" s="1036" t="s">
        <v>16</v>
      </c>
      <c r="F5" s="660" t="s">
        <v>17</v>
      </c>
      <c r="G5" s="660" t="s">
        <v>18</v>
      </c>
      <c r="H5" s="1036" t="s">
        <v>19</v>
      </c>
      <c r="I5" s="661" t="s">
        <v>20</v>
      </c>
      <c r="J5" s="1051" t="s">
        <v>21</v>
      </c>
      <c r="K5" s="1052"/>
      <c r="L5" s="1052"/>
      <c r="M5" s="1052"/>
      <c r="N5" s="1052"/>
      <c r="O5" s="1052"/>
      <c r="P5" s="1052"/>
      <c r="Q5" s="1053"/>
      <c r="R5" s="660" t="s">
        <v>22</v>
      </c>
      <c r="S5" s="1080" t="s">
        <v>23</v>
      </c>
      <c r="T5" s="1081"/>
      <c r="U5" s="660" t="s">
        <v>24</v>
      </c>
      <c r="V5" s="1115" t="s">
        <v>25</v>
      </c>
      <c r="W5" s="1115"/>
      <c r="X5" s="660" t="s">
        <v>26</v>
      </c>
      <c r="Y5" s="1115" t="s">
        <v>27</v>
      </c>
      <c r="Z5" s="1115"/>
      <c r="AA5" s="1061" t="s">
        <v>28</v>
      </c>
    </row>
    <row r="6" spans="1:28" customHeight="1" ht="15">
      <c r="A6" s="1034"/>
      <c r="B6" s="1037"/>
      <c r="C6" s="1037"/>
      <c r="D6" s="1037"/>
      <c r="E6" s="1039"/>
      <c r="F6" s="1041" t="s">
        <v>16</v>
      </c>
      <c r="G6" s="1043" t="s">
        <v>16</v>
      </c>
      <c r="H6" s="1037"/>
      <c r="I6" s="1043" t="s">
        <v>16</v>
      </c>
      <c r="J6" s="1064" t="s">
        <v>29</v>
      </c>
      <c r="K6" s="1065"/>
      <c r="L6" s="1065"/>
      <c r="M6" s="1065"/>
      <c r="N6" s="1065"/>
      <c r="O6" s="1065"/>
      <c r="P6" s="1065"/>
      <c r="Q6" s="1066"/>
      <c r="R6" s="1043" t="s">
        <v>30</v>
      </c>
      <c r="S6" s="1043" t="s">
        <v>31</v>
      </c>
      <c r="T6" s="1074" t="s">
        <v>32</v>
      </c>
      <c r="U6" s="1043" t="s">
        <v>30</v>
      </c>
      <c r="V6" s="1067" t="s">
        <v>33</v>
      </c>
      <c r="W6" s="1074" t="s">
        <v>34</v>
      </c>
      <c r="X6" s="1043" t="s">
        <v>16</v>
      </c>
      <c r="Y6" s="1067" t="s">
        <v>16</v>
      </c>
      <c r="Z6" s="1069" t="s">
        <v>35</v>
      </c>
      <c r="AA6" s="1062"/>
    </row>
    <row r="7" spans="1:28" customHeight="1" ht="15">
      <c r="A7" s="1034"/>
      <c r="B7" s="1037"/>
      <c r="C7" s="1037"/>
      <c r="D7" s="1037"/>
      <c r="E7" s="1039"/>
      <c r="F7" s="1042"/>
      <c r="G7" s="1044"/>
      <c r="H7" s="1037"/>
      <c r="I7" s="1044"/>
      <c r="J7" s="1071" t="s">
        <v>36</v>
      </c>
      <c r="K7" s="1072"/>
      <c r="L7" s="1072"/>
      <c r="M7" s="1072"/>
      <c r="N7" s="1072"/>
      <c r="O7" s="1072"/>
      <c r="P7" s="1072"/>
      <c r="Q7" s="1073"/>
      <c r="R7" s="1044"/>
      <c r="S7" s="1044"/>
      <c r="T7" s="1082"/>
      <c r="U7" s="1044"/>
      <c r="V7" s="1068"/>
      <c r="W7" s="1075"/>
      <c r="X7" s="1044"/>
      <c r="Y7" s="1068"/>
      <c r="Z7" s="1070"/>
      <c r="AA7" s="1062"/>
    </row>
    <row r="8" spans="1:28" customHeight="1" ht="30">
      <c r="A8" s="1034"/>
      <c r="B8" s="1037"/>
      <c r="C8" s="1037"/>
      <c r="D8" s="1037"/>
      <c r="E8" s="1039"/>
      <c r="F8" s="1042"/>
      <c r="G8" s="662" t="s">
        <v>37</v>
      </c>
      <c r="H8" s="1037"/>
      <c r="I8" s="663" t="s">
        <v>38</v>
      </c>
      <c r="J8" s="1045" t="s">
        <v>35</v>
      </c>
      <c r="K8" s="1046"/>
      <c r="L8" s="1046"/>
      <c r="M8" s="1046"/>
      <c r="N8" s="1046"/>
      <c r="O8" s="1046"/>
      <c r="P8" s="1046"/>
      <c r="Q8" s="1047"/>
      <c r="R8" s="1044"/>
      <c r="S8" s="662" t="s">
        <v>39</v>
      </c>
      <c r="T8" s="1082"/>
      <c r="U8" s="1044"/>
      <c r="V8" s="664" t="s">
        <v>40</v>
      </c>
      <c r="W8" s="665" t="s">
        <v>41</v>
      </c>
      <c r="X8" s="1044"/>
      <c r="Y8" s="666" t="s">
        <v>42</v>
      </c>
      <c r="Z8" s="667" t="s">
        <v>43</v>
      </c>
      <c r="AA8" s="1062"/>
    </row>
    <row r="9" spans="1:28" customHeight="1" ht="51.75">
      <c r="A9" s="1035"/>
      <c r="B9" s="1038"/>
      <c r="C9" s="1038"/>
      <c r="D9" s="1038"/>
      <c r="E9" s="1040"/>
      <c r="F9" s="668" t="s">
        <v>44</v>
      </c>
      <c r="G9" s="669" t="s">
        <v>45</v>
      </c>
      <c r="H9" s="1038"/>
      <c r="I9" s="670" t="s">
        <v>46</v>
      </c>
      <c r="J9" s="1048" t="s">
        <v>47</v>
      </c>
      <c r="K9" s="1049"/>
      <c r="L9" s="1049"/>
      <c r="M9" s="1049"/>
      <c r="N9" s="1049"/>
      <c r="O9" s="1049"/>
      <c r="P9" s="1049"/>
      <c r="Q9" s="1050"/>
      <c r="R9" s="669" t="s">
        <v>48</v>
      </c>
      <c r="S9" s="669" t="s">
        <v>48</v>
      </c>
      <c r="T9" s="1083"/>
      <c r="U9" s="669" t="s">
        <v>48</v>
      </c>
      <c r="V9" s="671" t="s">
        <v>197</v>
      </c>
      <c r="W9" s="672" t="s">
        <v>50</v>
      </c>
      <c r="X9" s="669" t="s">
        <v>51</v>
      </c>
      <c r="Y9" s="673" t="s">
        <v>51</v>
      </c>
      <c r="Z9" s="672" t="s">
        <v>52</v>
      </c>
      <c r="AA9" s="1063"/>
    </row>
    <row r="10" spans="1:28" customHeight="1" ht="9.75">
      <c r="A10" s="674"/>
      <c r="B10" s="674"/>
      <c r="C10" s="674"/>
      <c r="D10" s="674"/>
      <c r="E10" s="674"/>
      <c r="F10" s="674"/>
      <c r="G10" s="674"/>
      <c r="H10" s="674"/>
      <c r="I10" s="674"/>
      <c r="J10" s="674"/>
      <c r="K10" s="674"/>
      <c r="L10" s="674"/>
      <c r="M10" s="674"/>
      <c r="N10" s="674"/>
      <c r="O10" s="674"/>
      <c r="P10" s="674"/>
      <c r="Q10" s="674"/>
      <c r="R10" s="674"/>
      <c r="S10" s="674"/>
      <c r="T10" s="674"/>
      <c r="U10" s="674"/>
      <c r="V10" s="674"/>
      <c r="W10" s="674"/>
      <c r="X10" s="674"/>
      <c r="Y10" s="674"/>
      <c r="Z10" s="674"/>
      <c r="AA10" s="674"/>
    </row>
    <row r="11" spans="1:28" customHeight="1" ht="12.75">
      <c r="A11" s="1014"/>
      <c r="B11" s="1017"/>
      <c r="C11" s="1020"/>
      <c r="D11" s="1023"/>
      <c r="E11" s="1017" t="s">
        <v>198</v>
      </c>
      <c r="F11" s="1102"/>
      <c r="G11" s="1097"/>
      <c r="H11" s="1098"/>
      <c r="I11" s="1020"/>
      <c r="J11" s="675"/>
      <c r="K11" s="676"/>
      <c r="L11" s="676"/>
      <c r="M11" s="676"/>
      <c r="N11" s="676"/>
      <c r="O11" s="676"/>
      <c r="P11" s="676"/>
      <c r="Q11" s="677"/>
      <c r="R11" s="1101"/>
      <c r="S11" s="678"/>
      <c r="T11" s="1104"/>
      <c r="U11" s="1101"/>
      <c r="V11" s="675"/>
      <c r="W11" s="679"/>
      <c r="X11" s="1102"/>
      <c r="Y11" s="1110"/>
      <c r="Z11" s="1113"/>
      <c r="AA11" s="1107"/>
    </row>
    <row r="12" spans="1:28">
      <c r="A12" s="1015"/>
      <c r="B12" s="1018"/>
      <c r="C12" s="1021"/>
      <c r="D12" s="1024"/>
      <c r="E12" s="1018"/>
      <c r="F12" s="1103"/>
      <c r="G12" s="1087"/>
      <c r="H12" s="1099"/>
      <c r="I12" s="1021"/>
      <c r="J12" s="1084"/>
      <c r="K12" s="1085"/>
      <c r="L12" s="1085"/>
      <c r="M12" s="1085"/>
      <c r="N12" s="1085"/>
      <c r="O12" s="1085"/>
      <c r="P12" s="1085"/>
      <c r="Q12" s="1086"/>
      <c r="R12" s="1089"/>
      <c r="S12" s="1087"/>
      <c r="T12" s="1105"/>
      <c r="U12" s="1089"/>
      <c r="V12" s="1088"/>
      <c r="W12" s="1116"/>
      <c r="X12" s="1112"/>
      <c r="Y12" s="1111"/>
      <c r="Z12" s="1114"/>
      <c r="AA12" s="1108"/>
    </row>
    <row r="13" spans="1:28">
      <c r="A13" s="1015"/>
      <c r="B13" s="1018"/>
      <c r="C13" s="1021"/>
      <c r="D13" s="1024"/>
      <c r="E13" s="1018"/>
      <c r="F13" s="1089"/>
      <c r="G13" s="680"/>
      <c r="H13" s="1099"/>
      <c r="I13" s="681"/>
      <c r="J13" s="1091"/>
      <c r="K13" s="1092"/>
      <c r="L13" s="1092"/>
      <c r="M13" s="1092"/>
      <c r="N13" s="1092"/>
      <c r="O13" s="1092"/>
      <c r="P13" s="1092"/>
      <c r="Q13" s="1093"/>
      <c r="R13" s="1089"/>
      <c r="S13" s="1087"/>
      <c r="T13" s="1105"/>
      <c r="U13" s="1089"/>
      <c r="V13" s="1088"/>
      <c r="W13" s="1116"/>
      <c r="X13" s="1103"/>
      <c r="Y13" s="682"/>
      <c r="Z13" s="683"/>
      <c r="AA13" s="1108"/>
    </row>
    <row r="14" spans="1:28" customHeight="1" ht="13.5">
      <c r="A14" s="1016"/>
      <c r="B14" s="1019"/>
      <c r="C14" s="1022"/>
      <c r="D14" s="1025"/>
      <c r="E14" s="1019"/>
      <c r="F14" s="1090"/>
      <c r="G14" s="684"/>
      <c r="H14" s="1100"/>
      <c r="I14" s="685"/>
      <c r="J14" s="1094"/>
      <c r="K14" s="1095"/>
      <c r="L14" s="1095"/>
      <c r="M14" s="1095"/>
      <c r="N14" s="1095"/>
      <c r="O14" s="1095"/>
      <c r="P14" s="1095"/>
      <c r="Q14" s="1096"/>
      <c r="R14" s="684"/>
      <c r="S14" s="686"/>
      <c r="T14" s="1106"/>
      <c r="U14" s="684"/>
      <c r="V14" s="687"/>
      <c r="W14" s="688"/>
      <c r="X14" s="684"/>
      <c r="Y14" s="689"/>
      <c r="Z14" s="690"/>
      <c r="AA14" s="1109"/>
    </row>
    <row r="16" spans="1:28">
      <c r="B16" s="643" t="s">
        <v>0</v>
      </c>
      <c r="E16" s="691"/>
      <c r="F16" s="692" t="str">
        <f>IF(F2="AMERICAN Shutters","AS",F2)</f>
        <v>0</v>
      </c>
      <c r="G16" s="693"/>
      <c r="H16" s="694"/>
    </row>
    <row r="17" spans="1:28">
      <c r="B17" s="643" t="s">
        <v>64</v>
      </c>
      <c r="F17" s="692" t="str">
        <f>F3</f>
        <v>0</v>
      </c>
      <c r="G17" s="693"/>
      <c r="H17" s="694"/>
    </row>
    <row r="18" spans="1:28">
      <c r="B18" s="643" t="s">
        <v>2</v>
      </c>
      <c r="F18" s="692" t="str">
        <f>J2</f>
        <v>0</v>
      </c>
      <c r="G18" s="693"/>
      <c r="H18" s="694"/>
    </row>
    <row r="19" spans="1:28">
      <c r="B19" s="643" t="s">
        <v>10</v>
      </c>
      <c r="F19" s="692" t="str">
        <f>J3</f>
        <v>0</v>
      </c>
      <c r="G19" s="693"/>
      <c r="H19" s="694"/>
    </row>
    <row r="20" spans="1:28">
      <c r="B20" s="643" t="s">
        <v>65</v>
      </c>
      <c r="F20" s="692" t="str">
        <f>A11</f>
        <v>0</v>
      </c>
      <c r="G20" s="693"/>
      <c r="H20" s="694"/>
    </row>
    <row r="21" spans="1:28">
      <c r="B21" s="643" t="s">
        <v>66</v>
      </c>
      <c r="F21" s="692" t="str">
        <f>B11</f>
        <v>0</v>
      </c>
      <c r="G21" s="693"/>
      <c r="H21" s="694"/>
    </row>
    <row r="22" spans="1:28">
      <c r="B22" s="643" t="s">
        <v>14</v>
      </c>
      <c r="F22" s="692" t="str">
        <f>C11</f>
        <v>0</v>
      </c>
      <c r="G22" s="693"/>
      <c r="H22" s="694"/>
    </row>
    <row r="23" spans="1:28">
      <c r="B23" s="643" t="s">
        <v>15</v>
      </c>
      <c r="F23" s="692" t="str">
        <f>D11</f>
        <v>0</v>
      </c>
      <c r="G23" s="693"/>
      <c r="H23" s="694"/>
    </row>
    <row r="24" spans="1:28">
      <c r="B24" s="643" t="s">
        <v>67</v>
      </c>
      <c r="F24" s="692" t="str">
        <f>U2</f>
        <v>0</v>
      </c>
      <c r="G24" s="693"/>
      <c r="H24" s="694"/>
    </row>
    <row r="25" spans="1:28" customHeight="1" ht="6.75"/>
    <row r="26" spans="1:28">
      <c r="B26" s="643" t="s">
        <v>68</v>
      </c>
      <c r="F26" s="692" t="str">
        <f>F11</f>
        <v>0</v>
      </c>
      <c r="G26" s="693"/>
      <c r="H26" s="694"/>
    </row>
    <row r="27" spans="1:28">
      <c r="B27" s="643" t="s">
        <v>69</v>
      </c>
      <c r="F27" s="692" t="str">
        <f>F13</f>
        <v>0</v>
      </c>
      <c r="G27" s="693"/>
      <c r="H27" s="694"/>
    </row>
    <row r="28" spans="1:28" customHeight="1" ht="6.75"/>
    <row r="29" spans="1:28">
      <c r="B29" s="643" t="s">
        <v>70</v>
      </c>
      <c r="F29" s="692" t="str">
        <f>G11</f>
        <v>0</v>
      </c>
      <c r="G29" s="693"/>
      <c r="H29" s="694"/>
    </row>
    <row r="30" spans="1:28">
      <c r="B30" s="643" t="s">
        <v>71</v>
      </c>
      <c r="F30" s="692" t="str">
        <f>G13</f>
        <v>0</v>
      </c>
      <c r="G30" s="693"/>
      <c r="H30" s="694"/>
    </row>
    <row r="31" spans="1:28">
      <c r="B31" s="643" t="s">
        <v>199</v>
      </c>
      <c r="F31" s="692" t="str">
        <f>G14</f>
        <v>0</v>
      </c>
      <c r="G31" s="693"/>
      <c r="H31" s="694"/>
    </row>
    <row r="32" spans="1:28" customHeight="1" ht="6.75"/>
    <row r="33" spans="1:28">
      <c r="B33" s="643" t="s">
        <v>19</v>
      </c>
      <c r="F33" s="692" t="str">
        <f>H11</f>
        <v>0</v>
      </c>
      <c r="G33" s="693"/>
      <c r="H33" s="694"/>
    </row>
    <row r="34" spans="1:28" customHeight="1" ht="6.75"/>
    <row r="35" spans="1:28">
      <c r="B35" s="643" t="s">
        <v>72</v>
      </c>
      <c r="F35" s="692" t="str">
        <f>I11</f>
        <v>0</v>
      </c>
      <c r="G35" s="693"/>
      <c r="H35" s="694"/>
    </row>
    <row r="36" spans="1:28">
      <c r="B36" s="643" t="s">
        <v>73</v>
      </c>
      <c r="F36" s="692" t="str">
        <f>I13</f>
        <v>0</v>
      </c>
      <c r="G36" s="693"/>
      <c r="H36" s="694"/>
    </row>
    <row r="37" spans="1:28">
      <c r="B37" s="643" t="s">
        <v>74</v>
      </c>
      <c r="F37" s="692" t="str">
        <f>I14</f>
        <v>0</v>
      </c>
      <c r="G37" s="693"/>
      <c r="H37" s="694"/>
    </row>
    <row r="38" spans="1:28" customHeight="1" ht="6.75"/>
    <row r="39" spans="1:28">
      <c r="B39" s="643" t="s">
        <v>75</v>
      </c>
      <c r="F39" s="695" t="str">
        <f>TRIM(J39&amp;K39&amp;" "&amp;L39&amp;M39&amp;" "&amp;N39&amp;O39&amp;" "&amp;P39&amp;Q39&amp;" "&amp;R39&amp;S39&amp;" "&amp;T39&amp;U39)</f>
        <v>0</v>
      </c>
      <c r="G39" s="696"/>
      <c r="H39" s="697"/>
      <c r="J39" s="698" t="str">
        <f>IF(COUNTBLANK(J11)=0,J11,"")</f>
        <v>0</v>
      </c>
      <c r="K39" s="698" t="str">
        <f>IF(COUNTBLANK(K11)=0,K11,"")</f>
        <v>0</v>
      </c>
      <c r="L39" s="698" t="str">
        <f>IF(COUNTBLANK(L11)=0,L11,"")</f>
        <v>0</v>
      </c>
      <c r="M39" s="698" t="str">
        <f>IF(COUNTBLANK(M11)=0,M11,"")</f>
        <v>0</v>
      </c>
      <c r="N39" s="698" t="str">
        <f>IF(COUNTBLANK(N11)=0,N11,"")</f>
        <v>0</v>
      </c>
      <c r="O39" s="698" t="str">
        <f>IF(COUNTBLANK(O11)=0,O11,"")</f>
        <v>0</v>
      </c>
      <c r="P39" s="698" t="str">
        <f>IF(COUNTBLANK(P11)=0,P11,"")</f>
        <v>0</v>
      </c>
      <c r="Q39" s="698" t="str">
        <f>IF(COUNTBLANK(Q11)=0,Q11,"")</f>
        <v>0</v>
      </c>
      <c r="R39" s="698"/>
      <c r="S39" s="698"/>
      <c r="T39" s="698"/>
      <c r="U39" s="698"/>
    </row>
    <row r="40" spans="1:28">
      <c r="B40" s="643" t="s">
        <v>76</v>
      </c>
      <c r="F40" s="692" t="str">
        <f>J13</f>
        <v>0</v>
      </c>
      <c r="G40" s="693"/>
      <c r="H40" s="694"/>
    </row>
    <row r="41" spans="1:28">
      <c r="B41" s="643" t="s">
        <v>200</v>
      </c>
      <c r="F41" s="692" t="str">
        <f>J14</f>
        <v>0</v>
      </c>
      <c r="G41" s="693"/>
      <c r="H41" s="694"/>
    </row>
    <row r="42" spans="1:28" customHeight="1" ht="6.75"/>
    <row r="43" spans="1:28">
      <c r="B43" s="643" t="s">
        <v>77</v>
      </c>
      <c r="F43" s="692" t="str">
        <f>R11</f>
        <v>0</v>
      </c>
      <c r="G43" s="693"/>
      <c r="H43" s="694"/>
    </row>
    <row r="44" spans="1:28">
      <c r="B44" s="643" t="s">
        <v>78</v>
      </c>
      <c r="F44" s="692" t="str">
        <f>R14</f>
        <v>0</v>
      </c>
      <c r="G44" s="693"/>
      <c r="H44" s="694"/>
    </row>
    <row r="45" spans="1:28" customHeight="1" ht="6.75"/>
    <row r="46" spans="1:28">
      <c r="B46" s="643" t="s">
        <v>79</v>
      </c>
      <c r="F46" s="692" t="str">
        <f>S11</f>
        <v>0</v>
      </c>
      <c r="G46" s="693"/>
      <c r="H46" s="694"/>
    </row>
    <row r="47" spans="1:28">
      <c r="B47" s="643" t="s">
        <v>80</v>
      </c>
      <c r="F47" s="692" t="str">
        <f>S12</f>
        <v>0</v>
      </c>
      <c r="G47" s="693"/>
      <c r="H47" s="694"/>
    </row>
    <row r="48" spans="1:28">
      <c r="B48" s="643" t="s">
        <v>81</v>
      </c>
      <c r="F48" s="692" t="str">
        <f>S14</f>
        <v>0</v>
      </c>
      <c r="G48" s="693"/>
      <c r="H48" s="694"/>
    </row>
    <row r="49" spans="1:28" customHeight="1" ht="15">
      <c r="B49" s="643" t="s">
        <v>32</v>
      </c>
      <c r="C49" s="699"/>
      <c r="D49" s="699"/>
      <c r="E49" s="699"/>
      <c r="F49" s="692" t="str">
        <f>T11</f>
        <v>0</v>
      </c>
      <c r="G49" s="693"/>
      <c r="H49" s="694"/>
    </row>
    <row r="50" spans="1:28" customHeight="1" ht="6.75"/>
    <row r="51" spans="1:28">
      <c r="B51" s="643" t="s">
        <v>82</v>
      </c>
      <c r="F51" s="692" t="str">
        <f>U11</f>
        <v>0</v>
      </c>
      <c r="G51" s="693"/>
      <c r="H51" s="694"/>
    </row>
    <row r="52" spans="1:28">
      <c r="B52" s="700" t="s">
        <v>83</v>
      </c>
      <c r="F52" s="692" t="str">
        <f>U14</f>
        <v>0</v>
      </c>
      <c r="G52" s="693"/>
      <c r="H52" s="694"/>
    </row>
    <row r="53" spans="1:28" customHeight="1" ht="6.75"/>
    <row r="54" spans="1:28">
      <c r="B54" s="643" t="s">
        <v>201</v>
      </c>
      <c r="F54" s="692" t="str">
        <f>V11</f>
        <v>0</v>
      </c>
      <c r="G54" s="693"/>
      <c r="H54" s="694"/>
    </row>
    <row r="55" spans="1:28">
      <c r="B55" s="643" t="s">
        <v>202</v>
      </c>
      <c r="F55" s="692" t="str">
        <f>V12</f>
        <v>0</v>
      </c>
      <c r="G55" s="693"/>
      <c r="H55" s="694"/>
    </row>
    <row r="56" spans="1:28">
      <c r="B56" s="643" t="s">
        <v>203</v>
      </c>
      <c r="F56" s="692" t="str">
        <f>W12</f>
        <v>0</v>
      </c>
      <c r="G56" s="693"/>
      <c r="H56" s="694"/>
    </row>
    <row r="57" spans="1:28">
      <c r="B57" s="643" t="s">
        <v>204</v>
      </c>
      <c r="F57" s="692" t="str">
        <f>W11</f>
        <v>0</v>
      </c>
      <c r="G57" s="693"/>
      <c r="H57" s="694"/>
    </row>
    <row r="58" spans="1:28" customHeight="1" ht="6.75"/>
    <row r="59" spans="1:28">
      <c r="B59" s="643" t="s">
        <v>205</v>
      </c>
      <c r="F59" s="692" t="str">
        <f>X11</f>
        <v>0</v>
      </c>
      <c r="G59" s="693"/>
      <c r="H59" s="694"/>
    </row>
    <row r="60" spans="1:28">
      <c r="B60" s="643" t="s">
        <v>206</v>
      </c>
      <c r="F60" s="692" t="str">
        <f>X14</f>
        <v>0</v>
      </c>
      <c r="G60" s="693"/>
      <c r="H60" s="694"/>
    </row>
    <row r="61" spans="1:28" customHeight="1" ht="6.75"/>
    <row r="62" spans="1:28">
      <c r="B62" s="643" t="s">
        <v>207</v>
      </c>
      <c r="F62" s="692" t="str">
        <f>W14</f>
        <v>0</v>
      </c>
      <c r="G62" s="693"/>
      <c r="H62" s="694"/>
    </row>
    <row r="63" spans="1:28" customHeight="1" ht="6.75"/>
    <row r="64" spans="1:28">
      <c r="B64" s="643" t="s">
        <v>208</v>
      </c>
      <c r="F64" s="692" t="str">
        <f>Y11</f>
        <v>0</v>
      </c>
      <c r="G64" s="693"/>
      <c r="H64" s="694"/>
    </row>
    <row r="65" spans="1:28">
      <c r="B65" s="643" t="s">
        <v>209</v>
      </c>
      <c r="F65" s="692" t="str">
        <f>Y14</f>
        <v>0</v>
      </c>
      <c r="G65" s="693"/>
      <c r="H65" s="694"/>
    </row>
    <row r="66" spans="1:28">
      <c r="B66" s="643" t="s">
        <v>210</v>
      </c>
      <c r="F66" s="692" t="str">
        <f>Y13</f>
        <v>0</v>
      </c>
      <c r="G66" s="693"/>
      <c r="H66" s="694"/>
    </row>
    <row r="67" spans="1:28">
      <c r="B67" s="643" t="s">
        <v>211</v>
      </c>
      <c r="F67" s="692" t="str">
        <f>Z11</f>
        <v>0</v>
      </c>
      <c r="G67" s="693"/>
      <c r="H67" s="694"/>
    </row>
    <row r="68" spans="1:28">
      <c r="B68" s="643" t="s">
        <v>212</v>
      </c>
      <c r="F68" s="692" t="str">
        <f>Z13</f>
        <v>0</v>
      </c>
      <c r="G68" s="693"/>
      <c r="H68" s="694"/>
    </row>
    <row r="69" spans="1:28">
      <c r="B69" s="643" t="s">
        <v>213</v>
      </c>
      <c r="F69" s="692" t="str">
        <f>Z14</f>
        <v>0</v>
      </c>
      <c r="G69" s="693"/>
      <c r="H69" s="694"/>
    </row>
    <row r="70" spans="1:28" customHeight="1" ht="6.75"/>
    <row r="71" spans="1:28">
      <c r="B71" s="643" t="s">
        <v>28</v>
      </c>
      <c r="F71" s="692" t="str">
        <f>AA11</f>
        <v>0</v>
      </c>
      <c r="G71" s="693"/>
      <c r="H71" s="69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" priority="1" operator="greaterThan">
      <formula>1</formula>
    </cfRule>
  </conditionalFormatting>
  <conditionalFormatting sqref="G14">
    <cfRule type="expression" dxfId="2" priority="2">
      <formula>IFERROR(SEARCH("custom",G11),999)&gt;100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J11">
    <cfRule type="expression" dxfId="3" priority="4">
      <formula>OR($E11="Hinged",$E11="By-Pass")</formula>
    </cfRule>
  </conditionalFormatting>
  <conditionalFormatting sqref="K11">
    <cfRule type="expression" dxfId="3" priority="5">
      <formula>OR($E11="Hinged",$E11="By-Pass")</formula>
    </cfRule>
  </conditionalFormatting>
  <conditionalFormatting sqref="L11">
    <cfRule type="expression" dxfId="3" priority="6">
      <formula>OR($E11="Hinged",$E11="By-Pass")</formula>
    </cfRule>
  </conditionalFormatting>
  <conditionalFormatting sqref="M11">
    <cfRule type="expression" dxfId="3" priority="7">
      <formula>OR($E11="Hinged",$E11="By-Pass")</formula>
    </cfRule>
  </conditionalFormatting>
  <conditionalFormatting sqref="N11">
    <cfRule type="expression" dxfId="3" priority="8">
      <formula>OR($E11="Hinged",$E11="By-Pass")</formula>
    </cfRule>
  </conditionalFormatting>
  <conditionalFormatting sqref="O11">
    <cfRule type="expression" dxfId="3" priority="9">
      <formula>OR($E11="Hinged",$E11="By-Pass")</formula>
    </cfRule>
  </conditionalFormatting>
  <conditionalFormatting sqref="P11">
    <cfRule type="expression" dxfId="3" priority="10">
      <formula>OR($E11="Hinged",$E11="By-Pass")</formula>
    </cfRule>
  </conditionalFormatting>
  <conditionalFormatting sqref="Q11">
    <cfRule type="expression" dxfId="3" priority="11">
      <formula>OR($E11="Hinged",$E11="By-Pass")</formula>
    </cfRule>
  </conditionalFormatting>
  <conditionalFormatting sqref="J12">
    <cfRule type="expression" dxfId="4" priority="12">
      <formula>NOT(OR($E11="Hinged",$E11="By-Pass"))</formula>
    </cfRule>
  </conditionalFormatting>
  <conditionalFormatting sqref="J14">
    <cfRule type="expression" dxfId="3" priority="13">
      <formula>OR($E11="Hinged",$E11="By-Pass")</formula>
    </cfRule>
  </conditionalFormatting>
  <conditionalFormatting sqref="R14">
    <cfRule type="expression" dxfId="5" priority="14">
      <formula>IFERROR(SEARCH("custom",R11),999)&gt;100</formula>
    </cfRule>
  </conditionalFormatting>
  <conditionalFormatting sqref="U14">
    <cfRule type="expression" dxfId="6" priority="15">
      <formula>IFERROR(SEARCH("custom",U11),999)&gt;100</formula>
    </cfRule>
  </conditionalFormatting>
  <conditionalFormatting sqref="V11">
    <cfRule type="expression" dxfId="7" priority="16">
      <formula>$E11="Hinged"</formula>
    </cfRule>
  </conditionalFormatting>
  <conditionalFormatting sqref="X14">
    <cfRule type="expression" dxfId="7" priority="17">
      <formula>$E11="Hinged"</formula>
    </cfRule>
  </conditionalFormatting>
  <conditionalFormatting sqref="X14">
    <cfRule type="expression" dxfId="8" priority="18">
      <formula>IFERROR(SEARCH("custom",X11),999)&gt;100</formula>
    </cfRule>
  </conditionalFormatting>
  <conditionalFormatting sqref="Y14">
    <cfRule type="expression" dxfId="7" priority="19">
      <formula>$E11="Hinged"</formula>
    </cfRule>
  </conditionalFormatting>
  <conditionalFormatting sqref="Y14">
    <cfRule type="expression" dxfId="8" priority="20">
      <formula>IFERROR(SEARCH("custom",X11),999)&gt;100</formula>
    </cfRule>
  </conditionalFormatting>
  <conditionalFormatting sqref="V12">
    <cfRule type="expression" dxfId="7" priority="21">
      <formula>$E11="Hinged"</formula>
    </cfRule>
  </conditionalFormatting>
  <conditionalFormatting sqref="V13">
    <cfRule type="expression" dxfId="7" priority="22">
      <formula>$E11="Hinged"</formula>
    </cfRule>
  </conditionalFormatting>
  <conditionalFormatting sqref="V14">
    <cfRule type="expression" dxfId="9" priority="23">
      <formula>OR($E11="Hinged",$E11="Bi-Fold")</formula>
    </cfRule>
  </conditionalFormatting>
  <conditionalFormatting sqref="X11">
    <cfRule type="expression" dxfId="7" priority="24">
      <formula>$E11="Hinged"</formula>
    </cfRule>
  </conditionalFormatting>
  <conditionalFormatting sqref="X11">
    <cfRule type="expression" dxfId="7" priority="25">
      <formula>$E11="Hinged"</formula>
    </cfRule>
  </conditionalFormatting>
  <conditionalFormatting sqref="X12">
    <cfRule type="expression" dxfId="7" priority="26">
      <formula>$E11="Hinged"</formula>
    </cfRule>
  </conditionalFormatting>
  <conditionalFormatting sqref="X12">
    <cfRule type="expression" dxfId="7" priority="27">
      <formula>$E11="Hinged"</formula>
    </cfRule>
  </conditionalFormatting>
  <conditionalFormatting sqref="X13">
    <cfRule type="expression" dxfId="7" priority="28">
      <formula>$E11="Hinged"</formula>
    </cfRule>
  </conditionalFormatting>
  <conditionalFormatting sqref="X13">
    <cfRule type="expression" dxfId="7" priority="29">
      <formula>$E11="Hinged"</formula>
    </cfRule>
  </conditionalFormatting>
  <conditionalFormatting sqref="Y11">
    <cfRule type="expression" dxfId="7" priority="30">
      <formula>$E11="Hinged"</formula>
    </cfRule>
  </conditionalFormatting>
  <conditionalFormatting sqref="Y12">
    <cfRule type="expression" dxfId="7" priority="31">
      <formula>$E11="Hinged"</formula>
    </cfRule>
  </conditionalFormatting>
  <conditionalFormatting sqref="Y13">
    <cfRule type="expression" dxfId="7" priority="32">
      <formula>$E11="Hinged"</formula>
    </cfRule>
  </conditionalFormatting>
  <conditionalFormatting sqref="Z11">
    <cfRule type="expression" dxfId="7" priority="33">
      <formula>$E11="Hinged"</formula>
    </cfRule>
  </conditionalFormatting>
  <conditionalFormatting sqref="Z12">
    <cfRule type="expression" dxfId="7" priority="34">
      <formula>$E11="Hinged"</formula>
    </cfRule>
  </conditionalFormatting>
  <conditionalFormatting sqref="Z13">
    <cfRule type="expression" dxfId="7" priority="35">
      <formula>$E11="Hinged"</formula>
    </cfRule>
  </conditionalFormatting>
  <conditionalFormatting sqref="Z14">
    <cfRule type="expression" dxfId="7" priority="36">
      <formula>$E11="Hinged"</formula>
    </cfRule>
  </conditionalFormatting>
  <conditionalFormatting sqref="W11">
    <cfRule type="expression" dxfId="7" priority="37">
      <formula>$E11="Hinged"</formula>
    </cfRule>
  </conditionalFormatting>
  <conditionalFormatting sqref="W12">
    <cfRule type="expression" dxfId="7" priority="38">
      <formula>$E11="Hinged"</formula>
    </cfRule>
  </conditionalFormatting>
  <conditionalFormatting sqref="W13">
    <cfRule type="expression" dxfId="7" priority="39">
      <formula>$E11="Hinged"</formula>
    </cfRule>
  </conditionalFormatting>
  <conditionalFormatting sqref="W14">
    <cfRule type="expression" dxfId="7" priority="40">
      <formula>$E11="Hinged"</formula>
    </cfRule>
  </conditionalFormatting>
  <conditionalFormatting sqref="S14">
    <cfRule type="expression" dxfId="10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214</v>
      </c>
      <c r="B1" s="2"/>
      <c r="C1" s="2"/>
    </row>
    <row r="2" spans="1:10" customHeight="1" ht="15">
      <c r="A2" s="4" t="s">
        <v>85</v>
      </c>
      <c r="B2" s="2"/>
      <c r="C2" s="2"/>
    </row>
    <row r="3" spans="1:10">
      <c r="A3" s="2"/>
      <c r="B3" s="2"/>
      <c r="C3" s="2"/>
    </row>
    <row r="4" spans="1:10">
      <c r="A4" s="1" t="s">
        <v>86</v>
      </c>
      <c r="B4" s="10" t="str">
        <f>'BF - INPUT'!F36</f>
        <v>0</v>
      </c>
    </row>
    <row r="5" spans="1:10">
      <c r="A5" s="1" t="s">
        <v>87</v>
      </c>
      <c r="B5" s="11" t="str">
        <f>'BF - INPUT'!F37</f>
        <v>0</v>
      </c>
    </row>
    <row r="6" spans="1:10">
      <c r="A6" s="1" t="s">
        <v>88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89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90</v>
      </c>
      <c r="B8" s="12" t="str">
        <f>B4+B6</f>
        <v>0</v>
      </c>
    </row>
    <row r="9" spans="1:10">
      <c r="A9" s="1" t="s">
        <v>91</v>
      </c>
      <c r="B9" s="13" t="str">
        <f>B5+B7</f>
        <v>0</v>
      </c>
    </row>
    <row r="11" spans="1:10">
      <c r="B11" t="s">
        <v>215</v>
      </c>
      <c r="E11" s="458">
        <v>0</v>
      </c>
    </row>
    <row r="12" spans="1:10">
      <c r="B12" t="s">
        <v>216</v>
      </c>
      <c r="E12" s="458">
        <v>2</v>
      </c>
    </row>
    <row r="13" spans="1:10">
      <c r="B13" t="s">
        <v>217</v>
      </c>
      <c r="E13" s="458">
        <v>90</v>
      </c>
    </row>
    <row r="14" spans="1:10">
      <c r="B14" t="s">
        <v>218</v>
      </c>
      <c r="E14" s="458">
        <v>66</v>
      </c>
    </row>
    <row r="15" spans="1:10" customHeight="1" ht="12.75"/>
    <row r="16" spans="1:10" customHeight="1" ht="12.75">
      <c r="B16" s="1117" t="s">
        <v>58</v>
      </c>
      <c r="C16" s="1118"/>
      <c r="D16" s="1118"/>
      <c r="E16" s="1119"/>
    </row>
    <row r="17" spans="1:10" customHeight="1" ht="12.75">
      <c r="B17" s="1120" t="s">
        <v>94</v>
      </c>
      <c r="C17" s="1011"/>
      <c r="D17" s="1120" t="s">
        <v>95</v>
      </c>
      <c r="E17" s="1011"/>
    </row>
    <row r="18" spans="1:10">
      <c r="A18" s="542" t="s">
        <v>150</v>
      </c>
      <c r="B18" s="535" t="s">
        <v>96</v>
      </c>
      <c r="C18" s="537" t="s">
        <v>97</v>
      </c>
      <c r="D18" s="535" t="s">
        <v>96</v>
      </c>
      <c r="E18" s="537" t="s">
        <v>97</v>
      </c>
    </row>
    <row r="19" spans="1:10">
      <c r="A19" s="543" t="s">
        <v>62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152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153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98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173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174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219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220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221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214</v>
      </c>
      <c r="B1" s="2"/>
      <c r="C1" s="2"/>
      <c r="D1" s="2"/>
    </row>
    <row r="2" spans="1:15" customHeight="1" ht="15">
      <c r="A2" s="4" t="s">
        <v>222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90</v>
      </c>
      <c r="B4" s="14" t="str">
        <f>'Opening BF'!B8</f>
        <v>0</v>
      </c>
    </row>
    <row r="5" spans="1:15">
      <c r="A5" s="1" t="s">
        <v>91</v>
      </c>
      <c r="B5" s="15" t="str">
        <f>'Opening BF'!B9</f>
        <v>0</v>
      </c>
    </row>
    <row r="6" spans="1:15">
      <c r="A6" s="9" t="s">
        <v>123</v>
      </c>
      <c r="B6" s="14" t="str">
        <f>'BF - INPUT'!F40</f>
        <v>0</v>
      </c>
    </row>
    <row r="7" spans="1:15">
      <c r="A7" s="9" t="s">
        <v>126</v>
      </c>
      <c r="B7" s="16" t="str">
        <f>K16</f>
        <v>0</v>
      </c>
    </row>
    <row r="8" spans="1:15">
      <c r="A8" s="9" t="s">
        <v>127</v>
      </c>
      <c r="B8" s="17" t="str">
        <f>K21</f>
        <v>0</v>
      </c>
    </row>
    <row r="9" spans="1:15">
      <c r="A9" s="9" t="s">
        <v>128</v>
      </c>
      <c r="B9" s="19" t="str">
        <f>ROUNDDOWN((B4+B7)/B6,0)</f>
        <v>0</v>
      </c>
      <c r="C9" s="18" t="s">
        <v>129</v>
      </c>
      <c r="D9" s="18"/>
    </row>
    <row r="10" spans="1:15">
      <c r="A10" s="9" t="s">
        <v>130</v>
      </c>
      <c r="B10" s="20" t="str">
        <f>ROUNDDOWN(B5+B8,0)</f>
        <v>0</v>
      </c>
      <c r="C10" s="18" t="s">
        <v>129</v>
      </c>
      <c r="D10" s="18"/>
    </row>
    <row r="12" spans="1:15">
      <c r="F12" s="209"/>
    </row>
    <row r="13" spans="1:15" customHeight="1" ht="12.75">
      <c r="B13" s="5" t="s">
        <v>132</v>
      </c>
    </row>
    <row r="14" spans="1:15" customHeight="1" ht="48.75">
      <c r="B14" s="38" t="s">
        <v>223</v>
      </c>
      <c r="C14" s="39" t="s">
        <v>224</v>
      </c>
      <c r="D14" s="39" t="s">
        <v>225</v>
      </c>
      <c r="E14" s="39" t="s">
        <v>133</v>
      </c>
      <c r="F14" s="39" t="s">
        <v>226</v>
      </c>
      <c r="G14" s="39" t="s">
        <v>227</v>
      </c>
      <c r="H14" s="39" t="s">
        <v>228</v>
      </c>
      <c r="I14" s="40" t="s">
        <v>229</v>
      </c>
      <c r="K14" s="41" t="s">
        <v>230</v>
      </c>
    </row>
    <row r="15" spans="1:15" customHeight="1" ht="12.75">
      <c r="B15" s="48"/>
      <c r="C15" s="200">
        <v>-8</v>
      </c>
      <c r="D15" s="201">
        <v>-4</v>
      </c>
      <c r="E15" s="310">
        <v>-3.25</v>
      </c>
      <c r="F15" s="201">
        <v>-3.5</v>
      </c>
      <c r="G15" s="201">
        <v>-4</v>
      </c>
      <c r="H15" s="202">
        <v>-8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136</v>
      </c>
      <c r="F18" s="209"/>
    </row>
    <row r="19" spans="1:15" customHeight="1" ht="24.75">
      <c r="B19" s="38" t="str">
        <f>'BF - INPUT'!F54</f>
        <v>0</v>
      </c>
      <c r="C19" s="39" t="s">
        <v>231</v>
      </c>
      <c r="D19" s="39" t="s">
        <v>232</v>
      </c>
      <c r="E19" s="78" t="str">
        <f>'BF - INPUT'!F56</f>
        <v>0</v>
      </c>
      <c r="F19" s="40" t="s">
        <v>26</v>
      </c>
      <c r="K19" s="41" t="s">
        <v>230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23" t="s">
        <v>233</v>
      </c>
      <c r="D24" s="1124"/>
      <c r="E24" s="1124"/>
      <c r="F24" s="1124"/>
      <c r="G24" s="1124"/>
      <c r="H24" s="1125"/>
      <c r="I24" s="48"/>
      <c r="J24" s="48"/>
      <c r="K24" s="48"/>
      <c r="L24" s="48"/>
      <c r="M24" s="48"/>
      <c r="O24" s="23"/>
    </row>
    <row r="25" spans="1:15">
      <c r="B25" s="49"/>
      <c r="C25" s="50" t="s">
        <v>234</v>
      </c>
      <c r="D25" s="50" t="s">
        <v>235</v>
      </c>
      <c r="E25" s="50" t="s">
        <v>236</v>
      </c>
      <c r="F25" s="50" t="s">
        <v>237</v>
      </c>
      <c r="G25" s="50" t="s">
        <v>238</v>
      </c>
      <c r="H25" s="50" t="s">
        <v>239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66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240</v>
      </c>
      <c r="C29" s="51">
        <v>0</v>
      </c>
      <c r="D29" s="6"/>
      <c r="L29" s="6"/>
    </row>
    <row r="30" spans="1:15" customHeight="1" ht="12">
      <c r="B30" s="49" t="s">
        <v>241</v>
      </c>
      <c r="C30" s="51">
        <v>0</v>
      </c>
      <c r="D30" s="6"/>
      <c r="E30" s="1126" t="s">
        <v>242</v>
      </c>
      <c r="F30" s="1127"/>
      <c r="G30" s="1127"/>
      <c r="H30" s="1127"/>
      <c r="I30" s="1127"/>
      <c r="J30" s="1128"/>
    </row>
    <row r="31" spans="1:15" customHeight="1" ht="12.75">
      <c r="B31" s="49" t="s">
        <v>243</v>
      </c>
      <c r="C31" s="51">
        <v>1</v>
      </c>
      <c r="D31" s="6"/>
      <c r="E31" s="1121" t="s">
        <v>244</v>
      </c>
      <c r="F31" s="1122"/>
      <c r="G31" s="293" t="s">
        <v>245</v>
      </c>
      <c r="H31" s="293" t="s">
        <v>246</v>
      </c>
      <c r="I31" s="293" t="s">
        <v>247</v>
      </c>
      <c r="J31" s="27" t="s">
        <v>248</v>
      </c>
    </row>
    <row r="32" spans="1:15">
      <c r="B32" s="49" t="s">
        <v>249</v>
      </c>
      <c r="C32" s="51">
        <v>1</v>
      </c>
      <c r="D32" s="6"/>
      <c r="E32" s="56" t="s">
        <v>250</v>
      </c>
      <c r="F32" s="57"/>
      <c r="G32" s="31" t="s">
        <v>62</v>
      </c>
      <c r="H32" s="105" t="str">
        <f>E32&amp;G32</f>
        <v>0</v>
      </c>
      <c r="I32" s="74" t="s">
        <v>192</v>
      </c>
      <c r="J32" s="30" t="s">
        <v>192</v>
      </c>
      <c r="K32" s="23"/>
    </row>
    <row r="33" spans="1:15">
      <c r="B33" s="49" t="s">
        <v>251</v>
      </c>
      <c r="C33" s="51">
        <v>1</v>
      </c>
      <c r="D33" s="6"/>
      <c r="E33" s="59" t="s">
        <v>252</v>
      </c>
      <c r="F33" s="60"/>
      <c r="G33" s="185" t="s">
        <v>152</v>
      </c>
      <c r="H33" s="105" t="str">
        <f>E33&amp;G33</f>
        <v>0</v>
      </c>
      <c r="I33" s="58">
        <v>34</v>
      </c>
      <c r="J33" s="30" t="s">
        <v>192</v>
      </c>
      <c r="K33" s="23"/>
    </row>
    <row r="34" spans="1:15">
      <c r="B34" s="49" t="s">
        <v>253</v>
      </c>
      <c r="C34" s="51">
        <v>1</v>
      </c>
      <c r="D34" s="6"/>
      <c r="E34" s="59" t="s">
        <v>252</v>
      </c>
      <c r="F34" s="60"/>
      <c r="G34" s="185" t="s">
        <v>153</v>
      </c>
      <c r="H34" s="105" t="str">
        <f>E34&amp;G34</f>
        <v>0</v>
      </c>
      <c r="I34" s="74" t="s">
        <v>192</v>
      </c>
      <c r="J34" s="36">
        <v>34</v>
      </c>
      <c r="K34" s="23"/>
    </row>
    <row r="35" spans="1:15">
      <c r="B35" s="49" t="s">
        <v>254</v>
      </c>
      <c r="C35" s="51">
        <v>2</v>
      </c>
      <c r="D35" s="6"/>
      <c r="E35" s="59" t="s">
        <v>252</v>
      </c>
      <c r="F35" s="60"/>
      <c r="G35" s="185" t="s">
        <v>98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255</v>
      </c>
      <c r="C36" s="51">
        <v>2</v>
      </c>
      <c r="D36" s="6"/>
      <c r="E36" s="59" t="s">
        <v>256</v>
      </c>
      <c r="F36" s="60"/>
      <c r="G36" s="185" t="s">
        <v>152</v>
      </c>
      <c r="H36" s="105" t="str">
        <f>E36&amp;G36</f>
        <v>0</v>
      </c>
      <c r="I36" s="58">
        <v>34</v>
      </c>
      <c r="J36" s="30" t="s">
        <v>192</v>
      </c>
      <c r="K36" s="23"/>
    </row>
    <row r="37" spans="1:15">
      <c r="B37" s="49" t="s">
        <v>257</v>
      </c>
      <c r="C37" s="51">
        <v>2</v>
      </c>
      <c r="D37" s="6"/>
      <c r="E37" s="59" t="s">
        <v>256</v>
      </c>
      <c r="F37" s="60"/>
      <c r="G37" s="185" t="s">
        <v>153</v>
      </c>
      <c r="H37" s="105" t="str">
        <f>E37&amp;G37</f>
        <v>0</v>
      </c>
      <c r="I37" s="74" t="s">
        <v>192</v>
      </c>
      <c r="J37" s="36">
        <v>34</v>
      </c>
      <c r="K37" s="23"/>
    </row>
    <row r="38" spans="1:15">
      <c r="B38" s="49" t="s">
        <v>258</v>
      </c>
      <c r="C38" s="51">
        <v>2</v>
      </c>
      <c r="D38" s="6"/>
      <c r="E38" s="59" t="s">
        <v>256</v>
      </c>
      <c r="F38" s="60"/>
      <c r="G38" s="185" t="s">
        <v>98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259</v>
      </c>
      <c r="C39" s="51">
        <v>3</v>
      </c>
      <c r="D39" s="6"/>
      <c r="E39" s="59" t="s">
        <v>256</v>
      </c>
      <c r="F39" s="60"/>
      <c r="G39" s="185" t="s">
        <v>173</v>
      </c>
      <c r="H39" s="105" t="str">
        <f>E39&amp;G39</f>
        <v>0</v>
      </c>
      <c r="I39" s="58">
        <v>34</v>
      </c>
      <c r="J39" s="30" t="s">
        <v>192</v>
      </c>
      <c r="K39" s="23"/>
    </row>
    <row r="40" spans="1:15">
      <c r="B40" s="49" t="s">
        <v>260</v>
      </c>
      <c r="C40" s="51">
        <v>3</v>
      </c>
      <c r="D40" s="6"/>
      <c r="E40" s="59" t="s">
        <v>256</v>
      </c>
      <c r="F40" s="60"/>
      <c r="G40" s="185" t="s">
        <v>174</v>
      </c>
      <c r="H40" s="105" t="str">
        <f>E40&amp;G40</f>
        <v>0</v>
      </c>
      <c r="I40" s="74" t="s">
        <v>192</v>
      </c>
      <c r="J40" s="36">
        <v>34</v>
      </c>
      <c r="K40" s="23"/>
    </row>
    <row r="41" spans="1:15">
      <c r="B41" s="49" t="s">
        <v>261</v>
      </c>
      <c r="C41" s="51">
        <v>3</v>
      </c>
      <c r="D41" s="6"/>
      <c r="E41" s="59" t="s">
        <v>256</v>
      </c>
      <c r="F41" s="60"/>
      <c r="G41" s="185" t="s">
        <v>220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262</v>
      </c>
      <c r="C42" s="51">
        <v>3</v>
      </c>
      <c r="D42" s="6"/>
      <c r="E42" s="59" t="s">
        <v>256</v>
      </c>
      <c r="F42" s="60"/>
      <c r="G42" s="185" t="s">
        <v>219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263</v>
      </c>
      <c r="C43" s="51">
        <v>4</v>
      </c>
      <c r="D43" s="6"/>
      <c r="E43" s="59" t="s">
        <v>256</v>
      </c>
      <c r="F43" s="60"/>
      <c r="G43" s="185" t="s">
        <v>221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264</v>
      </c>
      <c r="C44" s="51">
        <v>4</v>
      </c>
      <c r="D44" s="6"/>
      <c r="E44" s="59" t="s">
        <v>265</v>
      </c>
      <c r="F44" s="60"/>
      <c r="G44" s="185" t="s">
        <v>152</v>
      </c>
      <c r="H44" s="105" t="str">
        <f>E44&amp;G44</f>
        <v>0</v>
      </c>
      <c r="I44" s="58">
        <v>27</v>
      </c>
      <c r="J44" s="30" t="s">
        <v>192</v>
      </c>
      <c r="K44" s="23"/>
    </row>
    <row r="45" spans="1:15">
      <c r="B45" s="49" t="s">
        <v>266</v>
      </c>
      <c r="C45" s="51">
        <v>4</v>
      </c>
      <c r="D45" s="6"/>
      <c r="E45" s="59" t="s">
        <v>265</v>
      </c>
      <c r="F45" s="60"/>
      <c r="G45" s="185" t="s">
        <v>153</v>
      </c>
      <c r="H45" s="105" t="str">
        <f>E45&amp;G45</f>
        <v>0</v>
      </c>
      <c r="I45" s="74" t="s">
        <v>192</v>
      </c>
      <c r="J45" s="36">
        <v>27</v>
      </c>
      <c r="K45" s="23"/>
    </row>
    <row r="46" spans="1:15">
      <c r="B46" s="49" t="s">
        <v>267</v>
      </c>
      <c r="C46" s="51">
        <v>4</v>
      </c>
      <c r="D46" s="6"/>
      <c r="E46" s="59" t="s">
        <v>265</v>
      </c>
      <c r="F46" s="60"/>
      <c r="G46" s="185" t="s">
        <v>98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268</v>
      </c>
      <c r="C47" s="51">
        <v>5</v>
      </c>
      <c r="D47" s="6"/>
      <c r="E47" s="59" t="s">
        <v>269</v>
      </c>
      <c r="F47" s="60"/>
      <c r="G47" s="185" t="s">
        <v>152</v>
      </c>
      <c r="H47" s="105" t="str">
        <f>E47&amp;G47</f>
        <v>0</v>
      </c>
      <c r="I47" s="58">
        <v>46</v>
      </c>
      <c r="J47" s="30" t="s">
        <v>192</v>
      </c>
      <c r="K47" s="23"/>
    </row>
    <row r="48" spans="1:15">
      <c r="B48" s="49" t="s">
        <v>270</v>
      </c>
      <c r="C48" s="51">
        <v>5</v>
      </c>
      <c r="D48" s="6"/>
      <c r="E48" s="59" t="s">
        <v>269</v>
      </c>
      <c r="F48" s="60"/>
      <c r="G48" s="185" t="s">
        <v>153</v>
      </c>
      <c r="H48" s="105" t="str">
        <f>E48&amp;G48</f>
        <v>0</v>
      </c>
      <c r="I48" s="74" t="s">
        <v>192</v>
      </c>
      <c r="J48" s="36">
        <v>46</v>
      </c>
      <c r="K48" s="23"/>
    </row>
    <row r="49" spans="1:15">
      <c r="B49" s="49" t="s">
        <v>271</v>
      </c>
      <c r="C49" s="51">
        <v>5</v>
      </c>
      <c r="D49" s="6"/>
      <c r="E49" s="59" t="s">
        <v>269</v>
      </c>
      <c r="F49" s="60"/>
      <c r="G49" s="185" t="s">
        <v>98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272</v>
      </c>
      <c r="C50" s="51">
        <v>5</v>
      </c>
      <c r="D50" s="6"/>
      <c r="E50" s="59" t="s">
        <v>273</v>
      </c>
      <c r="F50" s="60"/>
      <c r="G50" s="185" t="s">
        <v>152</v>
      </c>
      <c r="H50" s="105" t="str">
        <f>E50&amp;G50</f>
        <v>0</v>
      </c>
      <c r="I50" s="58">
        <v>19</v>
      </c>
      <c r="J50" s="30" t="s">
        <v>192</v>
      </c>
      <c r="K50" s="23"/>
    </row>
    <row r="51" spans="1:15">
      <c r="B51" s="49" t="s">
        <v>274</v>
      </c>
      <c r="C51" s="51">
        <v>6</v>
      </c>
      <c r="D51" s="6"/>
      <c r="E51" s="59" t="s">
        <v>273</v>
      </c>
      <c r="F51" s="60"/>
      <c r="G51" s="185" t="s">
        <v>153</v>
      </c>
      <c r="H51" s="105" t="str">
        <f>E51&amp;G51</f>
        <v>0</v>
      </c>
      <c r="I51" s="74" t="s">
        <v>192</v>
      </c>
      <c r="J51" s="36">
        <v>19</v>
      </c>
      <c r="K51" s="23"/>
    </row>
    <row r="52" spans="1:15">
      <c r="B52" s="49" t="s">
        <v>275</v>
      </c>
      <c r="C52" s="51">
        <v>6</v>
      </c>
      <c r="D52" s="6"/>
      <c r="E52" s="59" t="s">
        <v>273</v>
      </c>
      <c r="F52" s="60"/>
      <c r="G52" s="185" t="s">
        <v>98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276</v>
      </c>
      <c r="C53" s="51">
        <v>6</v>
      </c>
      <c r="D53" s="6"/>
      <c r="E53" s="59" t="s">
        <v>277</v>
      </c>
      <c r="F53" s="60"/>
      <c r="G53" s="185" t="s">
        <v>152</v>
      </c>
      <c r="H53" s="105" t="str">
        <f>E53&amp;G53</f>
        <v>0</v>
      </c>
      <c r="I53" s="58">
        <v>19</v>
      </c>
      <c r="J53" s="30" t="s">
        <v>192</v>
      </c>
    </row>
    <row r="54" spans="1:15">
      <c r="B54" s="49" t="s">
        <v>278</v>
      </c>
      <c r="C54" s="51">
        <v>6</v>
      </c>
      <c r="D54" s="6"/>
      <c r="E54" s="59" t="s">
        <v>277</v>
      </c>
      <c r="F54" s="60"/>
      <c r="G54" s="185" t="s">
        <v>153</v>
      </c>
      <c r="H54" s="105" t="str">
        <f>E54&amp;G54</f>
        <v>0</v>
      </c>
      <c r="I54" s="74" t="s">
        <v>192</v>
      </c>
      <c r="J54" s="36">
        <v>19</v>
      </c>
    </row>
    <row r="55" spans="1:15">
      <c r="B55" s="49" t="s">
        <v>279</v>
      </c>
      <c r="C55" s="51">
        <v>7</v>
      </c>
      <c r="D55" s="6"/>
      <c r="E55" s="59" t="s">
        <v>277</v>
      </c>
      <c r="F55" s="60"/>
      <c r="G55" s="185" t="s">
        <v>98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280</v>
      </c>
      <c r="C56" s="51">
        <v>7</v>
      </c>
      <c r="D56" s="6"/>
      <c r="E56" s="59" t="s">
        <v>281</v>
      </c>
      <c r="F56" s="60"/>
      <c r="G56" s="185" t="s">
        <v>152</v>
      </c>
      <c r="H56" s="105" t="str">
        <f>E56&amp;G56</f>
        <v>0</v>
      </c>
      <c r="I56" s="58">
        <v>19</v>
      </c>
      <c r="J56" s="30" t="s">
        <v>192</v>
      </c>
    </row>
    <row r="57" spans="1:15">
      <c r="B57" s="49" t="s">
        <v>282</v>
      </c>
      <c r="C57" s="51">
        <v>7</v>
      </c>
      <c r="D57" s="6"/>
      <c r="E57" s="59" t="s">
        <v>281</v>
      </c>
      <c r="F57" s="60"/>
      <c r="G57" s="185" t="s">
        <v>153</v>
      </c>
      <c r="H57" s="105" t="str">
        <f>E57&amp;G57</f>
        <v>0</v>
      </c>
      <c r="I57" s="74" t="s">
        <v>192</v>
      </c>
      <c r="J57" s="36">
        <v>19</v>
      </c>
    </row>
    <row r="58" spans="1:15">
      <c r="B58" s="49" t="s">
        <v>283</v>
      </c>
      <c r="C58" s="51">
        <v>7</v>
      </c>
      <c r="D58" s="6"/>
      <c r="E58" s="59" t="s">
        <v>281</v>
      </c>
      <c r="F58" s="60"/>
      <c r="G58" s="185" t="s">
        <v>98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284</v>
      </c>
      <c r="C59" s="51">
        <v>8</v>
      </c>
      <c r="D59" s="6"/>
      <c r="E59" s="59" t="s">
        <v>285</v>
      </c>
      <c r="F59" s="60"/>
      <c r="G59" s="185" t="s">
        <v>152</v>
      </c>
      <c r="H59" s="105" t="str">
        <f>E59&amp;G59</f>
        <v>0</v>
      </c>
      <c r="I59" s="58">
        <v>19</v>
      </c>
      <c r="J59" s="30" t="s">
        <v>192</v>
      </c>
    </row>
    <row r="60" spans="1:15">
      <c r="B60" s="49" t="s">
        <v>286</v>
      </c>
      <c r="C60" s="51">
        <v>8</v>
      </c>
      <c r="D60" s="6"/>
      <c r="E60" s="59" t="s">
        <v>285</v>
      </c>
      <c r="F60" s="60"/>
      <c r="G60" s="185" t="s">
        <v>153</v>
      </c>
      <c r="H60" s="105" t="str">
        <f>E60&amp;G60</f>
        <v>0</v>
      </c>
      <c r="I60" s="74" t="s">
        <v>192</v>
      </c>
      <c r="J60" s="36">
        <v>19</v>
      </c>
    </row>
    <row r="61" spans="1:15">
      <c r="B61" s="49" t="s">
        <v>287</v>
      </c>
      <c r="C61" s="51">
        <v>8</v>
      </c>
      <c r="D61" s="6"/>
      <c r="E61" s="59" t="s">
        <v>285</v>
      </c>
      <c r="F61" s="60"/>
      <c r="G61" s="185" t="s">
        <v>98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288</v>
      </c>
      <c r="C62" s="51">
        <v>8</v>
      </c>
      <c r="D62" s="6"/>
    </row>
    <row r="63" spans="1:15">
      <c r="B63" s="49" t="s">
        <v>289</v>
      </c>
      <c r="C63" s="51">
        <v>9</v>
      </c>
      <c r="D63" s="6"/>
    </row>
    <row r="64" spans="1:15">
      <c r="B64" s="49" t="s">
        <v>290</v>
      </c>
      <c r="C64" s="51">
        <v>9</v>
      </c>
      <c r="D64" s="6"/>
    </row>
    <row r="65" spans="1:15">
      <c r="B65" s="49" t="s">
        <v>291</v>
      </c>
      <c r="C65" s="51">
        <v>9</v>
      </c>
      <c r="D65" s="6"/>
    </row>
    <row r="66" spans="1:15">
      <c r="B66" s="49" t="s">
        <v>292</v>
      </c>
      <c r="C66" s="51">
        <v>9</v>
      </c>
      <c r="D66" s="6"/>
    </row>
    <row r="67" spans="1:15">
      <c r="B67" s="49" t="s">
        <v>293</v>
      </c>
      <c r="C67" s="51">
        <v>10</v>
      </c>
    </row>
    <row r="68" spans="1:15">
      <c r="B68" s="49" t="s">
        <v>294</v>
      </c>
      <c r="C68" s="51">
        <v>10</v>
      </c>
    </row>
    <row r="69" spans="1:15">
      <c r="B69" s="49" t="s">
        <v>295</v>
      </c>
      <c r="C69" s="51">
        <v>10</v>
      </c>
    </row>
    <row r="70" spans="1:15">
      <c r="B70" s="49" t="s">
        <v>296</v>
      </c>
      <c r="C70" s="51">
        <v>10</v>
      </c>
    </row>
    <row r="71" spans="1:15">
      <c r="B71" s="49" t="s">
        <v>297</v>
      </c>
      <c r="C71" s="51">
        <v>11</v>
      </c>
    </row>
    <row r="72" spans="1:15">
      <c r="B72" s="49" t="s">
        <v>298</v>
      </c>
      <c r="C72" s="51">
        <v>11</v>
      </c>
    </row>
    <row r="73" spans="1:15">
      <c r="B73" s="49" t="s">
        <v>299</v>
      </c>
      <c r="C73" s="51">
        <v>11</v>
      </c>
    </row>
    <row r="74" spans="1:15">
      <c r="B74" s="49" t="s">
        <v>300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1207"/>
      <c r="G2" s="1208"/>
      <c r="H2" s="432" t="s">
        <v>2</v>
      </c>
      <c r="I2" s="433"/>
      <c r="J2" s="1181"/>
      <c r="K2" s="1182"/>
      <c r="L2" s="1182"/>
      <c r="M2" s="1182"/>
      <c r="N2" s="1182"/>
      <c r="O2" s="1182"/>
      <c r="P2" s="1182"/>
      <c r="Q2" s="1182"/>
      <c r="R2" s="1183"/>
      <c r="S2" s="1167" t="s">
        <v>4</v>
      </c>
      <c r="T2" s="1168"/>
      <c r="U2" s="1195"/>
      <c r="V2" s="1196"/>
      <c r="W2" s="432" t="s">
        <v>6</v>
      </c>
      <c r="X2" s="426"/>
      <c r="Y2" s="1181"/>
      <c r="Z2" s="1182"/>
      <c r="AA2" s="1183"/>
    </row>
    <row r="3" spans="1:28" customHeight="1" ht="18">
      <c r="A3" s="428" t="s">
        <v>8</v>
      </c>
      <c r="B3" s="429"/>
      <c r="C3" s="429"/>
      <c r="D3" s="430"/>
      <c r="E3" s="431"/>
      <c r="F3" s="1209"/>
      <c r="G3" s="1210"/>
      <c r="H3" s="434" t="s">
        <v>10</v>
      </c>
      <c r="I3" s="435"/>
      <c r="J3" s="1211"/>
      <c r="K3" s="1212"/>
      <c r="L3" s="1212"/>
      <c r="M3" s="1212"/>
      <c r="N3" s="1212"/>
      <c r="O3" s="1212"/>
      <c r="P3" s="1212"/>
      <c r="Q3" s="1212"/>
      <c r="R3" s="1213"/>
      <c r="S3" s="1169"/>
      <c r="T3" s="1170"/>
      <c r="U3" s="1197"/>
      <c r="V3" s="1198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99" t="s">
        <v>12</v>
      </c>
      <c r="B5" s="1202" t="s">
        <v>13</v>
      </c>
      <c r="C5" s="1202" t="s">
        <v>14</v>
      </c>
      <c r="D5" s="1202" t="s">
        <v>15</v>
      </c>
      <c r="E5" s="1202" t="s">
        <v>16</v>
      </c>
      <c r="F5" s="345" t="s">
        <v>17</v>
      </c>
      <c r="G5" s="345" t="s">
        <v>18</v>
      </c>
      <c r="H5" s="1202" t="s">
        <v>19</v>
      </c>
      <c r="I5" s="349" t="s">
        <v>20</v>
      </c>
      <c r="J5" s="1214" t="s">
        <v>21</v>
      </c>
      <c r="K5" s="1215"/>
      <c r="L5" s="1215"/>
      <c r="M5" s="1215"/>
      <c r="N5" s="1215"/>
      <c r="O5" s="1215"/>
      <c r="P5" s="1215"/>
      <c r="Q5" s="1216"/>
      <c r="R5" s="345" t="s">
        <v>22</v>
      </c>
      <c r="S5" s="1171" t="s">
        <v>23</v>
      </c>
      <c r="T5" s="1172"/>
      <c r="U5" s="345" t="s">
        <v>24</v>
      </c>
      <c r="V5" s="1184" t="s">
        <v>25</v>
      </c>
      <c r="W5" s="1184"/>
      <c r="X5" s="345" t="s">
        <v>26</v>
      </c>
      <c r="Y5" s="1184" t="s">
        <v>27</v>
      </c>
      <c r="Z5" s="1184"/>
      <c r="AA5" s="1185" t="s">
        <v>28</v>
      </c>
    </row>
    <row r="6" spans="1:28" customHeight="1" ht="15">
      <c r="A6" s="1200"/>
      <c r="B6" s="1203"/>
      <c r="C6" s="1203"/>
      <c r="D6" s="1203"/>
      <c r="E6" s="1205"/>
      <c r="F6" s="1217" t="s">
        <v>16</v>
      </c>
      <c r="G6" s="1163" t="s">
        <v>16</v>
      </c>
      <c r="H6" s="1203"/>
      <c r="I6" s="1163" t="s">
        <v>16</v>
      </c>
      <c r="J6" s="1219" t="s">
        <v>29</v>
      </c>
      <c r="K6" s="1220"/>
      <c r="L6" s="1220"/>
      <c r="M6" s="1220"/>
      <c r="N6" s="1220"/>
      <c r="O6" s="1220"/>
      <c r="P6" s="1220"/>
      <c r="Q6" s="1221"/>
      <c r="R6" s="1163" t="s">
        <v>30</v>
      </c>
      <c r="S6" s="1163" t="s">
        <v>31</v>
      </c>
      <c r="T6" s="1173" t="s">
        <v>32</v>
      </c>
      <c r="U6" s="1163" t="s">
        <v>30</v>
      </c>
      <c r="V6" s="1165" t="s">
        <v>33</v>
      </c>
      <c r="W6" s="1173" t="s">
        <v>34</v>
      </c>
      <c r="X6" s="1163" t="s">
        <v>16</v>
      </c>
      <c r="Y6" s="1165" t="s">
        <v>16</v>
      </c>
      <c r="Z6" s="1188" t="s">
        <v>35</v>
      </c>
      <c r="AA6" s="1186"/>
    </row>
    <row r="7" spans="1:28" customHeight="1" ht="15">
      <c r="A7" s="1200"/>
      <c r="B7" s="1203"/>
      <c r="C7" s="1203"/>
      <c r="D7" s="1203"/>
      <c r="E7" s="1205"/>
      <c r="F7" s="1218"/>
      <c r="G7" s="1164"/>
      <c r="H7" s="1203"/>
      <c r="I7" s="1164"/>
      <c r="J7" s="1225" t="s">
        <v>36</v>
      </c>
      <c r="K7" s="1226"/>
      <c r="L7" s="1226"/>
      <c r="M7" s="1226"/>
      <c r="N7" s="1226"/>
      <c r="O7" s="1226"/>
      <c r="P7" s="1226"/>
      <c r="Q7" s="1227"/>
      <c r="R7" s="1164"/>
      <c r="S7" s="1164"/>
      <c r="T7" s="1174"/>
      <c r="U7" s="1164"/>
      <c r="V7" s="1166"/>
      <c r="W7" s="1193"/>
      <c r="X7" s="1164"/>
      <c r="Y7" s="1166"/>
      <c r="Z7" s="1189"/>
      <c r="AA7" s="1186"/>
    </row>
    <row r="8" spans="1:28" customHeight="1" ht="30">
      <c r="A8" s="1200"/>
      <c r="B8" s="1203"/>
      <c r="C8" s="1203"/>
      <c r="D8" s="1203"/>
      <c r="E8" s="1205"/>
      <c r="F8" s="1218"/>
      <c r="G8" s="348" t="s">
        <v>37</v>
      </c>
      <c r="H8" s="1203"/>
      <c r="I8" s="353" t="s">
        <v>38</v>
      </c>
      <c r="J8" s="1228" t="s">
        <v>35</v>
      </c>
      <c r="K8" s="1229"/>
      <c r="L8" s="1229"/>
      <c r="M8" s="1229"/>
      <c r="N8" s="1229"/>
      <c r="O8" s="1229"/>
      <c r="P8" s="1229"/>
      <c r="Q8" s="1230"/>
      <c r="R8" s="1164"/>
      <c r="S8" s="446" t="s">
        <v>39</v>
      </c>
      <c r="T8" s="1174"/>
      <c r="U8" s="1164"/>
      <c r="V8" s="354" t="s">
        <v>40</v>
      </c>
      <c r="W8" s="413" t="s">
        <v>41</v>
      </c>
      <c r="X8" s="1164"/>
      <c r="Y8" s="346" t="s">
        <v>42</v>
      </c>
      <c r="Z8" s="347" t="s">
        <v>43</v>
      </c>
      <c r="AA8" s="1186"/>
    </row>
    <row r="9" spans="1:28" customHeight="1" ht="51.75">
      <c r="A9" s="1201"/>
      <c r="B9" s="1204"/>
      <c r="C9" s="1204"/>
      <c r="D9" s="1204"/>
      <c r="E9" s="1206"/>
      <c r="F9" s="355" t="s">
        <v>44</v>
      </c>
      <c r="G9" s="335" t="s">
        <v>45</v>
      </c>
      <c r="H9" s="1204"/>
      <c r="I9" s="356" t="s">
        <v>46</v>
      </c>
      <c r="J9" s="1222" t="s">
        <v>47</v>
      </c>
      <c r="K9" s="1223"/>
      <c r="L9" s="1223"/>
      <c r="M9" s="1223"/>
      <c r="N9" s="1223"/>
      <c r="O9" s="1223"/>
      <c r="P9" s="1223"/>
      <c r="Q9" s="1224"/>
      <c r="R9" s="335" t="s">
        <v>48</v>
      </c>
      <c r="S9" s="335" t="s">
        <v>48</v>
      </c>
      <c r="T9" s="1175"/>
      <c r="U9" s="335" t="s">
        <v>48</v>
      </c>
      <c r="V9" s="334" t="s">
        <v>197</v>
      </c>
      <c r="W9" s="336" t="s">
        <v>50</v>
      </c>
      <c r="X9" s="335" t="s">
        <v>51</v>
      </c>
      <c r="Y9" s="337" t="s">
        <v>51</v>
      </c>
      <c r="Z9" s="336" t="s">
        <v>52</v>
      </c>
      <c r="AA9" s="1187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1153"/>
      <c r="B11" s="1156"/>
      <c r="C11" s="1149"/>
      <c r="D11" s="1160"/>
      <c r="E11" s="1156" t="s">
        <v>301</v>
      </c>
      <c r="F11" s="1143"/>
      <c r="G11" s="1145"/>
      <c r="H11" s="1146"/>
      <c r="I11" s="1149"/>
      <c r="J11" s="338"/>
      <c r="K11" s="381"/>
      <c r="L11" s="381"/>
      <c r="M11" s="381"/>
      <c r="N11" s="381"/>
      <c r="O11" s="381"/>
      <c r="P11" s="381"/>
      <c r="Q11" s="382"/>
      <c r="R11" s="1129"/>
      <c r="S11" s="372"/>
      <c r="T11" s="1151"/>
      <c r="U11" s="1129"/>
      <c r="V11" s="448"/>
      <c r="W11" s="449"/>
      <c r="X11" s="1143"/>
      <c r="Y11" s="1177"/>
      <c r="Z11" s="1179"/>
      <c r="AA11" s="1190"/>
    </row>
    <row r="12" spans="1:28">
      <c r="A12" s="1154"/>
      <c r="B12" s="1157"/>
      <c r="C12" s="1150"/>
      <c r="D12" s="1161"/>
      <c r="E12" s="1157"/>
      <c r="F12" s="1144"/>
      <c r="G12" s="1134"/>
      <c r="H12" s="1147"/>
      <c r="I12" s="1150"/>
      <c r="J12" s="1131"/>
      <c r="K12" s="1132"/>
      <c r="L12" s="1132"/>
      <c r="M12" s="1132"/>
      <c r="N12" s="1132"/>
      <c r="O12" s="1132"/>
      <c r="P12" s="1132"/>
      <c r="Q12" s="1133"/>
      <c r="R12" s="1130"/>
      <c r="S12" s="1134"/>
      <c r="T12" s="1135"/>
      <c r="U12" s="1130"/>
      <c r="V12" s="1135"/>
      <c r="W12" s="1194"/>
      <c r="X12" s="1176"/>
      <c r="Y12" s="1178"/>
      <c r="Z12" s="1180"/>
      <c r="AA12" s="1191"/>
    </row>
    <row r="13" spans="1:28">
      <c r="A13" s="1154"/>
      <c r="B13" s="1157"/>
      <c r="C13" s="1150"/>
      <c r="D13" s="1161"/>
      <c r="E13" s="1157"/>
      <c r="F13" s="1130"/>
      <c r="G13" s="373"/>
      <c r="H13" s="1147"/>
      <c r="I13" s="375"/>
      <c r="J13" s="1137"/>
      <c r="K13" s="1138"/>
      <c r="L13" s="1138"/>
      <c r="M13" s="1138"/>
      <c r="N13" s="1138"/>
      <c r="O13" s="1138"/>
      <c r="P13" s="1138"/>
      <c r="Q13" s="1139"/>
      <c r="R13" s="1130"/>
      <c r="S13" s="1134"/>
      <c r="T13" s="1135"/>
      <c r="U13" s="1130"/>
      <c r="V13" s="1135"/>
      <c r="W13" s="1194"/>
      <c r="X13" s="1144"/>
      <c r="Y13" s="340"/>
      <c r="Z13" s="339"/>
      <c r="AA13" s="1191"/>
    </row>
    <row r="14" spans="1:28" customHeight="1" ht="13.5">
      <c r="A14" s="1155"/>
      <c r="B14" s="1158"/>
      <c r="C14" s="1159"/>
      <c r="D14" s="1162"/>
      <c r="E14" s="1158"/>
      <c r="F14" s="1136"/>
      <c r="G14" s="341"/>
      <c r="H14" s="1148"/>
      <c r="I14" s="376"/>
      <c r="J14" s="1140"/>
      <c r="K14" s="1141"/>
      <c r="L14" s="1141"/>
      <c r="M14" s="1141"/>
      <c r="N14" s="1141"/>
      <c r="O14" s="1141"/>
      <c r="P14" s="1141"/>
      <c r="Q14" s="1142"/>
      <c r="R14" s="341"/>
      <c r="S14" s="374"/>
      <c r="T14" s="1152"/>
      <c r="U14" s="341"/>
      <c r="V14" s="445"/>
      <c r="W14" s="450"/>
      <c r="X14" s="341"/>
      <c r="Y14" s="343"/>
      <c r="Z14" s="342"/>
      <c r="AA14" s="1192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64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65</v>
      </c>
      <c r="F20" s="361" t="str">
        <f>A11</f>
        <v>0</v>
      </c>
      <c r="G20" s="359"/>
      <c r="H20" s="360"/>
    </row>
    <row r="21" spans="1:28">
      <c r="B21" s="96" t="s">
        <v>66</v>
      </c>
      <c r="F21" s="361" t="str">
        <f>B11</f>
        <v>0</v>
      </c>
      <c r="G21" s="359"/>
      <c r="H21" s="360"/>
    </row>
    <row r="22" spans="1:28">
      <c r="B22" s="96" t="s">
        <v>14</v>
      </c>
      <c r="F22" s="361" t="str">
        <f>C11</f>
        <v>0</v>
      </c>
      <c r="G22" s="359"/>
      <c r="H22" s="360"/>
    </row>
    <row r="23" spans="1:28">
      <c r="B23" s="96" t="s">
        <v>15</v>
      </c>
      <c r="F23" s="361" t="str">
        <f>D11</f>
        <v>0</v>
      </c>
      <c r="G23" s="359"/>
      <c r="H23" s="360"/>
    </row>
    <row r="24" spans="1:28">
      <c r="B24" s="96" t="s">
        <v>67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68</v>
      </c>
      <c r="F26" s="361" t="str">
        <f>F11</f>
        <v>0</v>
      </c>
      <c r="G26" s="359"/>
      <c r="H26" s="360"/>
    </row>
    <row r="27" spans="1:28">
      <c r="B27" s="96" t="s">
        <v>69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70</v>
      </c>
      <c r="F29" s="361" t="str">
        <f>G11</f>
        <v>0</v>
      </c>
      <c r="G29" s="359"/>
      <c r="H29" s="360"/>
    </row>
    <row r="30" spans="1:28">
      <c r="B30" s="96" t="s">
        <v>71</v>
      </c>
      <c r="F30" s="361" t="str">
        <f>G13</f>
        <v>0</v>
      </c>
      <c r="G30" s="359"/>
      <c r="H30" s="360"/>
    </row>
    <row r="31" spans="1:28">
      <c r="B31" s="96" t="s">
        <v>199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19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72</v>
      </c>
      <c r="F35" s="361" t="str">
        <f>I11</f>
        <v>0</v>
      </c>
      <c r="G35" s="362"/>
      <c r="H35" s="363"/>
    </row>
    <row r="36" spans="1:28">
      <c r="B36" s="96" t="s">
        <v>73</v>
      </c>
      <c r="F36" s="361" t="str">
        <f>I13</f>
        <v>0</v>
      </c>
      <c r="G36" s="362"/>
      <c r="H36" s="363"/>
    </row>
    <row r="37" spans="1:28">
      <c r="B37" s="96" t="s">
        <v>74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75</v>
      </c>
      <c r="F39" s="361" t="str">
        <f>J12</f>
        <v>0</v>
      </c>
      <c r="G39" s="362"/>
      <c r="H39" s="363"/>
    </row>
    <row r="40" spans="1:28">
      <c r="B40" s="96" t="s">
        <v>76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77</v>
      </c>
      <c r="F42" s="361" t="str">
        <f>R11</f>
        <v>0</v>
      </c>
      <c r="G42" s="362"/>
      <c r="H42" s="363"/>
    </row>
    <row r="43" spans="1:28">
      <c r="B43" s="96" t="s">
        <v>78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79</v>
      </c>
      <c r="F45" s="361" t="str">
        <f>S11</f>
        <v>0</v>
      </c>
      <c r="G45" s="362"/>
      <c r="H45" s="363"/>
    </row>
    <row r="46" spans="1:28">
      <c r="B46" s="96" t="s">
        <v>80</v>
      </c>
      <c r="F46" s="361" t="str">
        <f>S12</f>
        <v>0</v>
      </c>
      <c r="G46" s="362"/>
      <c r="H46" s="363"/>
    </row>
    <row r="47" spans="1:28">
      <c r="B47" s="96" t="s">
        <v>81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32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82</v>
      </c>
      <c r="F50" s="361" t="str">
        <f>U11</f>
        <v>0</v>
      </c>
      <c r="G50" s="362"/>
      <c r="H50" s="363"/>
    </row>
    <row r="51" spans="1:28">
      <c r="B51" s="96" t="s">
        <v>83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201</v>
      </c>
      <c r="F53" s="361" t="str">
        <f>V11</f>
        <v>0</v>
      </c>
      <c r="G53" s="362"/>
      <c r="H53" s="363"/>
    </row>
    <row r="54" spans="1:28">
      <c r="B54" s="96" t="s">
        <v>202</v>
      </c>
      <c r="F54" s="361" t="str">
        <f>V12</f>
        <v>0</v>
      </c>
      <c r="G54" s="362"/>
      <c r="H54" s="363"/>
    </row>
    <row r="55" spans="1:28">
      <c r="B55" s="96" t="s">
        <v>203</v>
      </c>
      <c r="F55" s="361" t="str">
        <f>W12</f>
        <v>0</v>
      </c>
      <c r="G55" s="362"/>
      <c r="H55" s="363"/>
    </row>
    <row r="56" spans="1:28">
      <c r="B56" s="96" t="s">
        <v>204</v>
      </c>
      <c r="F56" s="361" t="str">
        <f>W11</f>
        <v>0</v>
      </c>
      <c r="G56" s="362"/>
      <c r="H56" s="363"/>
    </row>
    <row r="57" spans="1:28">
      <c r="B57" s="96" t="s">
        <v>302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205</v>
      </c>
      <c r="F59" s="361" t="str">
        <f>X11</f>
        <v>0</v>
      </c>
      <c r="G59" s="362"/>
      <c r="H59" s="363"/>
    </row>
    <row r="60" spans="1:28">
      <c r="B60" s="96" t="s">
        <v>206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207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208</v>
      </c>
      <c r="F64" s="361" t="str">
        <f>Y11</f>
        <v>0</v>
      </c>
      <c r="G64" s="362"/>
      <c r="H64" s="363"/>
    </row>
    <row r="65" spans="1:28">
      <c r="B65" s="96" t="s">
        <v>209</v>
      </c>
      <c r="F65" s="361" t="str">
        <f>Y14</f>
        <v>0</v>
      </c>
      <c r="G65" s="362"/>
      <c r="H65" s="363"/>
    </row>
    <row r="66" spans="1:28">
      <c r="B66" s="96" t="s">
        <v>210</v>
      </c>
      <c r="F66" s="361" t="str">
        <f>Y13</f>
        <v>0</v>
      </c>
      <c r="G66" s="362"/>
      <c r="H66" s="363"/>
    </row>
    <row r="67" spans="1:28">
      <c r="B67" s="96" t="s">
        <v>211</v>
      </c>
      <c r="F67" s="361" t="str">
        <f>Z11</f>
        <v>0</v>
      </c>
      <c r="G67" s="362"/>
      <c r="H67" s="363"/>
    </row>
    <row r="68" spans="1:28">
      <c r="B68" s="96" t="s">
        <v>212</v>
      </c>
      <c r="F68" s="361" t="str">
        <f>Z13</f>
        <v>0</v>
      </c>
      <c r="G68" s="362"/>
      <c r="H68" s="363"/>
    </row>
    <row r="69" spans="1:28">
      <c r="B69" s="96" t="s">
        <v>213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28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2" priority="2">
      <formula>IFERROR(SEARCH("custom",G11),999)&gt;100</formula>
    </cfRule>
  </conditionalFormatting>
  <conditionalFormatting sqref="G14">
    <cfRule type="expression" dxfId="2" priority="3">
      <formula>IFERROR(SEARCH("custom",G11),999)&gt;100</formula>
    </cfRule>
  </conditionalFormatting>
  <conditionalFormatting sqref="J11">
    <cfRule type="expression" dxfId="3" priority="4">
      <formula>OR($E11="Hinged",$E11="By-Pass")</formula>
    </cfRule>
  </conditionalFormatting>
  <conditionalFormatting sqref="K11">
    <cfRule type="expression" dxfId="3" priority="5">
      <formula>OR($E11="Hinged",$E11="By-Pass")</formula>
    </cfRule>
  </conditionalFormatting>
  <conditionalFormatting sqref="L11">
    <cfRule type="expression" dxfId="3" priority="6">
      <formula>OR($E11="Hinged",$E11="By-Pass")</formula>
    </cfRule>
  </conditionalFormatting>
  <conditionalFormatting sqref="M11">
    <cfRule type="expression" dxfId="3" priority="7">
      <formula>OR($E11="Hinged",$E11="By-Pass")</formula>
    </cfRule>
  </conditionalFormatting>
  <conditionalFormatting sqref="N11">
    <cfRule type="expression" dxfId="3" priority="8">
      <formula>OR($E11="Hinged",$E11="By-Pass")</formula>
    </cfRule>
  </conditionalFormatting>
  <conditionalFormatting sqref="O11">
    <cfRule type="expression" dxfId="3" priority="9">
      <formula>OR($E11="Hinged",$E11="By-Pass")</formula>
    </cfRule>
  </conditionalFormatting>
  <conditionalFormatting sqref="P11">
    <cfRule type="expression" dxfId="3" priority="10">
      <formula>OR($E11="Hinged",$E11="By-Pass")</formula>
    </cfRule>
  </conditionalFormatting>
  <conditionalFormatting sqref="Q11">
    <cfRule type="expression" dxfId="3" priority="11">
      <formula>OR($E11="Hinged",$E11="By-Pass")</formula>
    </cfRule>
  </conditionalFormatting>
  <conditionalFormatting sqref="J12">
    <cfRule type="expression" dxfId="4" priority="12">
      <formula>NOT(OR($E11="Hinged",$E11="By-Pass"))</formula>
    </cfRule>
  </conditionalFormatting>
  <conditionalFormatting sqref="J14">
    <cfRule type="expression" dxfId="3" priority="13">
      <formula>OR($E11="Hinged",$E11="By-Pass")</formula>
    </cfRule>
  </conditionalFormatting>
  <conditionalFormatting sqref="R14">
    <cfRule type="expression" dxfId="5" priority="14">
      <formula>IFERROR(SEARCH("custom",R11),999)&gt;100</formula>
    </cfRule>
  </conditionalFormatting>
  <conditionalFormatting sqref="U14">
    <cfRule type="expression" dxfId="6" priority="15">
      <formula>IFERROR(SEARCH("custom",U11),999)&gt;100</formula>
    </cfRule>
  </conditionalFormatting>
  <conditionalFormatting sqref="V11">
    <cfRule type="expression" dxfId="7" priority="16">
      <formula>$E11="Hinged"</formula>
    </cfRule>
  </conditionalFormatting>
  <conditionalFormatting sqref="X14">
    <cfRule type="expression" dxfId="7" priority="17">
      <formula>$E11="Hinged"</formula>
    </cfRule>
  </conditionalFormatting>
  <conditionalFormatting sqref="X14">
    <cfRule type="expression" dxfId="8" priority="18">
      <formula>IFERROR(SEARCH("custom",X11),999)&gt;100</formula>
    </cfRule>
  </conditionalFormatting>
  <conditionalFormatting sqref="Y14">
    <cfRule type="expression" dxfId="7" priority="19">
      <formula>$E11="Hinged"</formula>
    </cfRule>
  </conditionalFormatting>
  <conditionalFormatting sqref="Y14">
    <cfRule type="expression" dxfId="8" priority="20">
      <formula>IFERROR(SEARCH("custom",X11),999)&gt;100</formula>
    </cfRule>
  </conditionalFormatting>
  <conditionalFormatting sqref="V12">
    <cfRule type="expression" dxfId="7" priority="21">
      <formula>$E11="Hinged"</formula>
    </cfRule>
  </conditionalFormatting>
  <conditionalFormatting sqref="V13">
    <cfRule type="expression" dxfId="7" priority="22">
      <formula>$E11="Hinged"</formula>
    </cfRule>
  </conditionalFormatting>
  <conditionalFormatting sqref="V14">
    <cfRule type="expression" dxfId="9" priority="23">
      <formula>OR($E11="Hinged",$E11="Bi-Fold")</formula>
    </cfRule>
  </conditionalFormatting>
  <conditionalFormatting sqref="X11">
    <cfRule type="expression" dxfId="7" priority="24">
      <formula>$E11="Hinged"</formula>
    </cfRule>
  </conditionalFormatting>
  <conditionalFormatting sqref="X12">
    <cfRule type="expression" dxfId="7" priority="25">
      <formula>$E11="Hinged"</formula>
    </cfRule>
  </conditionalFormatting>
  <conditionalFormatting sqref="X13">
    <cfRule type="expression" dxfId="7" priority="26">
      <formula>$E11="Hinged"</formula>
    </cfRule>
  </conditionalFormatting>
  <conditionalFormatting sqref="Y11">
    <cfRule type="expression" dxfId="7" priority="27">
      <formula>$E11="Hinged"</formula>
    </cfRule>
  </conditionalFormatting>
  <conditionalFormatting sqref="Y11">
    <cfRule type="expression" dxfId="7" priority="28">
      <formula>$E11="Hinged"</formula>
    </cfRule>
  </conditionalFormatting>
  <conditionalFormatting sqref="Y12">
    <cfRule type="expression" dxfId="7" priority="29">
      <formula>$E11="Hinged"</formula>
    </cfRule>
  </conditionalFormatting>
  <conditionalFormatting sqref="Y12">
    <cfRule type="expression" dxfId="7" priority="30">
      <formula>$E11="Hinged"</formula>
    </cfRule>
  </conditionalFormatting>
  <conditionalFormatting sqref="Y13">
    <cfRule type="expression" dxfId="7" priority="31">
      <formula>$E11="Hinged"</formula>
    </cfRule>
  </conditionalFormatting>
  <conditionalFormatting sqref="Y13">
    <cfRule type="expression" dxfId="7" priority="32">
      <formula>$E11="Hinged"</formula>
    </cfRule>
  </conditionalFormatting>
  <conditionalFormatting sqref="Z11">
    <cfRule type="expression" dxfId="7" priority="33">
      <formula>$E11="Hinged"</formula>
    </cfRule>
  </conditionalFormatting>
  <conditionalFormatting sqref="Z12">
    <cfRule type="expression" dxfId="7" priority="34">
      <formula>$E11="Hinged"</formula>
    </cfRule>
  </conditionalFormatting>
  <conditionalFormatting sqref="Z13">
    <cfRule type="expression" dxfId="7" priority="35">
      <formula>$E11="Hinged"</formula>
    </cfRule>
  </conditionalFormatting>
  <conditionalFormatting sqref="Z14">
    <cfRule type="expression" dxfId="7" priority="36">
      <formula>$E11="Hinged"</formula>
    </cfRule>
  </conditionalFormatting>
  <conditionalFormatting sqref="W11">
    <cfRule type="expression" dxfId="7" priority="37">
      <formula>$E11="Hinged"</formula>
    </cfRule>
  </conditionalFormatting>
  <conditionalFormatting sqref="W12">
    <cfRule type="expression" dxfId="7" priority="38">
      <formula>$E11="Hinged"</formula>
    </cfRule>
  </conditionalFormatting>
  <conditionalFormatting sqref="W13">
    <cfRule type="expression" dxfId="7" priority="39">
      <formula>$E11="Hinged"</formula>
    </cfRule>
  </conditionalFormatting>
  <conditionalFormatting sqref="W14">
    <cfRule type="expression" dxfId="7" priority="40">
      <formula>$E11="Hinged"</formula>
    </cfRule>
  </conditionalFormatting>
  <conditionalFormatting sqref="S14">
    <cfRule type="expression" dxfId="10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303</v>
      </c>
      <c r="B1" s="2"/>
      <c r="C1" s="2"/>
    </row>
    <row r="2" spans="1:10" customHeight="1" ht="15">
      <c r="A2" s="4" t="s">
        <v>304</v>
      </c>
      <c r="B2" s="2"/>
      <c r="C2" s="2"/>
    </row>
    <row r="3" spans="1:10">
      <c r="A3" s="2"/>
      <c r="B3" s="2"/>
      <c r="C3" s="2"/>
    </row>
    <row r="4" spans="1:10">
      <c r="A4" s="1" t="s">
        <v>86</v>
      </c>
      <c r="B4" s="10" t="str">
        <f>'BP - INPUT'!F36</f>
        <v>0</v>
      </c>
    </row>
    <row r="5" spans="1:10">
      <c r="A5" s="1" t="s">
        <v>87</v>
      </c>
      <c r="B5" s="11" t="str">
        <f>'BP - INPUT'!F37</f>
        <v>0</v>
      </c>
    </row>
    <row r="6" spans="1:10">
      <c r="A6" s="1" t="s">
        <v>88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89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90</v>
      </c>
      <c r="B8" s="12" t="str">
        <f>B4+B6</f>
        <v>0</v>
      </c>
    </row>
    <row r="9" spans="1:10">
      <c r="A9" s="1" t="s">
        <v>91</v>
      </c>
      <c r="B9" s="13" t="str">
        <f>B5+B7</f>
        <v>0</v>
      </c>
    </row>
    <row r="11" spans="1:10">
      <c r="B11" t="s">
        <v>215</v>
      </c>
      <c r="E11" s="458">
        <v>0</v>
      </c>
    </row>
    <row r="12" spans="1:10">
      <c r="B12" t="s">
        <v>216</v>
      </c>
      <c r="E12" s="458">
        <v>2</v>
      </c>
    </row>
    <row r="13" spans="1:10">
      <c r="B13" t="s">
        <v>217</v>
      </c>
      <c r="E13" s="458">
        <v>90</v>
      </c>
    </row>
    <row r="14" spans="1:10">
      <c r="B14" t="s">
        <v>218</v>
      </c>
      <c r="E14" s="458">
        <v>66</v>
      </c>
    </row>
    <row r="15" spans="1:10" customHeight="1" ht="12.75"/>
    <row r="16" spans="1:10" customHeight="1" ht="12.75">
      <c r="B16" s="1117" t="s">
        <v>58</v>
      </c>
      <c r="C16" s="1118"/>
      <c r="D16" s="1118"/>
      <c r="E16" s="1119"/>
    </row>
    <row r="17" spans="1:10" customHeight="1" ht="12.75">
      <c r="B17" s="1013" t="s">
        <v>94</v>
      </c>
      <c r="C17" s="1012"/>
      <c r="D17" s="1013" t="s">
        <v>95</v>
      </c>
      <c r="E17" s="1012"/>
    </row>
    <row r="18" spans="1:10">
      <c r="A18" s="546" t="s">
        <v>150</v>
      </c>
      <c r="B18" s="550" t="s">
        <v>96</v>
      </c>
      <c r="C18" s="549" t="s">
        <v>97</v>
      </c>
      <c r="D18" s="550" t="s">
        <v>96</v>
      </c>
      <c r="E18" s="549" t="s">
        <v>97</v>
      </c>
    </row>
    <row r="19" spans="1:10">
      <c r="A19" s="547" t="s">
        <v>62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152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153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98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173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174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220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221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G Manager</cp:lastModifiedBy>
  <dcterms:created xsi:type="dcterms:W3CDTF">2015-10-19T10:52:05+02:00</dcterms:created>
  <dcterms:modified xsi:type="dcterms:W3CDTF">2018-07-18T10:13:23+02:00</dcterms:modified>
  <dc:title/>
  <dc:description/>
  <dc:subject/>
  <cp:keywords/>
  <cp:category/>
</cp:coreProperties>
</file>