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userNames.xml" ContentType="application/vnd.openxmlformats-officedocument.spreadsheetml.userNames+xml"/>
  <Override PartName="/xl/revisions/revisionHeaders.xml" ContentType="application/vnd.openxmlformats-officedocument.spreadsheetml.revisionHeaders+xml"/>
  <Override PartName="/xl/revisions/revisionLog1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houh\Documents\FINANCE\financial modelling\"/>
    </mc:Choice>
  </mc:AlternateContent>
  <workbookProtection workbookPassword="C58F" revisionsPassword="C58F" lockStructure="1" lockRevision="1"/>
  <bookViews>
    <workbookView xWindow="0" yWindow="0" windowWidth="13080" windowHeight="7368" firstSheet="1" activeTab="7"/>
  </bookViews>
  <sheets>
    <sheet name="Historical FS" sheetId="1" r:id="rId1"/>
    <sheet name="Assumptions" sheetId="2" r:id="rId2"/>
    <sheet name="Supporting Schedules" sheetId="3" r:id="rId3"/>
    <sheet name="P&amp;L" sheetId="4" r:id="rId4"/>
    <sheet name="BS" sheetId="5" r:id="rId5"/>
    <sheet name="Cash Flow Statement" sheetId="6" r:id="rId6"/>
    <sheet name="BETA  Calculation" sheetId="7" r:id="rId7"/>
    <sheet name="Valuation" sheetId="8" r:id="rId8"/>
  </sheets>
  <calcPr calcId="162913"/>
  <customWorkbookViews>
    <customWorkbookView name="SHOUHAM. B.BANERJEE - Personal View" guid="{0D1F9D0C-3063-4A9B-A68D-79FADEF997F9}" mergeInterval="0" personalView="1" maximized="1" xWindow="-9" yWindow="-9" windowWidth="1938" windowHeight="1098" activeSheetId="8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8" l="1"/>
  <c r="N16" i="3" l="1"/>
  <c r="O16" i="3"/>
  <c r="P16" i="3"/>
  <c r="Q16" i="3"/>
  <c r="R16" i="3"/>
  <c r="S16" i="3"/>
  <c r="M16" i="3"/>
  <c r="F16" i="4" l="1"/>
  <c r="G16" i="4"/>
  <c r="H16" i="4"/>
  <c r="I16" i="4"/>
  <c r="J16" i="4"/>
  <c r="K16" i="4"/>
  <c r="L16" i="4"/>
  <c r="M16" i="4"/>
  <c r="N16" i="4"/>
  <c r="O16" i="4"/>
  <c r="O6" i="8" s="1"/>
  <c r="P16" i="4"/>
  <c r="P6" i="8" s="1"/>
  <c r="Q16" i="4"/>
  <c r="Q6" i="8" s="1"/>
  <c r="R16" i="4"/>
  <c r="S16" i="4"/>
  <c r="R6" i="8"/>
  <c r="N6" i="8"/>
  <c r="E15" i="8"/>
  <c r="E16" i="8" s="1"/>
  <c r="M26" i="8"/>
  <c r="M24" i="8"/>
  <c r="M23" i="8"/>
  <c r="O15" i="8"/>
  <c r="P15" i="8" s="1"/>
  <c r="Q15" i="8" s="1"/>
  <c r="R15" i="8" s="1"/>
  <c r="S15" i="8" s="1"/>
  <c r="N15" i="8"/>
  <c r="S6" i="8"/>
  <c r="M6" i="8"/>
  <c r="E13" i="8"/>
  <c r="H22" i="3"/>
  <c r="I22" i="3"/>
  <c r="J22" i="3"/>
  <c r="K22" i="3"/>
  <c r="L22" i="3"/>
  <c r="G22" i="3"/>
  <c r="E9" i="8"/>
  <c r="E17" i="8" s="1"/>
  <c r="E7" i="8"/>
  <c r="L5" i="7"/>
  <c r="N17" i="8" l="1"/>
  <c r="Q17" i="8"/>
  <c r="S17" i="8"/>
  <c r="R17" i="8"/>
  <c r="M17" i="8"/>
  <c r="P17" i="8"/>
  <c r="O17" i="8"/>
  <c r="L4" i="7" l="1"/>
  <c r="L3" i="7"/>
  <c r="E5" i="7"/>
  <c r="M34" i="6"/>
  <c r="M30" i="6"/>
  <c r="N30" i="6"/>
  <c r="O30" i="6"/>
  <c r="P30" i="6"/>
  <c r="Q30" i="6"/>
  <c r="R30" i="6"/>
  <c r="S30" i="6"/>
  <c r="N5" i="5"/>
  <c r="O5" i="5"/>
  <c r="P5" i="5"/>
  <c r="Q5" i="5" s="1"/>
  <c r="R5" i="5" s="1"/>
  <c r="S5" i="5" s="1"/>
  <c r="M5" i="5"/>
  <c r="M13" i="6"/>
  <c r="N13" i="6"/>
  <c r="O13" i="6"/>
  <c r="P13" i="6"/>
  <c r="Q13" i="6"/>
  <c r="R13" i="6"/>
  <c r="S13" i="6"/>
  <c r="M15" i="3"/>
  <c r="G27" i="2"/>
  <c r="H27" i="2"/>
  <c r="H28" i="2" s="1"/>
  <c r="I27" i="2"/>
  <c r="I28" i="2" s="1"/>
  <c r="J27" i="2"/>
  <c r="J28" i="2" s="1"/>
  <c r="K27" i="2"/>
  <c r="L27" i="2"/>
  <c r="L28" i="2" s="1"/>
  <c r="F27" i="2"/>
  <c r="H26" i="2"/>
  <c r="I26" i="2" s="1"/>
  <c r="J26" i="2" s="1"/>
  <c r="K26" i="2" s="1"/>
  <c r="L26" i="2" s="1"/>
  <c r="M26" i="2" s="1"/>
  <c r="N26" i="2" s="1"/>
  <c r="O26" i="2" s="1"/>
  <c r="P26" i="2" s="1"/>
  <c r="Q26" i="2" s="1"/>
  <c r="R26" i="2" s="1"/>
  <c r="S26" i="2" s="1"/>
  <c r="G26" i="2"/>
  <c r="H34" i="6"/>
  <c r="I34" i="6"/>
  <c r="J34" i="6"/>
  <c r="K34" i="6"/>
  <c r="L34" i="6"/>
  <c r="G34" i="6"/>
  <c r="G35" i="6"/>
  <c r="H35" i="6"/>
  <c r="I35" i="6"/>
  <c r="J35" i="6"/>
  <c r="K35" i="6"/>
  <c r="L35" i="6"/>
  <c r="F35" i="6"/>
  <c r="H31" i="6"/>
  <c r="I31" i="6"/>
  <c r="J31" i="6"/>
  <c r="H30" i="6"/>
  <c r="I30" i="6"/>
  <c r="J30" i="6"/>
  <c r="K30" i="6"/>
  <c r="L30" i="6"/>
  <c r="G30" i="6"/>
  <c r="H29" i="6"/>
  <c r="I29" i="6"/>
  <c r="J29" i="6"/>
  <c r="K29" i="6"/>
  <c r="K31" i="6" s="1"/>
  <c r="L29" i="6"/>
  <c r="L31" i="6" s="1"/>
  <c r="G29" i="6"/>
  <c r="G31" i="6" s="1"/>
  <c r="H26" i="6"/>
  <c r="G26" i="6"/>
  <c r="H25" i="6"/>
  <c r="I25" i="6"/>
  <c r="J25" i="6"/>
  <c r="K25" i="6"/>
  <c r="L25" i="6"/>
  <c r="G25" i="6"/>
  <c r="H24" i="6"/>
  <c r="I24" i="6"/>
  <c r="I26" i="6" s="1"/>
  <c r="J24" i="6"/>
  <c r="J26" i="6" s="1"/>
  <c r="K24" i="6"/>
  <c r="K26" i="6" s="1"/>
  <c r="L24" i="6"/>
  <c r="L26" i="6" s="1"/>
  <c r="G24" i="6"/>
  <c r="M27" i="2" l="1"/>
  <c r="N27" i="2" s="1"/>
  <c r="O27" i="2" s="1"/>
  <c r="O28" i="2" s="1"/>
  <c r="O4" i="2" s="1"/>
  <c r="G28" i="2"/>
  <c r="K28" i="2"/>
  <c r="M28" i="2"/>
  <c r="M4" i="2" s="1"/>
  <c r="M4" i="4" s="1"/>
  <c r="N28" i="2" l="1"/>
  <c r="N4" i="2" s="1"/>
  <c r="P27" i="2"/>
  <c r="P28" i="2" s="1"/>
  <c r="P4" i="2" s="1"/>
  <c r="N4" i="4"/>
  <c r="Q27" i="2"/>
  <c r="O4" i="4" l="1"/>
  <c r="R27" i="2"/>
  <c r="R28" i="2" s="1"/>
  <c r="R4" i="2" s="1"/>
  <c r="Q28" i="2"/>
  <c r="Q4" i="2" s="1"/>
  <c r="P4" i="4" l="1"/>
  <c r="S27" i="2"/>
  <c r="S28" i="2" s="1"/>
  <c r="S4" i="2" s="1"/>
  <c r="Q4" i="4" l="1"/>
  <c r="R4" i="4" l="1"/>
  <c r="S4" i="4" l="1"/>
  <c r="H17" i="6" l="1"/>
  <c r="I17" i="6"/>
  <c r="J17" i="6"/>
  <c r="K17" i="6"/>
  <c r="L17" i="6"/>
  <c r="G17" i="6"/>
  <c r="H16" i="6"/>
  <c r="I16" i="6"/>
  <c r="J16" i="6"/>
  <c r="K16" i="6"/>
  <c r="L16" i="6"/>
  <c r="G16" i="6"/>
  <c r="H15" i="6"/>
  <c r="I15" i="6"/>
  <c r="J15" i="6"/>
  <c r="K15" i="6"/>
  <c r="L15" i="6"/>
  <c r="G15" i="6"/>
  <c r="H14" i="6"/>
  <c r="I14" i="6"/>
  <c r="J14" i="6"/>
  <c r="K14" i="6"/>
  <c r="L14" i="6"/>
  <c r="G14" i="6"/>
  <c r="H13" i="6"/>
  <c r="I13" i="6"/>
  <c r="J13" i="6"/>
  <c r="K13" i="6"/>
  <c r="L13" i="6"/>
  <c r="G13" i="6"/>
  <c r="H12" i="6"/>
  <c r="I12" i="6"/>
  <c r="J12" i="6"/>
  <c r="K12" i="6"/>
  <c r="L12" i="6"/>
  <c r="G12" i="6"/>
  <c r="G11" i="6"/>
  <c r="H11" i="6"/>
  <c r="I11" i="6"/>
  <c r="J11" i="6"/>
  <c r="K11" i="6"/>
  <c r="L11" i="6"/>
  <c r="H10" i="6"/>
  <c r="I10" i="6"/>
  <c r="J10" i="6"/>
  <c r="K10" i="6"/>
  <c r="L10" i="6"/>
  <c r="G10" i="6"/>
  <c r="G7" i="6"/>
  <c r="H7" i="6"/>
  <c r="I7" i="6"/>
  <c r="J7" i="6"/>
  <c r="K7" i="6"/>
  <c r="L7" i="6"/>
  <c r="F7" i="6"/>
  <c r="G2" i="6"/>
  <c r="H2" i="6"/>
  <c r="I2" i="6"/>
  <c r="J2" i="6"/>
  <c r="K2" i="6"/>
  <c r="L2" i="6"/>
  <c r="M2" i="6"/>
  <c r="M2" i="8" s="1"/>
  <c r="N2" i="6"/>
  <c r="N2" i="8" s="1"/>
  <c r="O2" i="6"/>
  <c r="O2" i="8" s="1"/>
  <c r="P2" i="6"/>
  <c r="P2" i="8" s="1"/>
  <c r="Q2" i="6"/>
  <c r="Q2" i="8" s="1"/>
  <c r="R2" i="6"/>
  <c r="R2" i="8" s="1"/>
  <c r="S2" i="6"/>
  <c r="S2" i="8" s="1"/>
  <c r="F2" i="6"/>
  <c r="H20" i="3"/>
  <c r="I20" i="3"/>
  <c r="J20" i="3"/>
  <c r="K20" i="3"/>
  <c r="L20" i="3"/>
  <c r="G20" i="3"/>
  <c r="H15" i="3"/>
  <c r="I15" i="3"/>
  <c r="J15" i="3"/>
  <c r="K15" i="3"/>
  <c r="L15" i="3"/>
  <c r="G15" i="3"/>
  <c r="G18" i="3"/>
  <c r="H18" i="3"/>
  <c r="I18" i="3"/>
  <c r="J18" i="3"/>
  <c r="K18" i="3"/>
  <c r="L18" i="3"/>
  <c r="F18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F13" i="3"/>
  <c r="H10" i="3"/>
  <c r="I10" i="3"/>
  <c r="J10" i="3"/>
  <c r="K10" i="3"/>
  <c r="L10" i="3"/>
  <c r="G10" i="3"/>
  <c r="G7" i="3"/>
  <c r="H7" i="3"/>
  <c r="I7" i="3"/>
  <c r="J7" i="3"/>
  <c r="K7" i="3"/>
  <c r="L7" i="3"/>
  <c r="F7" i="3"/>
  <c r="H4" i="3"/>
  <c r="I4" i="3"/>
  <c r="J4" i="3"/>
  <c r="K4" i="3"/>
  <c r="L4" i="3"/>
  <c r="M4" i="3"/>
  <c r="G4" i="3"/>
  <c r="G8" i="3"/>
  <c r="H8" i="3"/>
  <c r="I8" i="3"/>
  <c r="J8" i="3"/>
  <c r="K8" i="3"/>
  <c r="L8" i="3"/>
  <c r="F8" i="3"/>
  <c r="G2" i="3"/>
  <c r="H2" i="3"/>
  <c r="I2" i="3"/>
  <c r="J2" i="3"/>
  <c r="K2" i="3"/>
  <c r="L2" i="3"/>
  <c r="M2" i="3"/>
  <c r="N2" i="3"/>
  <c r="O2" i="3"/>
  <c r="P2" i="3"/>
  <c r="Q2" i="3"/>
  <c r="R2" i="3"/>
  <c r="S2" i="3"/>
  <c r="F2" i="3"/>
  <c r="G22" i="2"/>
  <c r="H22" i="2"/>
  <c r="I22" i="2"/>
  <c r="J22" i="2"/>
  <c r="K22" i="2"/>
  <c r="L22" i="2"/>
  <c r="F22" i="2"/>
  <c r="M22" i="2" s="1"/>
  <c r="M10" i="3" l="1"/>
  <c r="N22" i="2"/>
  <c r="G21" i="2"/>
  <c r="H21" i="2"/>
  <c r="I21" i="2"/>
  <c r="J21" i="2"/>
  <c r="K21" i="2"/>
  <c r="L21" i="2"/>
  <c r="F21" i="2"/>
  <c r="M21" i="2" s="1"/>
  <c r="G20" i="2"/>
  <c r="H20" i="2"/>
  <c r="I20" i="2"/>
  <c r="J20" i="2"/>
  <c r="K20" i="2"/>
  <c r="L20" i="2"/>
  <c r="F20" i="2"/>
  <c r="G19" i="2"/>
  <c r="H19" i="2"/>
  <c r="I19" i="2"/>
  <c r="J19" i="2"/>
  <c r="K19" i="2"/>
  <c r="L19" i="2"/>
  <c r="F19" i="2"/>
  <c r="M19" i="2" s="1"/>
  <c r="G18" i="2"/>
  <c r="H18" i="2"/>
  <c r="I18" i="2"/>
  <c r="J18" i="2"/>
  <c r="K18" i="2"/>
  <c r="L18" i="2"/>
  <c r="F18" i="2"/>
  <c r="G17" i="2"/>
  <c r="H17" i="2"/>
  <c r="I17" i="2"/>
  <c r="J17" i="2"/>
  <c r="K17" i="2"/>
  <c r="L17" i="2"/>
  <c r="F17" i="2"/>
  <c r="G16" i="2"/>
  <c r="H16" i="2"/>
  <c r="I16" i="2"/>
  <c r="J16" i="2"/>
  <c r="K16" i="2"/>
  <c r="L16" i="2"/>
  <c r="F16" i="2"/>
  <c r="M16" i="2" s="1"/>
  <c r="G12" i="2"/>
  <c r="H12" i="2"/>
  <c r="I12" i="2"/>
  <c r="J12" i="2"/>
  <c r="K12" i="2"/>
  <c r="L12" i="2"/>
  <c r="F12" i="2"/>
  <c r="H11" i="2"/>
  <c r="I11" i="2"/>
  <c r="J11" i="2"/>
  <c r="K11" i="2"/>
  <c r="L11" i="2"/>
  <c r="G11" i="2"/>
  <c r="M11" i="2" s="1"/>
  <c r="H9" i="2"/>
  <c r="I9" i="2"/>
  <c r="J9" i="2"/>
  <c r="K9" i="2"/>
  <c r="L9" i="2"/>
  <c r="G9" i="2"/>
  <c r="M9" i="2" s="1"/>
  <c r="G7" i="2"/>
  <c r="H7" i="2"/>
  <c r="I7" i="2"/>
  <c r="J7" i="2"/>
  <c r="K7" i="2"/>
  <c r="L7" i="2"/>
  <c r="F7" i="2"/>
  <c r="G5" i="2"/>
  <c r="G6" i="2" s="1"/>
  <c r="H5" i="2"/>
  <c r="H6" i="2" s="1"/>
  <c r="I5" i="2"/>
  <c r="I6" i="2" s="1"/>
  <c r="J5" i="2"/>
  <c r="J6" i="2" s="1"/>
  <c r="K5" i="2"/>
  <c r="K6" i="2" s="1"/>
  <c r="L5" i="2"/>
  <c r="L6" i="2" s="1"/>
  <c r="F5" i="2"/>
  <c r="H4" i="2"/>
  <c r="I4" i="2"/>
  <c r="J4" i="2"/>
  <c r="K4" i="2"/>
  <c r="L4" i="2"/>
  <c r="G4" i="2"/>
  <c r="G2" i="2"/>
  <c r="H2" i="2"/>
  <c r="I2" i="2"/>
  <c r="J2" i="2"/>
  <c r="K2" i="2"/>
  <c r="L2" i="2"/>
  <c r="M2" i="2"/>
  <c r="N2" i="2"/>
  <c r="O2" i="2"/>
  <c r="P2" i="2"/>
  <c r="Q2" i="2"/>
  <c r="R2" i="2"/>
  <c r="S2" i="2"/>
  <c r="F2" i="2"/>
  <c r="G41" i="5"/>
  <c r="H41" i="5"/>
  <c r="I41" i="5"/>
  <c r="J41" i="5"/>
  <c r="K41" i="5"/>
  <c r="L41" i="5"/>
  <c r="F41" i="5"/>
  <c r="G39" i="5"/>
  <c r="H39" i="5"/>
  <c r="I39" i="5"/>
  <c r="J39" i="5"/>
  <c r="K39" i="5"/>
  <c r="L39" i="5"/>
  <c r="F39" i="5"/>
  <c r="G37" i="5"/>
  <c r="H37" i="5"/>
  <c r="I37" i="5"/>
  <c r="J37" i="5"/>
  <c r="K37" i="5"/>
  <c r="L37" i="5"/>
  <c r="F37" i="5"/>
  <c r="F33" i="5"/>
  <c r="G33" i="5"/>
  <c r="H33" i="5"/>
  <c r="I33" i="5"/>
  <c r="J33" i="5"/>
  <c r="K33" i="5"/>
  <c r="L33" i="5"/>
  <c r="F34" i="5"/>
  <c r="G34" i="5"/>
  <c r="H34" i="5"/>
  <c r="I34" i="5"/>
  <c r="J34" i="5"/>
  <c r="K34" i="5"/>
  <c r="L34" i="5"/>
  <c r="F35" i="5"/>
  <c r="G35" i="5"/>
  <c r="H35" i="5"/>
  <c r="I35" i="5"/>
  <c r="J35" i="5"/>
  <c r="K35" i="5"/>
  <c r="L35" i="5"/>
  <c r="F36" i="5"/>
  <c r="G36" i="5"/>
  <c r="H36" i="5"/>
  <c r="I36" i="5"/>
  <c r="J36" i="5"/>
  <c r="K36" i="5"/>
  <c r="L36" i="5"/>
  <c r="G32" i="5"/>
  <c r="H32" i="5"/>
  <c r="I32" i="5"/>
  <c r="J32" i="5"/>
  <c r="K32" i="5"/>
  <c r="L32" i="5"/>
  <c r="F32" i="5"/>
  <c r="O29" i="1"/>
  <c r="P29" i="1"/>
  <c r="Q29" i="1"/>
  <c r="R29" i="1"/>
  <c r="S29" i="1"/>
  <c r="T29" i="1"/>
  <c r="N29" i="1"/>
  <c r="G29" i="5"/>
  <c r="H29" i="5"/>
  <c r="I29" i="5"/>
  <c r="J29" i="5"/>
  <c r="K29" i="5"/>
  <c r="L29" i="5"/>
  <c r="F29" i="5"/>
  <c r="G27" i="5"/>
  <c r="H27" i="5"/>
  <c r="I27" i="5"/>
  <c r="J27" i="5"/>
  <c r="K27" i="5"/>
  <c r="K28" i="5" s="1"/>
  <c r="L27" i="5"/>
  <c r="L28" i="5" s="1"/>
  <c r="F27" i="5"/>
  <c r="F28" i="5" s="1"/>
  <c r="G26" i="5"/>
  <c r="G28" i="5" s="1"/>
  <c r="H26" i="5"/>
  <c r="H28" i="5" s="1"/>
  <c r="I26" i="5"/>
  <c r="I28" i="5" s="1"/>
  <c r="J26" i="5"/>
  <c r="J28" i="5" s="1"/>
  <c r="K26" i="5"/>
  <c r="L26" i="5"/>
  <c r="F26" i="5"/>
  <c r="F19" i="5"/>
  <c r="G19" i="5"/>
  <c r="H19" i="5"/>
  <c r="I19" i="5"/>
  <c r="J19" i="5"/>
  <c r="K19" i="5"/>
  <c r="L19" i="5"/>
  <c r="F20" i="5"/>
  <c r="G20" i="5"/>
  <c r="H20" i="5"/>
  <c r="I20" i="5"/>
  <c r="J20" i="5"/>
  <c r="K20" i="5"/>
  <c r="L20" i="5"/>
  <c r="G18" i="5"/>
  <c r="H18" i="5"/>
  <c r="I18" i="5"/>
  <c r="J18" i="5"/>
  <c r="K18" i="5"/>
  <c r="K21" i="5" s="1"/>
  <c r="L18" i="5"/>
  <c r="L21" i="5" s="1"/>
  <c r="F18" i="5"/>
  <c r="G14" i="5"/>
  <c r="H14" i="5"/>
  <c r="I14" i="5"/>
  <c r="J14" i="5"/>
  <c r="K14" i="5"/>
  <c r="L14" i="5"/>
  <c r="F14" i="5"/>
  <c r="G13" i="5"/>
  <c r="H13" i="5"/>
  <c r="I13" i="5"/>
  <c r="J13" i="5"/>
  <c r="K13" i="5"/>
  <c r="L13" i="5"/>
  <c r="F13" i="5"/>
  <c r="G12" i="5"/>
  <c r="H12" i="5"/>
  <c r="I12" i="5"/>
  <c r="J12" i="5"/>
  <c r="K12" i="5"/>
  <c r="L12" i="5"/>
  <c r="F12" i="5"/>
  <c r="F15" i="5" s="1"/>
  <c r="G11" i="5"/>
  <c r="G15" i="5" s="1"/>
  <c r="H11" i="5"/>
  <c r="I11" i="5"/>
  <c r="J11" i="5"/>
  <c r="K11" i="5"/>
  <c r="L11" i="5"/>
  <c r="F11" i="5"/>
  <c r="F7" i="5"/>
  <c r="G6" i="5"/>
  <c r="G7" i="5" s="1"/>
  <c r="H6" i="5"/>
  <c r="H7" i="5" s="1"/>
  <c r="I6" i="5"/>
  <c r="I7" i="5" s="1"/>
  <c r="J6" i="5"/>
  <c r="J7" i="5" s="1"/>
  <c r="K6" i="5"/>
  <c r="K7" i="5" s="1"/>
  <c r="L6" i="5"/>
  <c r="L7" i="5" s="1"/>
  <c r="F6" i="5"/>
  <c r="G5" i="5"/>
  <c r="H5" i="5"/>
  <c r="I5" i="5"/>
  <c r="J5" i="5"/>
  <c r="K5" i="5"/>
  <c r="L5" i="5"/>
  <c r="F5" i="5"/>
  <c r="G2" i="5"/>
  <c r="H2" i="5"/>
  <c r="I2" i="5"/>
  <c r="J2" i="5"/>
  <c r="K2" i="5"/>
  <c r="L2" i="5"/>
  <c r="M2" i="5"/>
  <c r="N2" i="5"/>
  <c r="O2" i="5"/>
  <c r="P2" i="5"/>
  <c r="Q2" i="5"/>
  <c r="R2" i="5"/>
  <c r="S2" i="5"/>
  <c r="F2" i="5"/>
  <c r="G13" i="4"/>
  <c r="H13" i="4"/>
  <c r="I13" i="4"/>
  <c r="J13" i="4"/>
  <c r="K13" i="4"/>
  <c r="L13" i="4"/>
  <c r="F13" i="4"/>
  <c r="G10" i="4"/>
  <c r="H10" i="4"/>
  <c r="I10" i="4"/>
  <c r="J10" i="4"/>
  <c r="K10" i="4"/>
  <c r="L10" i="4"/>
  <c r="F10" i="4"/>
  <c r="G8" i="4"/>
  <c r="H8" i="4"/>
  <c r="I8" i="4"/>
  <c r="J8" i="4"/>
  <c r="K8" i="4"/>
  <c r="L8" i="4"/>
  <c r="F8" i="4"/>
  <c r="G7" i="4"/>
  <c r="G9" i="4" s="1"/>
  <c r="G12" i="4" s="1"/>
  <c r="H7" i="4"/>
  <c r="H9" i="4" s="1"/>
  <c r="I7" i="4"/>
  <c r="I9" i="4" s="1"/>
  <c r="J7" i="4"/>
  <c r="J9" i="4" s="1"/>
  <c r="K7" i="4"/>
  <c r="K9" i="4" s="1"/>
  <c r="K12" i="4" s="1"/>
  <c r="K15" i="4" s="1"/>
  <c r="K6" i="6" s="1"/>
  <c r="L7" i="4"/>
  <c r="L9" i="4" s="1"/>
  <c r="L12" i="4" s="1"/>
  <c r="L15" i="4" s="1"/>
  <c r="L6" i="6" s="1"/>
  <c r="F5" i="4"/>
  <c r="G5" i="4"/>
  <c r="H5" i="4"/>
  <c r="I5" i="4"/>
  <c r="J5" i="4"/>
  <c r="K5" i="4"/>
  <c r="L5" i="4"/>
  <c r="G4" i="4"/>
  <c r="H4" i="4"/>
  <c r="I4" i="4"/>
  <c r="J4" i="4"/>
  <c r="K4" i="4"/>
  <c r="L4" i="4"/>
  <c r="F4" i="4"/>
  <c r="F7" i="4" s="1"/>
  <c r="F9" i="4" s="1"/>
  <c r="F12" i="4" s="1"/>
  <c r="F15" i="4" s="1"/>
  <c r="F6" i="6" s="1"/>
  <c r="G2" i="4"/>
  <c r="H2" i="4"/>
  <c r="I2" i="4"/>
  <c r="J2" i="4"/>
  <c r="K2" i="4"/>
  <c r="L2" i="4"/>
  <c r="M2" i="4" s="1"/>
  <c r="N2" i="4" s="1"/>
  <c r="O2" i="4" s="1"/>
  <c r="P2" i="4" s="1"/>
  <c r="Q2" i="4" s="1"/>
  <c r="R2" i="4" s="1"/>
  <c r="S2" i="4" s="1"/>
  <c r="F2" i="4"/>
  <c r="L8" i="2" l="1"/>
  <c r="L17" i="4"/>
  <c r="L19" i="6" s="1"/>
  <c r="L20" i="6" s="1"/>
  <c r="L33" i="6" s="1"/>
  <c r="I12" i="4"/>
  <c r="I8" i="2"/>
  <c r="H12" i="4"/>
  <c r="H8" i="2"/>
  <c r="G15" i="4"/>
  <c r="G10" i="2"/>
  <c r="J12" i="4"/>
  <c r="J8" i="2"/>
  <c r="K8" i="2"/>
  <c r="M20" i="3"/>
  <c r="M13" i="4" s="1"/>
  <c r="K17" i="4"/>
  <c r="K19" i="6" s="1"/>
  <c r="K20" i="6" s="1"/>
  <c r="K33" i="6" s="1"/>
  <c r="G8" i="2"/>
  <c r="M17" i="2"/>
  <c r="N17" i="2" s="1"/>
  <c r="N33" i="5" s="1"/>
  <c r="N11" i="2"/>
  <c r="O11" i="2" s="1"/>
  <c r="M7" i="2"/>
  <c r="M8" i="4" s="1"/>
  <c r="N9" i="2"/>
  <c r="O9" i="2" s="1"/>
  <c r="M5" i="2"/>
  <c r="F10" i="2"/>
  <c r="M20" i="2"/>
  <c r="N10" i="3"/>
  <c r="M5" i="3"/>
  <c r="L10" i="2"/>
  <c r="O22" i="2"/>
  <c r="K10" i="2"/>
  <c r="M18" i="2"/>
  <c r="L18" i="4"/>
  <c r="K18" i="4"/>
  <c r="M6" i="2"/>
  <c r="N5" i="2"/>
  <c r="M5" i="4"/>
  <c r="F8" i="2"/>
  <c r="N16" i="2"/>
  <c r="N32" i="5" s="1"/>
  <c r="M32" i="5"/>
  <c r="M10" i="6" s="1"/>
  <c r="F6" i="2"/>
  <c r="N21" i="2"/>
  <c r="N19" i="5" s="1"/>
  <c r="M19" i="5"/>
  <c r="M15" i="6" s="1"/>
  <c r="O21" i="2"/>
  <c r="O19" i="5" s="1"/>
  <c r="O15" i="6" s="1"/>
  <c r="N19" i="2"/>
  <c r="M29" i="5"/>
  <c r="F17" i="4"/>
  <c r="F18" i="4" s="1"/>
  <c r="N7" i="2"/>
  <c r="L15" i="5"/>
  <c r="H15" i="5"/>
  <c r="K15" i="5"/>
  <c r="I21" i="5"/>
  <c r="G21" i="5"/>
  <c r="I15" i="5"/>
  <c r="J21" i="5"/>
  <c r="H21" i="5"/>
  <c r="J15" i="5"/>
  <c r="F21" i="5"/>
  <c r="J22" i="5"/>
  <c r="F22" i="5"/>
  <c r="H22" i="5"/>
  <c r="L22" i="5"/>
  <c r="G22" i="5"/>
  <c r="K22" i="5"/>
  <c r="P21" i="2" l="1"/>
  <c r="Q21" i="2" s="1"/>
  <c r="Q19" i="5" s="1"/>
  <c r="P22" i="2"/>
  <c r="Q22" i="2" s="1"/>
  <c r="R22" i="2" s="1"/>
  <c r="S22" i="2" s="1"/>
  <c r="M33" i="5"/>
  <c r="N18" i="2"/>
  <c r="N36" i="5" s="1"/>
  <c r="M36" i="5"/>
  <c r="M12" i="6" s="1"/>
  <c r="M24" i="6"/>
  <c r="M10" i="8" s="1"/>
  <c r="M7" i="3"/>
  <c r="M10" i="4" s="1"/>
  <c r="O10" i="3"/>
  <c r="N5" i="3"/>
  <c r="N20" i="2"/>
  <c r="O20" i="2" s="1"/>
  <c r="P9" i="2"/>
  <c r="J15" i="4"/>
  <c r="J10" i="2"/>
  <c r="G6" i="6"/>
  <c r="G17" i="4"/>
  <c r="H15" i="4"/>
  <c r="H10" i="2"/>
  <c r="P11" i="2"/>
  <c r="I15" i="4"/>
  <c r="I10" i="2"/>
  <c r="N11" i="6"/>
  <c r="M11" i="6"/>
  <c r="O16" i="2"/>
  <c r="N10" i="6"/>
  <c r="M25" i="6"/>
  <c r="M26" i="6" s="1"/>
  <c r="O19" i="2"/>
  <c r="N29" i="5"/>
  <c r="R21" i="2"/>
  <c r="P19" i="5"/>
  <c r="P15" i="6" s="1"/>
  <c r="M20" i="5"/>
  <c r="M16" i="6" s="1"/>
  <c r="M18" i="5"/>
  <c r="M7" i="4"/>
  <c r="M9" i="4" s="1"/>
  <c r="O7" i="2"/>
  <c r="N8" i="4"/>
  <c r="N15" i="6"/>
  <c r="N6" i="2"/>
  <c r="N5" i="4"/>
  <c r="O5" i="2"/>
  <c r="O17" i="2"/>
  <c r="O33" i="5" s="1"/>
  <c r="O11" i="6" s="1"/>
  <c r="I22" i="5"/>
  <c r="M8" i="3" l="1"/>
  <c r="N12" i="6"/>
  <c r="O18" i="2"/>
  <c r="P18" i="2"/>
  <c r="P36" i="5" s="1"/>
  <c r="Q18" i="2"/>
  <c r="Q36" i="5" s="1"/>
  <c r="N24" i="6"/>
  <c r="N10" i="8" s="1"/>
  <c r="P10" i="3"/>
  <c r="O5" i="3"/>
  <c r="G19" i="6"/>
  <c r="G20" i="6" s="1"/>
  <c r="G33" i="6" s="1"/>
  <c r="G18" i="4"/>
  <c r="J6" i="6"/>
  <c r="J17" i="4"/>
  <c r="J19" i="6" s="1"/>
  <c r="J20" i="6" s="1"/>
  <c r="J33" i="6" s="1"/>
  <c r="M28" i="5"/>
  <c r="N4" i="3"/>
  <c r="M8" i="8"/>
  <c r="M7" i="6"/>
  <c r="M17" i="3"/>
  <c r="M18" i="3" s="1"/>
  <c r="M29" i="6"/>
  <c r="M31" i="6" s="1"/>
  <c r="I6" i="6"/>
  <c r="I17" i="4"/>
  <c r="I19" i="6" s="1"/>
  <c r="I18" i="4"/>
  <c r="H6" i="6"/>
  <c r="H17" i="4"/>
  <c r="H19" i="6" s="1"/>
  <c r="H20" i="6" s="1"/>
  <c r="H33" i="6" s="1"/>
  <c r="H18" i="4"/>
  <c r="Q9" i="2"/>
  <c r="R9" i="2" s="1"/>
  <c r="S9" i="2" s="1"/>
  <c r="Q11" i="2"/>
  <c r="R11" i="2" s="1"/>
  <c r="S11" i="2" s="1"/>
  <c r="P20" i="2"/>
  <c r="Q20" i="2" s="1"/>
  <c r="R20" i="2" s="1"/>
  <c r="S20" i="2" s="1"/>
  <c r="O29" i="5"/>
  <c r="O25" i="6" s="1"/>
  <c r="P19" i="2"/>
  <c r="P29" i="5" s="1"/>
  <c r="R19" i="5"/>
  <c r="R15" i="6" s="1"/>
  <c r="S21" i="2"/>
  <c r="S19" i="5" s="1"/>
  <c r="P16" i="2"/>
  <c r="O32" i="5"/>
  <c r="N18" i="5"/>
  <c r="N20" i="5"/>
  <c r="N16" i="6" s="1"/>
  <c r="N7" i="4"/>
  <c r="N9" i="4" s="1"/>
  <c r="N25" i="6"/>
  <c r="N26" i="6" s="1"/>
  <c r="O8" i="4"/>
  <c r="P7" i="2"/>
  <c r="Q7" i="2" s="1"/>
  <c r="Q8" i="4" s="1"/>
  <c r="M21" i="5"/>
  <c r="M14" i="6"/>
  <c r="M17" i="6" s="1"/>
  <c r="O6" i="2"/>
  <c r="O5" i="4"/>
  <c r="P5" i="2"/>
  <c r="M12" i="4"/>
  <c r="M8" i="2"/>
  <c r="P17" i="2"/>
  <c r="Q15" i="6"/>
  <c r="J18" i="4" l="1"/>
  <c r="S15" i="6"/>
  <c r="Q12" i="6"/>
  <c r="O36" i="5"/>
  <c r="R18" i="2"/>
  <c r="M15" i="5"/>
  <c r="N15" i="3"/>
  <c r="N7" i="3"/>
  <c r="N10" i="4" s="1"/>
  <c r="M22" i="5"/>
  <c r="O24" i="6"/>
  <c r="O10" i="8" s="1"/>
  <c r="Q19" i="2"/>
  <c r="R19" i="2" s="1"/>
  <c r="Q10" i="3"/>
  <c r="P5" i="3"/>
  <c r="I20" i="6"/>
  <c r="I33" i="6" s="1"/>
  <c r="Q17" i="2"/>
  <c r="P33" i="5"/>
  <c r="Q16" i="2"/>
  <c r="Q32" i="5" s="1"/>
  <c r="P32" i="5"/>
  <c r="P10" i="6" s="1"/>
  <c r="N8" i="2"/>
  <c r="O10" i="6"/>
  <c r="N21" i="5"/>
  <c r="N14" i="6"/>
  <c r="N17" i="6" s="1"/>
  <c r="O18" i="5"/>
  <c r="O20" i="5"/>
  <c r="O16" i="6" s="1"/>
  <c r="O7" i="4"/>
  <c r="O9" i="4" s="1"/>
  <c r="M9" i="8"/>
  <c r="P6" i="2"/>
  <c r="P5" i="4"/>
  <c r="Q5" i="2"/>
  <c r="M5" i="8"/>
  <c r="M7" i="8" s="1"/>
  <c r="M10" i="2"/>
  <c r="M15" i="4"/>
  <c r="R7" i="2"/>
  <c r="R8" i="4" s="1"/>
  <c r="P8" i="4"/>
  <c r="P25" i="6"/>
  <c r="N8" i="3" l="1"/>
  <c r="R36" i="5"/>
  <c r="R12" i="6" s="1"/>
  <c r="S18" i="2"/>
  <c r="S36" i="5" s="1"/>
  <c r="S12" i="6" s="1"/>
  <c r="P12" i="6"/>
  <c r="O12" i="6"/>
  <c r="P24" i="6"/>
  <c r="P10" i="8" s="1"/>
  <c r="O4" i="3"/>
  <c r="N28" i="5"/>
  <c r="R10" i="3"/>
  <c r="Q5" i="3"/>
  <c r="N8" i="8"/>
  <c r="N7" i="6"/>
  <c r="Q29" i="5"/>
  <c r="Q25" i="6" s="1"/>
  <c r="P26" i="6"/>
  <c r="N12" i="4"/>
  <c r="N15" i="4" s="1"/>
  <c r="N17" i="3"/>
  <c r="N29" i="6" s="1"/>
  <c r="N31" i="6" s="1"/>
  <c r="N20" i="3"/>
  <c r="N13" i="4" s="1"/>
  <c r="M12" i="8"/>
  <c r="M18" i="8" s="1"/>
  <c r="M20" i="8" s="1"/>
  <c r="R16" i="2"/>
  <c r="O26" i="6"/>
  <c r="N9" i="8"/>
  <c r="M17" i="4"/>
  <c r="M19" i="6" s="1"/>
  <c r="M6" i="6"/>
  <c r="M18" i="4"/>
  <c r="M6" i="5" s="1"/>
  <c r="O8" i="2"/>
  <c r="Q10" i="6"/>
  <c r="Q6" i="2"/>
  <c r="Q5" i="4"/>
  <c r="R5" i="2"/>
  <c r="S16" i="2"/>
  <c r="S32" i="5" s="1"/>
  <c r="R32" i="5"/>
  <c r="P11" i="6"/>
  <c r="O21" i="5"/>
  <c r="O14" i="6"/>
  <c r="O17" i="6" s="1"/>
  <c r="S7" i="2"/>
  <c r="S8" i="4" s="1"/>
  <c r="P18" i="5"/>
  <c r="P20" i="5"/>
  <c r="P16" i="6" s="1"/>
  <c r="P7" i="4"/>
  <c r="P9" i="4" s="1"/>
  <c r="R29" i="5"/>
  <c r="S19" i="2"/>
  <c r="S29" i="5" s="1"/>
  <c r="R17" i="2"/>
  <c r="Q33" i="5"/>
  <c r="M20" i="6" l="1"/>
  <c r="M33" i="6" s="1"/>
  <c r="M35" i="6" s="1"/>
  <c r="M34" i="5" s="1"/>
  <c r="M37" i="5" s="1"/>
  <c r="M39" i="5" s="1"/>
  <c r="S10" i="6"/>
  <c r="N18" i="3"/>
  <c r="N10" i="2"/>
  <c r="S10" i="3"/>
  <c r="S5" i="3" s="1"/>
  <c r="R5" i="3"/>
  <c r="Q24" i="6"/>
  <c r="Q10" i="8" s="1"/>
  <c r="N5" i="8"/>
  <c r="N7" i="8" s="1"/>
  <c r="N12" i="8" s="1"/>
  <c r="N18" i="8" s="1"/>
  <c r="N20" i="8" s="1"/>
  <c r="O7" i="3"/>
  <c r="O10" i="4" s="1"/>
  <c r="N15" i="5"/>
  <c r="N22" i="5" s="1"/>
  <c r="O15" i="3"/>
  <c r="O9" i="8"/>
  <c r="R33" i="5"/>
  <c r="R11" i="6" s="1"/>
  <c r="S17" i="2"/>
  <c r="S33" i="5" s="1"/>
  <c r="S11" i="6" s="1"/>
  <c r="Q18" i="5"/>
  <c r="Q20" i="5"/>
  <c r="Q16" i="6" s="1"/>
  <c r="Q7" i="4"/>
  <c r="Q9" i="4" s="1"/>
  <c r="S5" i="2"/>
  <c r="R6" i="2"/>
  <c r="R5" i="4"/>
  <c r="R10" i="6"/>
  <c r="P8" i="2"/>
  <c r="P14" i="6"/>
  <c r="P17" i="6" s="1"/>
  <c r="P21" i="5"/>
  <c r="N17" i="4"/>
  <c r="N19" i="6" s="1"/>
  <c r="N6" i="6"/>
  <c r="S25" i="6"/>
  <c r="M7" i="5"/>
  <c r="M22" i="3" s="1"/>
  <c r="Q11" i="6"/>
  <c r="R25" i="6"/>
  <c r="N34" i="6" l="1"/>
  <c r="N18" i="4"/>
  <c r="N6" i="5" s="1"/>
  <c r="O8" i="3"/>
  <c r="M41" i="5"/>
  <c r="O17" i="3"/>
  <c r="O29" i="6" s="1"/>
  <c r="O31" i="6" s="1"/>
  <c r="O20" i="3"/>
  <c r="O13" i="4" s="1"/>
  <c r="O18" i="3"/>
  <c r="O8" i="8"/>
  <c r="O7" i="6"/>
  <c r="O12" i="4"/>
  <c r="R24" i="6"/>
  <c r="R10" i="8" s="1"/>
  <c r="R26" i="6"/>
  <c r="S24" i="6"/>
  <c r="S10" i="8" s="1"/>
  <c r="S26" i="6"/>
  <c r="Q26" i="6"/>
  <c r="P4" i="3"/>
  <c r="O28" i="5"/>
  <c r="N20" i="6"/>
  <c r="N33" i="6" s="1"/>
  <c r="N35" i="6" s="1"/>
  <c r="N7" i="5"/>
  <c r="N22" i="3" s="1"/>
  <c r="S6" i="2"/>
  <c r="S5" i="4"/>
  <c r="R18" i="5"/>
  <c r="R20" i="5"/>
  <c r="R16" i="6" s="1"/>
  <c r="R7" i="4"/>
  <c r="R9" i="4" s="1"/>
  <c r="Q8" i="2"/>
  <c r="Q21" i="5"/>
  <c r="Q14" i="6"/>
  <c r="Q17" i="6" s="1"/>
  <c r="P9" i="8"/>
  <c r="O5" i="8" l="1"/>
  <c r="O7" i="8" s="1"/>
  <c r="O12" i="8" s="1"/>
  <c r="O18" i="8" s="1"/>
  <c r="O20" i="8" s="1"/>
  <c r="O10" i="2"/>
  <c r="O15" i="4"/>
  <c r="P15" i="3"/>
  <c r="O15" i="5"/>
  <c r="O22" i="5" s="1"/>
  <c r="P7" i="3"/>
  <c r="P10" i="4" s="1"/>
  <c r="O34" i="6"/>
  <c r="N34" i="5"/>
  <c r="N37" i="5" s="1"/>
  <c r="N39" i="5" s="1"/>
  <c r="N41" i="5" s="1"/>
  <c r="Q9" i="8"/>
  <c r="R21" i="5"/>
  <c r="S18" i="5"/>
  <c r="S20" i="5"/>
  <c r="S16" i="6" s="1"/>
  <c r="S7" i="4"/>
  <c r="S9" i="4" s="1"/>
  <c r="R14" i="6"/>
  <c r="R17" i="6" s="1"/>
  <c r="R8" i="2"/>
  <c r="O6" i="6" l="1"/>
  <c r="O17" i="4"/>
  <c r="O19" i="6" s="1"/>
  <c r="P8" i="8"/>
  <c r="P7" i="6"/>
  <c r="P12" i="4"/>
  <c r="P8" i="3"/>
  <c r="P20" i="3"/>
  <c r="P13" i="4" s="1"/>
  <c r="P17" i="3"/>
  <c r="P29" i="6" s="1"/>
  <c r="P31" i="6" s="1"/>
  <c r="R9" i="8"/>
  <c r="S14" i="6"/>
  <c r="S17" i="6" s="1"/>
  <c r="S21" i="5"/>
  <c r="S8" i="2"/>
  <c r="P18" i="3" l="1"/>
  <c r="Q4" i="3"/>
  <c r="P28" i="5"/>
  <c r="P15" i="4"/>
  <c r="P10" i="2"/>
  <c r="P5" i="8"/>
  <c r="P7" i="8" s="1"/>
  <c r="P12" i="8" s="1"/>
  <c r="P18" i="8" s="1"/>
  <c r="P20" i="8" s="1"/>
  <c r="O18" i="4"/>
  <c r="O6" i="5" s="1"/>
  <c r="O7" i="5" s="1"/>
  <c r="O22" i="3" s="1"/>
  <c r="O20" i="6"/>
  <c r="O33" i="6" s="1"/>
  <c r="O35" i="6" s="1"/>
  <c r="S9" i="8"/>
  <c r="O34" i="5" l="1"/>
  <c r="O37" i="5" s="1"/>
  <c r="O39" i="5" s="1"/>
  <c r="O41" i="5" s="1"/>
  <c r="P34" i="6"/>
  <c r="P6" i="6"/>
  <c r="P17" i="4"/>
  <c r="P19" i="6" s="1"/>
  <c r="Q7" i="3"/>
  <c r="Q10" i="4" s="1"/>
  <c r="Q15" i="3"/>
  <c r="P15" i="5"/>
  <c r="P22" i="5" s="1"/>
  <c r="Q20" i="3" l="1"/>
  <c r="Q13" i="4" s="1"/>
  <c r="Q17" i="3"/>
  <c r="Q29" i="6" s="1"/>
  <c r="Q31" i="6" s="1"/>
  <c r="P20" i="6"/>
  <c r="P33" i="6" s="1"/>
  <c r="P35" i="6" s="1"/>
  <c r="Q8" i="3"/>
  <c r="P18" i="4"/>
  <c r="P6" i="5" s="1"/>
  <c r="P7" i="5" s="1"/>
  <c r="P22" i="3" s="1"/>
  <c r="Q8" i="8"/>
  <c r="Q7" i="6"/>
  <c r="Q12" i="4"/>
  <c r="Q18" i="3" l="1"/>
  <c r="Q34" i="6"/>
  <c r="P34" i="5"/>
  <c r="P37" i="5" s="1"/>
  <c r="P39" i="5" s="1"/>
  <c r="P41" i="5" s="1"/>
  <c r="R4" i="3"/>
  <c r="Q28" i="5"/>
  <c r="Q15" i="4"/>
  <c r="Q10" i="2"/>
  <c r="Q5" i="8"/>
  <c r="Q7" i="8" s="1"/>
  <c r="Q12" i="8" s="1"/>
  <c r="Q18" i="8" s="1"/>
  <c r="Q20" i="8" s="1"/>
  <c r="R15" i="3"/>
  <c r="Q15" i="5"/>
  <c r="Q22" i="5" s="1"/>
  <c r="R20" i="3" l="1"/>
  <c r="R13" i="4" s="1"/>
  <c r="R17" i="3"/>
  <c r="R29" i="6" s="1"/>
  <c r="R31" i="6" s="1"/>
  <c r="R18" i="3"/>
  <c r="Q6" i="6"/>
  <c r="Q17" i="4"/>
  <c r="Q19" i="6" s="1"/>
  <c r="R7" i="3"/>
  <c r="R10" i="4" s="1"/>
  <c r="R8" i="3"/>
  <c r="Q18" i="4" l="1"/>
  <c r="Q6" i="5" s="1"/>
  <c r="Q7" i="5" s="1"/>
  <c r="Q22" i="3" s="1"/>
  <c r="S4" i="3"/>
  <c r="R28" i="5"/>
  <c r="R8" i="8"/>
  <c r="R7" i="6"/>
  <c r="R12" i="4"/>
  <c r="Q20" i="6"/>
  <c r="Q33" i="6" s="1"/>
  <c r="Q35" i="6" s="1"/>
  <c r="S15" i="3"/>
  <c r="R15" i="5"/>
  <c r="R22" i="5" s="1"/>
  <c r="S20" i="3" l="1"/>
  <c r="S13" i="4" s="1"/>
  <c r="S17" i="3"/>
  <c r="S29" i="6" s="1"/>
  <c r="S31" i="6" s="1"/>
  <c r="R34" i="6"/>
  <c r="Q34" i="5"/>
  <c r="Q37" i="5" s="1"/>
  <c r="Q39" i="5" s="1"/>
  <c r="Q41" i="5" s="1"/>
  <c r="R5" i="8"/>
  <c r="R7" i="8" s="1"/>
  <c r="R12" i="8" s="1"/>
  <c r="R18" i="8" s="1"/>
  <c r="R20" i="8" s="1"/>
  <c r="R15" i="4"/>
  <c r="R10" i="2"/>
  <c r="S7" i="3"/>
  <c r="S10" i="4" s="1"/>
  <c r="S8" i="3" l="1"/>
  <c r="S28" i="5" s="1"/>
  <c r="S18" i="3"/>
  <c r="S15" i="5" s="1"/>
  <c r="S22" i="5" s="1"/>
  <c r="S8" i="8"/>
  <c r="S7" i="6"/>
  <c r="S12" i="4"/>
  <c r="R17" i="4"/>
  <c r="R19" i="6" s="1"/>
  <c r="R6" i="6"/>
  <c r="R18" i="4"/>
  <c r="R6" i="5" s="1"/>
  <c r="R20" i="6" l="1"/>
  <c r="R33" i="6" s="1"/>
  <c r="R35" i="6" s="1"/>
  <c r="R7" i="5"/>
  <c r="R22" i="3" s="1"/>
  <c r="S34" i="6"/>
  <c r="R34" i="5"/>
  <c r="R37" i="5" s="1"/>
  <c r="R39" i="5" s="1"/>
  <c r="R41" i="5" s="1"/>
  <c r="S10" i="2"/>
  <c r="S5" i="8"/>
  <c r="S7" i="8" s="1"/>
  <c r="S12" i="8" s="1"/>
  <c r="S15" i="4"/>
  <c r="S18" i="8" l="1"/>
  <c r="S13" i="8"/>
  <c r="S19" i="8" s="1"/>
  <c r="S20" i="8" s="1"/>
  <c r="M22" i="8" s="1"/>
  <c r="M25" i="8" s="1"/>
  <c r="M27" i="8" s="1"/>
  <c r="M29" i="8" s="1"/>
  <c r="S6" i="6"/>
  <c r="S17" i="4"/>
  <c r="S19" i="6" s="1"/>
  <c r="S18" i="4"/>
  <c r="S6" i="5" s="1"/>
  <c r="S7" i="5" s="1"/>
  <c r="S22" i="3" s="1"/>
  <c r="S20" i="6" l="1"/>
  <c r="S33" i="6" s="1"/>
  <c r="S35" i="6" s="1"/>
  <c r="S34" i="5" s="1"/>
  <c r="S37" i="5" s="1"/>
  <c r="S39" i="5" s="1"/>
  <c r="S41" i="5" s="1"/>
</calcChain>
</file>

<file path=xl/sharedStrings.xml><?xml version="1.0" encoding="utf-8"?>
<sst xmlns="http://schemas.openxmlformats.org/spreadsheetml/2006/main" count="730" uniqueCount="458">
  <si>
    <t>Balance Sheet</t>
  </si>
  <si>
    <t>Share Capital -</t>
  </si>
  <si>
    <t>Equity Capital</t>
  </si>
  <si>
    <t>Reserves</t>
  </si>
  <si>
    <t>Borrowings -</t>
  </si>
  <si>
    <t>Long term Borrowings</t>
  </si>
  <si>
    <t>Short term Borrowings</t>
  </si>
  <si>
    <t>Lease Liabilities</t>
  </si>
  <si>
    <t>Other Borrowings</t>
  </si>
  <si>
    <t>Other Liabilities -</t>
  </si>
  <si>
    <t>Trade Payables</t>
  </si>
  <si>
    <t>Advance from Customers</t>
  </si>
  <si>
    <t>Other liability items</t>
  </si>
  <si>
    <t>Total Liabilities</t>
  </si>
  <si>
    <t>Fixed Assets -</t>
  </si>
  <si>
    <t>Land</t>
  </si>
  <si>
    <t>Building</t>
  </si>
  <si>
    <t>Plant Machinery</t>
  </si>
  <si>
    <t>Equipments</t>
  </si>
  <si>
    <t>Computers</t>
  </si>
  <si>
    <t>Furniture n fittings</t>
  </si>
  <si>
    <t>Vehicles</t>
  </si>
  <si>
    <t>Intangible Assets</t>
  </si>
  <si>
    <t>Other fixed assets</t>
  </si>
  <si>
    <t>Gross Block</t>
  </si>
  <si>
    <t>Accumulated Depreciation</t>
  </si>
  <si>
    <t>CWIP</t>
  </si>
  <si>
    <t>Investments</t>
  </si>
  <si>
    <t>Other Assets -</t>
  </si>
  <si>
    <t>Inventories</t>
  </si>
  <si>
    <t>Trade receivables</t>
  </si>
  <si>
    <t>Cash Equivalents</t>
  </si>
  <si>
    <t>Short term loans</t>
  </si>
  <si>
    <t>Other asset items</t>
  </si>
  <si>
    <t>Total Assets</t>
  </si>
  <si>
    <t>Profit &amp; Loss</t>
  </si>
  <si>
    <t>Sales +</t>
  </si>
  <si>
    <t>Expenses +</t>
  </si>
  <si>
    <t>Operating Profit</t>
  </si>
  <si>
    <t>OPM %</t>
  </si>
  <si>
    <t>Other Income +</t>
  </si>
  <si>
    <t>Interest</t>
  </si>
  <si>
    <t>Depreciation</t>
  </si>
  <si>
    <t>Profit before tax</t>
  </si>
  <si>
    <t>Tax %</t>
  </si>
  <si>
    <t>Net Profit +</t>
  </si>
  <si>
    <t>EPS in Rs</t>
  </si>
  <si>
    <t>Dividend Payout %</t>
  </si>
  <si>
    <t>Profit and loss statement:</t>
  </si>
  <si>
    <t>Sales</t>
  </si>
  <si>
    <t>Expenses</t>
  </si>
  <si>
    <t>Other Income</t>
  </si>
  <si>
    <t>EBITDA</t>
  </si>
  <si>
    <t>EBIT</t>
  </si>
  <si>
    <t>PBT</t>
  </si>
  <si>
    <t>PAT</t>
  </si>
  <si>
    <t>Tax(%)</t>
  </si>
  <si>
    <t>Tax paid</t>
  </si>
  <si>
    <t>Shareholder's Equity</t>
  </si>
  <si>
    <t>Share capital</t>
  </si>
  <si>
    <t>Reserves and Surplus</t>
  </si>
  <si>
    <t>Total Shareholder's Equity</t>
  </si>
  <si>
    <t>Liabilities</t>
  </si>
  <si>
    <t>Borrowings:</t>
  </si>
  <si>
    <t>Short Term Borrowings</t>
  </si>
  <si>
    <t>Lease liabilities</t>
  </si>
  <si>
    <t>Total Borrowings</t>
  </si>
  <si>
    <t>Current Liabilities:</t>
  </si>
  <si>
    <t>Total Current Liabilities</t>
  </si>
  <si>
    <t>Total Liabilites</t>
  </si>
  <si>
    <t>Non Current Assets:</t>
  </si>
  <si>
    <t>Total Fixed Assets</t>
  </si>
  <si>
    <t>Current Assets'</t>
  </si>
  <si>
    <t>Total Current Assets</t>
  </si>
  <si>
    <t>Check</t>
  </si>
  <si>
    <t>Assumptions</t>
  </si>
  <si>
    <t>Revenue Growth Rate</t>
  </si>
  <si>
    <t>Expenses as a % of revenue</t>
  </si>
  <si>
    <t>Gross Margin</t>
  </si>
  <si>
    <t>Other Income As % of Revenue</t>
  </si>
  <si>
    <t>Depreciation(% of Op/ PPE )</t>
  </si>
  <si>
    <t>Interest(% of Op. Loan)</t>
  </si>
  <si>
    <t>EBITDA Margin</t>
  </si>
  <si>
    <t>EBIT Margin</t>
  </si>
  <si>
    <t>TAX %</t>
  </si>
  <si>
    <t>P&amp;L Assumptions</t>
  </si>
  <si>
    <t>Balance Sheet Assumptions</t>
  </si>
  <si>
    <t>Inventory Days</t>
  </si>
  <si>
    <t>Receivables days</t>
  </si>
  <si>
    <t>Investments as % of sales</t>
  </si>
  <si>
    <t>Advance from customer days</t>
  </si>
  <si>
    <t>Other liability days</t>
  </si>
  <si>
    <t>Opening Balance</t>
  </si>
  <si>
    <t>Add: Additions</t>
  </si>
  <si>
    <t>Less: Sale</t>
  </si>
  <si>
    <t>Less: Depreciation</t>
  </si>
  <si>
    <t>Closing Balance</t>
  </si>
  <si>
    <t>Capex As % Of Sales</t>
  </si>
  <si>
    <t>Debt Schedule</t>
  </si>
  <si>
    <t>Opening balance</t>
  </si>
  <si>
    <t>*Total Borrowing Considered as Debt outstanding</t>
  </si>
  <si>
    <t>Add: New Issue</t>
  </si>
  <si>
    <t>Less: Repayments</t>
  </si>
  <si>
    <t>Closing balance</t>
  </si>
  <si>
    <t>Finance costs(interest)</t>
  </si>
  <si>
    <t>Cash Flow Statement</t>
  </si>
  <si>
    <t>Cash Flow From Operations</t>
  </si>
  <si>
    <t>Change in working Capital</t>
  </si>
  <si>
    <t>Inventory</t>
  </si>
  <si>
    <t>Recievables</t>
  </si>
  <si>
    <t>Payables</t>
  </si>
  <si>
    <t>Other Liabilities</t>
  </si>
  <si>
    <t>Net change in WC</t>
  </si>
  <si>
    <t>Short Term Loans</t>
  </si>
  <si>
    <t>Tax(Cash Outflow)</t>
  </si>
  <si>
    <t>Cash Flow From Investments</t>
  </si>
  <si>
    <t>CAPEX</t>
  </si>
  <si>
    <t>Investing Cash Flow(ICF)</t>
  </si>
  <si>
    <t>Cash flow From Financing</t>
  </si>
  <si>
    <t>Debt Issued/ Repaid</t>
  </si>
  <si>
    <t>Equity Infusion</t>
  </si>
  <si>
    <t>Financing cash Flow</t>
  </si>
  <si>
    <t>Net Change</t>
  </si>
  <si>
    <t>Regression Analysis</t>
  </si>
  <si>
    <t>Year Weight</t>
  </si>
  <si>
    <t>% Growth YOY</t>
  </si>
  <si>
    <t>*50% of CAPEX is funded by debt</t>
  </si>
  <si>
    <t>We Consider a Constant CAPEX of 1.9% for Growth  Post COVID</t>
  </si>
  <si>
    <t>*We assume 20% of outstanding debt as repayment at end of every year</t>
  </si>
  <si>
    <t>*calculated on opening balance</t>
  </si>
  <si>
    <t>Beta Calculation</t>
  </si>
  <si>
    <t>Historical Prices</t>
  </si>
  <si>
    <t>NIFTY 50 Index value</t>
  </si>
  <si>
    <t>Date</t>
  </si>
  <si>
    <t>Price</t>
  </si>
  <si>
    <t>Chg%</t>
  </si>
  <si>
    <t>Jan 25, 2023</t>
  </si>
  <si>
    <t>Jan 24, 2023</t>
  </si>
  <si>
    <t>Jan 23, 2023</t>
  </si>
  <si>
    <t>Jan 20, 2023</t>
  </si>
  <si>
    <t>Jan 19, 2023</t>
  </si>
  <si>
    <t>Jan 18, 2023</t>
  </si>
  <si>
    <t>Jan 17, 2023</t>
  </si>
  <si>
    <t>Jan 16, 2023</t>
  </si>
  <si>
    <t>Jan 13, 2023</t>
  </si>
  <si>
    <t>Jan 12, 2023</t>
  </si>
  <si>
    <t>Jan 11, 2023</t>
  </si>
  <si>
    <t>Jan 10, 2023</t>
  </si>
  <si>
    <t>Jan 09, 2023</t>
  </si>
  <si>
    <t>Jan 06, 2023</t>
  </si>
  <si>
    <t>Jan 05, 2023</t>
  </si>
  <si>
    <t>Jan 04, 2023</t>
  </si>
  <si>
    <t>Jan 03, 2023</t>
  </si>
  <si>
    <t>Jan 02, 2023</t>
  </si>
  <si>
    <t>Dec 30, 2022</t>
  </si>
  <si>
    <t>Dec 29, 2022</t>
  </si>
  <si>
    <t>Dec 28, 2022</t>
  </si>
  <si>
    <t>Dec 27, 2022</t>
  </si>
  <si>
    <t>Dec 26, 2022</t>
  </si>
  <si>
    <t>Dec 23, 2022</t>
  </si>
  <si>
    <t>Dec 22, 2022</t>
  </si>
  <si>
    <t>Dec 21, 2022</t>
  </si>
  <si>
    <t>Dec 20, 2022</t>
  </si>
  <si>
    <t>Dec 19, 2022</t>
  </si>
  <si>
    <t>Dec 16, 2022</t>
  </si>
  <si>
    <t>Dec 15, 2022</t>
  </si>
  <si>
    <t>Dec 14, 2022</t>
  </si>
  <si>
    <t>Dec 13, 2022</t>
  </si>
  <si>
    <t>Dec 12, 2022</t>
  </si>
  <si>
    <t>Dec 09, 2022</t>
  </si>
  <si>
    <t>Dec 08, 2022</t>
  </si>
  <si>
    <t>Dec 07, 2022</t>
  </si>
  <si>
    <t>Dec 06, 2022</t>
  </si>
  <si>
    <t>Dec 05, 2022</t>
  </si>
  <si>
    <t>Dec 02, 2022</t>
  </si>
  <si>
    <t>Dec 01, 2022</t>
  </si>
  <si>
    <t>Nov 30, 2022</t>
  </si>
  <si>
    <t>Nov 29, 2022</t>
  </si>
  <si>
    <t>Nov 28, 2022</t>
  </si>
  <si>
    <t>Nov 25, 2022</t>
  </si>
  <si>
    <t>Nov 24, 2022</t>
  </si>
  <si>
    <t>Nov 23, 2022</t>
  </si>
  <si>
    <t>Nov 22, 2022</t>
  </si>
  <si>
    <t>Nov 21, 2022</t>
  </si>
  <si>
    <t>Nov 18, 2022</t>
  </si>
  <si>
    <t>Nov 17, 2022</t>
  </si>
  <si>
    <t>Nov 16, 2022</t>
  </si>
  <si>
    <t>Nov 15, 2022</t>
  </si>
  <si>
    <t>Nov 14, 2022</t>
  </si>
  <si>
    <t>Nov 11, 2022</t>
  </si>
  <si>
    <t>Nov 10, 2022</t>
  </si>
  <si>
    <t>Nov 09, 2022</t>
  </si>
  <si>
    <t>Nov 07, 2022</t>
  </si>
  <si>
    <t>Nov 04, 2022</t>
  </si>
  <si>
    <t>Nov 03, 2022</t>
  </si>
  <si>
    <t>Nov 02, 2022</t>
  </si>
  <si>
    <t>Nov 01, 2022</t>
  </si>
  <si>
    <t>Oct 31, 2022</t>
  </si>
  <si>
    <t>Oct 28, 2022</t>
  </si>
  <si>
    <t>Oct 27, 2022</t>
  </si>
  <si>
    <t>Oct 25, 2022</t>
  </si>
  <si>
    <t>Oct 24, 2022</t>
  </si>
  <si>
    <t>Oct 21, 2022</t>
  </si>
  <si>
    <t>Oct 20, 2022</t>
  </si>
  <si>
    <t>Oct 19, 2022</t>
  </si>
  <si>
    <t>Oct 18, 2022</t>
  </si>
  <si>
    <t>Oct 17, 2022</t>
  </si>
  <si>
    <t>Oct 14, 2022</t>
  </si>
  <si>
    <t>Oct 13, 2022</t>
  </si>
  <si>
    <t>Oct 12, 2022</t>
  </si>
  <si>
    <t>Oct 11, 2022</t>
  </si>
  <si>
    <t>Oct 10, 2022</t>
  </si>
  <si>
    <t>Oct 07, 2022</t>
  </si>
  <si>
    <t>Oct 06, 2022</t>
  </si>
  <si>
    <t>Oct 04, 2022</t>
  </si>
  <si>
    <t>Oct 03, 2022</t>
  </si>
  <si>
    <t>Sep 30, 2022</t>
  </si>
  <si>
    <t>Sep 29, 2022</t>
  </si>
  <si>
    <t>Sep 28, 2022</t>
  </si>
  <si>
    <t>Sep 27, 2022</t>
  </si>
  <si>
    <t>Sep 26, 2022</t>
  </si>
  <si>
    <t>Sep 23, 2022</t>
  </si>
  <si>
    <t>Sep 22, 2022</t>
  </si>
  <si>
    <t>Sep 21, 2022</t>
  </si>
  <si>
    <t>Sep 20, 2022</t>
  </si>
  <si>
    <t>Sep 19, 2022</t>
  </si>
  <si>
    <t>Sep 16, 2022</t>
  </si>
  <si>
    <t>Sep 15, 2022</t>
  </si>
  <si>
    <t>Sep 14, 2022</t>
  </si>
  <si>
    <t>Sep 13, 2022</t>
  </si>
  <si>
    <t>Sep 12, 2022</t>
  </si>
  <si>
    <t>Sep 09, 2022</t>
  </si>
  <si>
    <t>Sep 08, 2022</t>
  </si>
  <si>
    <t>Sep 07, 2022</t>
  </si>
  <si>
    <t>Sep 06, 2022</t>
  </si>
  <si>
    <t>Sep 05, 2022</t>
  </si>
  <si>
    <t>Sep 02, 2022</t>
  </si>
  <si>
    <t>Sep 01, 2022</t>
  </si>
  <si>
    <t>Aug 30, 2022</t>
  </si>
  <si>
    <t>Aug 29, 2022</t>
  </si>
  <si>
    <t>Aug 26, 2022</t>
  </si>
  <si>
    <t>Aug 25, 2022</t>
  </si>
  <si>
    <t>Aug 24, 2022</t>
  </si>
  <si>
    <t>Aug 23, 2022</t>
  </si>
  <si>
    <t>Aug 22, 2022</t>
  </si>
  <si>
    <t>Aug 19, 2022</t>
  </si>
  <si>
    <t>Aug 18, 2022</t>
  </si>
  <si>
    <t>Aug 17, 2022</t>
  </si>
  <si>
    <t>Aug 16, 2022</t>
  </si>
  <si>
    <t>Aug 12, 2022</t>
  </si>
  <si>
    <t>Aug 11, 2022</t>
  </si>
  <si>
    <t>Aug 10, 2022</t>
  </si>
  <si>
    <t>Aug 08, 2022</t>
  </si>
  <si>
    <t>Aug 05, 2022</t>
  </si>
  <si>
    <t>Aug 04, 2022</t>
  </si>
  <si>
    <t>Aug 03, 2022</t>
  </si>
  <si>
    <t>Aug 02, 2022</t>
  </si>
  <si>
    <t>Aug 01, 2022</t>
  </si>
  <si>
    <t>Jul 29, 2022</t>
  </si>
  <si>
    <t>Jul 28, 2022</t>
  </si>
  <si>
    <t>Jul 27, 2022</t>
  </si>
  <si>
    <t>Jul 26, 2022</t>
  </si>
  <si>
    <t>Jul 25, 2022</t>
  </si>
  <si>
    <t>Jul 22, 2022</t>
  </si>
  <si>
    <t>Jul 21, 2022</t>
  </si>
  <si>
    <t>Jul 20, 2022</t>
  </si>
  <si>
    <t>Jul 19, 2022</t>
  </si>
  <si>
    <t>Jul 18, 2022</t>
  </si>
  <si>
    <t>Jul 15, 2022</t>
  </si>
  <si>
    <t>Jul 14, 2022</t>
  </si>
  <si>
    <t>Jul 13, 2022</t>
  </si>
  <si>
    <t>Jul 12, 2022</t>
  </si>
  <si>
    <t>Jul 11, 2022</t>
  </si>
  <si>
    <t>Jul 08, 2022</t>
  </si>
  <si>
    <t>Jul 07, 2022</t>
  </si>
  <si>
    <t>Jul 06, 2022</t>
  </si>
  <si>
    <t>Jul 05, 2022</t>
  </si>
  <si>
    <t>Jul 04, 2022</t>
  </si>
  <si>
    <t>Jul 01, 2022</t>
  </si>
  <si>
    <t>Jun 30, 2022</t>
  </si>
  <si>
    <t>Jun 29, 2022</t>
  </si>
  <si>
    <t>Jun 28, 2022</t>
  </si>
  <si>
    <t>Jun 27, 2022</t>
  </si>
  <si>
    <t>BETA</t>
  </si>
  <si>
    <t>Nov 30, 2022 E</t>
  </si>
  <si>
    <t>Jun 24, 2022</t>
  </si>
  <si>
    <t>Jun 23, 2022</t>
  </si>
  <si>
    <t>Jun 22, 2022</t>
  </si>
  <si>
    <t>Jun 21, 2022</t>
  </si>
  <si>
    <t>Jun 20, 2022</t>
  </si>
  <si>
    <t>Jun 17, 2022</t>
  </si>
  <si>
    <t>Jun 16, 2022</t>
  </si>
  <si>
    <t>Jun 15, 2022</t>
  </si>
  <si>
    <t>Jun 14, 2022</t>
  </si>
  <si>
    <t>Jun 13, 2022</t>
  </si>
  <si>
    <t>Jun 10, 2022</t>
  </si>
  <si>
    <t>Jun 09, 2022</t>
  </si>
  <si>
    <t>Jun 08, 2022</t>
  </si>
  <si>
    <t>Jun 07, 2022</t>
  </si>
  <si>
    <t>Jun 06, 2022</t>
  </si>
  <si>
    <t>Jun 03, 2022</t>
  </si>
  <si>
    <t>Jun 02, 2022</t>
  </si>
  <si>
    <t>Jun 01, 2022 E</t>
  </si>
  <si>
    <t>May 31, 2022</t>
  </si>
  <si>
    <t>May 30, 2022</t>
  </si>
  <si>
    <t>May 27, 2022</t>
  </si>
  <si>
    <t>May 26, 2022</t>
  </si>
  <si>
    <t>May 25, 2022</t>
  </si>
  <si>
    <t>May 24, 2022</t>
  </si>
  <si>
    <t>May 23, 2022</t>
  </si>
  <si>
    <t>May 20, 2022</t>
  </si>
  <si>
    <t>May 19, 2022</t>
  </si>
  <si>
    <t>May 18, 2022</t>
  </si>
  <si>
    <t>May 17, 2022</t>
  </si>
  <si>
    <t>May 16, 2022</t>
  </si>
  <si>
    <t>May 13, 2022</t>
  </si>
  <si>
    <t>May 12, 2022</t>
  </si>
  <si>
    <t>May 11, 2022</t>
  </si>
  <si>
    <t>May 10, 2022</t>
  </si>
  <si>
    <t>May 09, 2022</t>
  </si>
  <si>
    <t>May 06, 2022</t>
  </si>
  <si>
    <t>May 05, 2022</t>
  </si>
  <si>
    <t>May 04, 2022</t>
  </si>
  <si>
    <t>May 02, 2022</t>
  </si>
  <si>
    <t>Apr 29, 2022</t>
  </si>
  <si>
    <t>Apr 28, 2022</t>
  </si>
  <si>
    <t>Apr 27, 2022</t>
  </si>
  <si>
    <t>Apr 26, 2022</t>
  </si>
  <si>
    <t>Apr 25, 2022</t>
  </si>
  <si>
    <t>Apr 22, 2022</t>
  </si>
  <si>
    <t>Apr 21, 2022</t>
  </si>
  <si>
    <t>Apr 20, 2022</t>
  </si>
  <si>
    <t>Apr 19, 2022</t>
  </si>
  <si>
    <t>Apr 18, 2022</t>
  </si>
  <si>
    <t>Apr 13, 2022</t>
  </si>
  <si>
    <t>Apr 12, 2022</t>
  </si>
  <si>
    <t>Apr 11, 2022</t>
  </si>
  <si>
    <t>Apr 08, 2022</t>
  </si>
  <si>
    <t>Apr 07, 2022</t>
  </si>
  <si>
    <t>Apr 06, 2022</t>
  </si>
  <si>
    <t>Apr 05, 2022</t>
  </si>
  <si>
    <t>Apr 04, 2022</t>
  </si>
  <si>
    <t>Apr 01, 2022</t>
  </si>
  <si>
    <t>Mar 31, 2022</t>
  </si>
  <si>
    <t>Mar 30, 2022</t>
  </si>
  <si>
    <t>Mar 29, 2022</t>
  </si>
  <si>
    <t>Mar 28, 2022</t>
  </si>
  <si>
    <t>Mar 25, 2022</t>
  </si>
  <si>
    <t>Mar 24, 2022</t>
  </si>
  <si>
    <t>Mar 23, 2022</t>
  </si>
  <si>
    <t>Mar 22, 2022</t>
  </si>
  <si>
    <t>Mar 21, 2022</t>
  </si>
  <si>
    <t>Mar 17, 2022</t>
  </si>
  <si>
    <t>Mar 16, 2022</t>
  </si>
  <si>
    <t>Mar 15, 2022</t>
  </si>
  <si>
    <t>Mar 14, 2022</t>
  </si>
  <si>
    <t>Mar 11, 2022</t>
  </si>
  <si>
    <t>Mar 10, 2022</t>
  </si>
  <si>
    <t>Mar 09, 2022</t>
  </si>
  <si>
    <t>Mar 08, 2022</t>
  </si>
  <si>
    <t>Mar 07, 2022</t>
  </si>
  <si>
    <t>Mar 04, 2022</t>
  </si>
  <si>
    <t>Mar 03, 2022</t>
  </si>
  <si>
    <t>Mar 02, 2022</t>
  </si>
  <si>
    <t>Feb 28, 2022</t>
  </si>
  <si>
    <t>Feb 25, 2022</t>
  </si>
  <si>
    <t>Feb 24, 2022</t>
  </si>
  <si>
    <t>Feb 23, 2022</t>
  </si>
  <si>
    <t>Feb 22, 2022</t>
  </si>
  <si>
    <t>Feb 21, 2022</t>
  </si>
  <si>
    <t>Feb 18, 2022</t>
  </si>
  <si>
    <t>Feb 17, 2022</t>
  </si>
  <si>
    <t>Feb 16, 2022</t>
  </si>
  <si>
    <t>Feb 15, 2022</t>
  </si>
  <si>
    <t>Feb 14, 2022 E</t>
  </si>
  <si>
    <t>Feb 11, 2022</t>
  </si>
  <si>
    <t>Feb 10, 2022</t>
  </si>
  <si>
    <t>Feb 09, 2022</t>
  </si>
  <si>
    <t>Jun 01, 2022</t>
  </si>
  <si>
    <t>Feb 14, 2022</t>
  </si>
  <si>
    <t>Beta 1</t>
  </si>
  <si>
    <t>From Slope function</t>
  </si>
  <si>
    <t>Beta 2</t>
  </si>
  <si>
    <t>From Covariance Function</t>
  </si>
  <si>
    <t>Beta 3</t>
  </si>
  <si>
    <t>From Regression Analysis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</si>
  <si>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</si>
  <si>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</si>
  <si>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</si>
  <si>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</si>
  <si>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</si>
  <si>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</si>
  <si>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</si>
  <si>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</si>
  <si>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</si>
  <si>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</si>
  <si>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</si>
  <si>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</si>
  <si>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</si>
  <si>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</si>
  <si>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</si>
  <si>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</si>
  <si>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</si>
  <si>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</si>
  <si>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</si>
  <si>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</si>
  <si>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</si>
  <si>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</si>
  <si>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</si>
  <si>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</si>
  <si>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</si>
  <si>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DCF Valuation</t>
  </si>
  <si>
    <t>Parameters</t>
  </si>
  <si>
    <t>Risk free Rate</t>
  </si>
  <si>
    <t>Market Rate of Return</t>
  </si>
  <si>
    <t>ERP</t>
  </si>
  <si>
    <t>Beta</t>
  </si>
  <si>
    <t>Cost of Equity</t>
  </si>
  <si>
    <t>Cost of Debt(pre-Tax)</t>
  </si>
  <si>
    <t>tax rate</t>
  </si>
  <si>
    <t>Cost of Debt (post Tax)</t>
  </si>
  <si>
    <t>D/E Ratio</t>
  </si>
  <si>
    <t xml:space="preserve"> WACC</t>
  </si>
  <si>
    <t>(*10 Y Average)</t>
  </si>
  <si>
    <t>D/E ratio</t>
  </si>
  <si>
    <t>Calculation of FCFF</t>
  </si>
  <si>
    <t>Tax Rate</t>
  </si>
  <si>
    <t>EBIT*(1-Tax Rate)</t>
  </si>
  <si>
    <t>Less:Changes in WC</t>
  </si>
  <si>
    <t>Less: Capex</t>
  </si>
  <si>
    <t>Add:Depreciation</t>
  </si>
  <si>
    <t>FCFF</t>
  </si>
  <si>
    <t>Terminal Value</t>
  </si>
  <si>
    <t>Terminal Growth Rate</t>
  </si>
  <si>
    <t>Years</t>
  </si>
  <si>
    <t>Discount Factor</t>
  </si>
  <si>
    <t>Present Value of FCFF</t>
  </si>
  <si>
    <t>Present Value of TV</t>
  </si>
  <si>
    <t>Total Present Value</t>
  </si>
  <si>
    <t>Enterprise value</t>
  </si>
  <si>
    <t>Add: Cash</t>
  </si>
  <si>
    <t>Less: Debt</t>
  </si>
  <si>
    <t>Equity Value</t>
  </si>
  <si>
    <t>Upside/downside</t>
  </si>
  <si>
    <t>Target price</t>
  </si>
  <si>
    <t>No. of shares(in Cr.)</t>
  </si>
  <si>
    <t>Current price(on 30/6/23)</t>
  </si>
  <si>
    <t xml:space="preserve">Discounting </t>
  </si>
  <si>
    <t>Adani Wilmar is a SELL!</t>
  </si>
  <si>
    <t>Debt/ Capital Ratio</t>
  </si>
  <si>
    <t>Operating Cash Flow(OCF)</t>
  </si>
  <si>
    <t>*All Figures in INR Crores</t>
  </si>
  <si>
    <t>Other Asset item Days</t>
  </si>
  <si>
    <t>Payables days</t>
  </si>
  <si>
    <t>Other Assets</t>
  </si>
  <si>
    <t>Asset Schedule</t>
  </si>
  <si>
    <t>*1.9% of sales</t>
  </si>
  <si>
    <t>*Proportion of Debt In CAPEX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</si>
</sst>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0.0"/>
    <numFmt numFmtId="165" formatCode="0.0%"/>
    <numFmt numFmtId="166" formatCode="0.0000"/>
    <numFmt numFmtId="167" formatCode="0.000"/>
    <numFmt numFmtId="168" formatCode="0.000%"/>
    <numFmt numFmtId="169" formatCode="\ #,##0;\(\ #,##0\);\-"/>
    <numFmt numFmtId="170" formatCode="\ #,##0.00;\(\ #,##0.00\);\-"/>
  </numFmts>
  <fonts count="31" x14ac:knownFonts="1">
    <font>
      <sz val="11"/>
      <color theme="1"/>
      <name val="Calibri"/>
      <family val="2"/>
    </font>
    <font>
      <sz val="10"/>
      <color rgb="FF22222F"/>
      <name val="Arial"/>
      <family val="2"/>
    </font>
    <font>
      <sz val="18"/>
      <color rgb="FF22222F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u/>
      <sz val="11"/>
      <color theme="10"/>
      <name val="Calibri"/>
      <family val="2"/>
    </font>
    <font>
      <b/>
      <sz val="11"/>
      <color theme="1"/>
      <name val="Arial"/>
      <family val="2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b/>
      <sz val="11"/>
      <color theme="1"/>
      <name val="Calibri"/>
      <family val="2"/>
    </font>
    <font>
      <sz val="11"/>
      <color theme="0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i/>
      <sz val="11"/>
      <color theme="1"/>
      <name val="Calibri"/>
      <family val="2"/>
    </font>
    <font>
      <i/>
      <sz val="9"/>
      <color theme="1"/>
      <name val="Calibri"/>
      <family val="2"/>
    </font>
    <font>
      <i/>
      <sz val="8"/>
      <color theme="1"/>
      <name val="Calibri"/>
      <family val="2"/>
    </font>
    <font>
      <i/>
      <sz val="9"/>
      <color rgb="FFFF0000"/>
      <name val="Calibri"/>
      <family val="2"/>
    </font>
    <font>
      <i/>
      <sz val="11"/>
      <color rgb="FFFF0000"/>
      <name val="Calibri"/>
      <family val="2"/>
    </font>
    <font>
      <b/>
      <sz val="18"/>
      <color theme="0"/>
      <name val="Calibri"/>
      <family val="2"/>
    </font>
    <font>
      <sz val="10"/>
      <color rgb="FF66758A"/>
      <name val="Arial"/>
      <family val="2"/>
    </font>
    <font>
      <sz val="10"/>
      <color rgb="FF000000"/>
      <name val="Arial"/>
      <family val="2"/>
    </font>
    <font>
      <sz val="10"/>
      <color rgb="FFFF0000"/>
      <name val="Arial"/>
      <family val="2"/>
    </font>
    <font>
      <sz val="10"/>
      <color rgb="FF0EA600"/>
      <name val="Arial"/>
      <family val="2"/>
    </font>
    <font>
      <sz val="11"/>
      <color rgb="FF00B0F0"/>
      <name val="Calibri"/>
      <family val="2"/>
    </font>
    <font>
      <b/>
      <i/>
      <sz val="9"/>
      <color theme="1"/>
      <name val="Calibri"/>
      <family val="2"/>
    </font>
    <font>
      <sz val="11"/>
      <color rgb="FF00B0F0"/>
      <name val="Calibri"/>
      <family val="2"/>
      <scheme val="minor"/>
    </font>
    <font>
      <b/>
      <sz val="11"/>
      <color rgb="FF0070C0"/>
      <name val="Calibri"/>
      <family val="2"/>
    </font>
    <font>
      <b/>
      <sz val="11"/>
      <color rgb="FF00B0F0"/>
      <name val="Calibri"/>
      <family val="2"/>
    </font>
    <font>
      <b/>
      <i/>
      <sz val="8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CFDFE"/>
        <bgColor indexed="64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rgb="FFE3EAF2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9" fontId="8" fillId="0" borderId="0" applyFont="0" applyFill="0" applyBorder="0" applyAlignment="0" applyProtection="0"/>
  </cellStyleXfs>
  <cellXfs count="168">
    <xf numFmtId="0" fontId="0" fillId="0" borderId="0" xfId="0"/>
    <xf numFmtId="0" fontId="2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6" fillId="0" borderId="0" xfId="1" applyAlignment="1">
      <alignment vertical="center" wrapText="1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right" vertical="center" wrapText="1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right" vertical="center" wrapText="1"/>
    </xf>
    <xf numFmtId="3" fontId="5" fillId="0" borderId="0" xfId="0" applyNumberFormat="1" applyFont="1" applyAlignment="1">
      <alignment horizontal="right" vertical="center" wrapText="1"/>
    </xf>
    <xf numFmtId="3" fontId="4" fillId="0" borderId="0" xfId="0" applyNumberFormat="1" applyFont="1" applyAlignment="1">
      <alignment horizontal="right" vertical="center" wrapText="1"/>
    </xf>
    <xf numFmtId="9" fontId="5" fillId="0" borderId="0" xfId="0" applyNumberFormat="1" applyFont="1" applyAlignment="1">
      <alignment horizontal="right" vertical="center" wrapText="1"/>
    </xf>
    <xf numFmtId="17" fontId="7" fillId="0" borderId="0" xfId="0" applyNumberFormat="1" applyFont="1" applyAlignment="1">
      <alignment horizontal="right" vertical="center" wrapText="1"/>
    </xf>
    <xf numFmtId="0" fontId="10" fillId="0" borderId="0" xfId="0" applyFont="1"/>
    <xf numFmtId="17" fontId="10" fillId="0" borderId="0" xfId="0" applyNumberFormat="1" applyFont="1"/>
    <xf numFmtId="3" fontId="0" fillId="0" borderId="0" xfId="0" applyNumberFormat="1"/>
    <xf numFmtId="0" fontId="11" fillId="2" borderId="0" xfId="0" applyFont="1" applyFill="1"/>
    <xf numFmtId="0" fontId="9" fillId="2" borderId="0" xfId="0" applyFont="1" applyFill="1"/>
    <xf numFmtId="17" fontId="9" fillId="2" borderId="0" xfId="0" applyNumberFormat="1" applyFont="1" applyFill="1"/>
    <xf numFmtId="0" fontId="16" fillId="0" borderId="0" xfId="0" applyFont="1"/>
    <xf numFmtId="0" fontId="0" fillId="0" borderId="1" xfId="0" applyBorder="1"/>
    <xf numFmtId="3" fontId="0" fillId="0" borderId="1" xfId="0" applyNumberFormat="1" applyBorder="1"/>
    <xf numFmtId="9" fontId="0" fillId="0" borderId="1" xfId="0" applyNumberFormat="1" applyBorder="1"/>
    <xf numFmtId="1" fontId="0" fillId="0" borderId="1" xfId="0" applyNumberFormat="1" applyBorder="1"/>
    <xf numFmtId="17" fontId="9" fillId="2" borderId="1" xfId="0" applyNumberFormat="1" applyFont="1" applyFill="1" applyBorder="1"/>
    <xf numFmtId="165" fontId="0" fillId="0" borderId="1" xfId="2" applyNumberFormat="1" applyFont="1" applyBorder="1"/>
    <xf numFmtId="165" fontId="0" fillId="0" borderId="1" xfId="0" applyNumberFormat="1" applyBorder="1"/>
    <xf numFmtId="10" fontId="0" fillId="0" borderId="1" xfId="2" applyNumberFormat="1" applyFont="1" applyBorder="1"/>
    <xf numFmtId="0" fontId="11" fillId="2" borderId="1" xfId="0" applyFont="1" applyFill="1" applyBorder="1"/>
    <xf numFmtId="164" fontId="0" fillId="0" borderId="1" xfId="0" applyNumberFormat="1" applyBorder="1"/>
    <xf numFmtId="0" fontId="9" fillId="2" borderId="1" xfId="0" applyFont="1" applyFill="1" applyBorder="1"/>
    <xf numFmtId="0" fontId="18" fillId="0" borderId="0" xfId="0" applyFont="1"/>
    <xf numFmtId="0" fontId="19" fillId="0" borderId="0" xfId="0" applyFont="1"/>
    <xf numFmtId="0" fontId="20" fillId="2" borderId="0" xfId="0" applyFont="1" applyFill="1"/>
    <xf numFmtId="3" fontId="10" fillId="0" borderId="1" xfId="0" applyNumberFormat="1" applyFont="1" applyBorder="1"/>
    <xf numFmtId="0" fontId="21" fillId="0" borderId="2" xfId="0" applyFont="1" applyBorder="1" applyAlignment="1">
      <alignment horizontal="left" vertical="center" indent="1"/>
    </xf>
    <xf numFmtId="0" fontId="21" fillId="0" borderId="2" xfId="0" applyFont="1" applyBorder="1" applyAlignment="1">
      <alignment horizontal="center" vertical="center"/>
    </xf>
    <xf numFmtId="0" fontId="22" fillId="0" borderId="2" xfId="0" applyFont="1" applyBorder="1" applyAlignment="1">
      <alignment horizontal="left" vertical="center" indent="1"/>
    </xf>
    <xf numFmtId="4" fontId="23" fillId="0" borderId="2" xfId="0" applyNumberFormat="1" applyFont="1" applyBorder="1" applyAlignment="1">
      <alignment horizontal="right" vertical="center" indent="1"/>
    </xf>
    <xf numFmtId="10" fontId="23" fillId="0" borderId="2" xfId="0" applyNumberFormat="1" applyFont="1" applyBorder="1" applyAlignment="1">
      <alignment horizontal="right" vertical="center" indent="1"/>
    </xf>
    <xf numFmtId="4" fontId="24" fillId="0" borderId="2" xfId="0" applyNumberFormat="1" applyFont="1" applyBorder="1" applyAlignment="1">
      <alignment horizontal="right" vertical="center" indent="1"/>
    </xf>
    <xf numFmtId="10" fontId="24" fillId="0" borderId="2" xfId="0" applyNumberFormat="1" applyFont="1" applyBorder="1" applyAlignment="1">
      <alignment horizontal="right" vertical="center" indent="1"/>
    </xf>
    <xf numFmtId="0" fontId="22" fillId="4" borderId="0" xfId="0" applyFont="1" applyFill="1" applyAlignment="1">
      <alignment horizontal="left" vertical="center" indent="1"/>
    </xf>
    <xf numFmtId="10" fontId="24" fillId="4" borderId="0" xfId="0" applyNumberFormat="1" applyFont="1" applyFill="1" applyAlignment="1">
      <alignment horizontal="right" vertical="center" indent="1"/>
    </xf>
    <xf numFmtId="0" fontId="23" fillId="0" borderId="2" xfId="0" applyFont="1" applyBorder="1" applyAlignment="1">
      <alignment horizontal="right" vertical="center" indent="1"/>
    </xf>
    <xf numFmtId="0" fontId="24" fillId="0" borderId="2" xfId="0" applyFont="1" applyBorder="1" applyAlignment="1">
      <alignment horizontal="right" vertical="center" indent="1"/>
    </xf>
    <xf numFmtId="0" fontId="24" fillId="4" borderId="0" xfId="0" applyFont="1" applyFill="1" applyAlignment="1">
      <alignment horizontal="right" vertical="center" indent="1"/>
    </xf>
    <xf numFmtId="0" fontId="0" fillId="0" borderId="0" xfId="0" applyFill="1" applyBorder="1" applyAlignment="1"/>
    <xf numFmtId="0" fontId="0" fillId="0" borderId="3" xfId="0" applyFill="1" applyBorder="1" applyAlignment="1"/>
    <xf numFmtId="0" fontId="15" fillId="0" borderId="5" xfId="0" applyFont="1" applyFill="1" applyBorder="1" applyAlignment="1">
      <alignment horizontal="center"/>
    </xf>
    <xf numFmtId="0" fontId="15" fillId="0" borderId="5" xfId="0" applyFont="1" applyFill="1" applyBorder="1" applyAlignment="1">
      <alignment horizontal="centerContinuous"/>
    </xf>
    <xf numFmtId="0" fontId="0" fillId="0" borderId="6" xfId="0" applyBorder="1"/>
    <xf numFmtId="0" fontId="10" fillId="0" borderId="6" xfId="0" applyFont="1" applyBorder="1"/>
    <xf numFmtId="0" fontId="0" fillId="0" borderId="7" xfId="0" applyBorder="1"/>
    <xf numFmtId="0" fontId="0" fillId="0" borderId="8" xfId="0" applyBorder="1"/>
    <xf numFmtId="0" fontId="0" fillId="0" borderId="10" xfId="0" applyBorder="1"/>
    <xf numFmtId="0" fontId="0" fillId="0" borderId="0" xfId="0" applyBorder="1"/>
    <xf numFmtId="166" fontId="0" fillId="0" borderId="0" xfId="0" applyNumberFormat="1" applyBorder="1"/>
    <xf numFmtId="166" fontId="0" fillId="0" borderId="1" xfId="0" applyNumberFormat="1" applyBorder="1"/>
    <xf numFmtId="1" fontId="10" fillId="0" borderId="6" xfId="0" applyNumberFormat="1" applyFont="1" applyBorder="1"/>
    <xf numFmtId="1" fontId="10" fillId="0" borderId="9" xfId="0" applyNumberFormat="1" applyFont="1" applyBorder="1"/>
    <xf numFmtId="0" fontId="10" fillId="0" borderId="9" xfId="0" applyFont="1" applyBorder="1"/>
    <xf numFmtId="0" fontId="0" fillId="0" borderId="1" xfId="0" applyBorder="1"/>
    <xf numFmtId="0" fontId="0" fillId="0" borderId="9" xfId="0" applyBorder="1"/>
    <xf numFmtId="169" fontId="0" fillId="0" borderId="1" xfId="0" applyNumberFormat="1" applyBorder="1"/>
    <xf numFmtId="169" fontId="0" fillId="0" borderId="6" xfId="0" applyNumberFormat="1" applyBorder="1"/>
    <xf numFmtId="169" fontId="0" fillId="0" borderId="9" xfId="0" applyNumberFormat="1" applyBorder="1"/>
    <xf numFmtId="169" fontId="0" fillId="0" borderId="0" xfId="0" applyNumberFormat="1" applyFill="1" applyBorder="1"/>
    <xf numFmtId="169" fontId="10" fillId="0" borderId="6" xfId="0" applyNumberFormat="1" applyFont="1" applyBorder="1"/>
    <xf numFmtId="169" fontId="10" fillId="0" borderId="9" xfId="0" applyNumberFormat="1" applyFont="1" applyBorder="1"/>
    <xf numFmtId="169" fontId="0" fillId="0" borderId="1" xfId="2" applyNumberFormat="1" applyFont="1" applyBorder="1"/>
    <xf numFmtId="169" fontId="0" fillId="0" borderId="0" xfId="0" applyNumberFormat="1" applyBorder="1"/>
    <xf numFmtId="169" fontId="10" fillId="0" borderId="1" xfId="0" applyNumberFormat="1" applyFont="1" applyBorder="1"/>
    <xf numFmtId="0" fontId="10" fillId="0" borderId="11" xfId="0" applyFont="1" applyBorder="1"/>
    <xf numFmtId="0" fontId="10" fillId="0" borderId="4" xfId="0" applyFont="1" applyBorder="1"/>
    <xf numFmtId="165" fontId="10" fillId="0" borderId="4" xfId="2" applyNumberFormat="1" applyFont="1" applyBorder="1"/>
    <xf numFmtId="165" fontId="10" fillId="0" borderId="12" xfId="2" applyNumberFormat="1" applyFont="1" applyBorder="1"/>
    <xf numFmtId="169" fontId="10" fillId="0" borderId="4" xfId="0" applyNumberFormat="1" applyFont="1" applyBorder="1"/>
    <xf numFmtId="169" fontId="10" fillId="0" borderId="12" xfId="0" applyNumberFormat="1" applyFont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15" fillId="0" borderId="18" xfId="0" applyFont="1" applyFill="1" applyBorder="1" applyAlignment="1">
      <alignment horizontal="centerContinuous"/>
    </xf>
    <xf numFmtId="0" fontId="0" fillId="0" borderId="16" xfId="0" applyFill="1" applyBorder="1" applyAlignment="1"/>
    <xf numFmtId="0" fontId="0" fillId="0" borderId="19" xfId="0" applyFill="1" applyBorder="1" applyAlignment="1"/>
    <xf numFmtId="0" fontId="15" fillId="0" borderId="18" xfId="0" applyFont="1" applyFill="1" applyBorder="1" applyAlignment="1">
      <alignment horizontal="center"/>
    </xf>
    <xf numFmtId="0" fontId="15" fillId="0" borderId="20" xfId="0" applyFont="1" applyFill="1" applyBorder="1" applyAlignment="1">
      <alignment horizontal="center"/>
    </xf>
    <xf numFmtId="0" fontId="0" fillId="0" borderId="17" xfId="0" applyFill="1" applyBorder="1" applyAlignment="1"/>
    <xf numFmtId="0" fontId="0" fillId="0" borderId="21" xfId="0" applyFill="1" applyBorder="1" applyAlignment="1"/>
    <xf numFmtId="0" fontId="9" fillId="2" borderId="10" xfId="0" applyFont="1" applyFill="1" applyBorder="1"/>
    <xf numFmtId="0" fontId="11" fillId="2" borderId="0" xfId="0" applyFont="1" applyFill="1" applyBorder="1"/>
    <xf numFmtId="167" fontId="0" fillId="0" borderId="0" xfId="0" applyNumberFormat="1" applyBorder="1"/>
    <xf numFmtId="0" fontId="26" fillId="0" borderId="0" xfId="0" applyFont="1" applyBorder="1"/>
    <xf numFmtId="0" fontId="0" fillId="0" borderId="22" xfId="0" applyBorder="1"/>
    <xf numFmtId="167" fontId="0" fillId="0" borderId="7" xfId="0" applyNumberFormat="1" applyBorder="1"/>
    <xf numFmtId="0" fontId="26" fillId="0" borderId="7" xfId="0" applyFont="1" applyBorder="1"/>
    <xf numFmtId="0" fontId="0" fillId="0" borderId="23" xfId="0" applyBorder="1"/>
    <xf numFmtId="0" fontId="0" fillId="0" borderId="25" xfId="0" applyBorder="1"/>
    <xf numFmtId="0" fontId="0" fillId="0" borderId="24" xfId="0" applyBorder="1"/>
    <xf numFmtId="0" fontId="0" fillId="0" borderId="5" xfId="0" applyBorder="1"/>
    <xf numFmtId="0" fontId="0" fillId="0" borderId="20" xfId="0" applyBorder="1"/>
    <xf numFmtId="0" fontId="0" fillId="5" borderId="0" xfId="0" applyFill="1"/>
    <xf numFmtId="167" fontId="0" fillId="0" borderId="0" xfId="0" applyNumberFormat="1" applyAlignment="1">
      <alignment horizontal="center"/>
    </xf>
    <xf numFmtId="0" fontId="30" fillId="0" borderId="8" xfId="0" applyFont="1" applyBorder="1"/>
    <xf numFmtId="0" fontId="10" fillId="0" borderId="10" xfId="0" applyFont="1" applyBorder="1"/>
    <xf numFmtId="3" fontId="0" fillId="0" borderId="0" xfId="0" applyNumberFormat="1" applyBorder="1"/>
    <xf numFmtId="0" fontId="10" fillId="0" borderId="8" xfId="0" applyFont="1" applyBorder="1"/>
    <xf numFmtId="0" fontId="0" fillId="0" borderId="10" xfId="0" applyFont="1" applyBorder="1"/>
    <xf numFmtId="0" fontId="12" fillId="0" borderId="10" xfId="0" applyFont="1" applyBorder="1" applyAlignment="1">
      <alignment horizontal="left" vertical="center"/>
    </xf>
    <xf numFmtId="1" fontId="0" fillId="0" borderId="0" xfId="0" applyNumberFormat="1" applyBorder="1"/>
    <xf numFmtId="0" fontId="13" fillId="0" borderId="8" xfId="0" applyFont="1" applyBorder="1" applyAlignment="1">
      <alignment horizontal="left" vertical="center"/>
    </xf>
    <xf numFmtId="0" fontId="13" fillId="0" borderId="10" xfId="0" applyFont="1" applyBorder="1" applyAlignment="1">
      <alignment horizontal="left" vertical="center"/>
    </xf>
    <xf numFmtId="169" fontId="0" fillId="0" borderId="7" xfId="0" applyNumberFormat="1" applyBorder="1"/>
    <xf numFmtId="169" fontId="0" fillId="0" borderId="23" xfId="0" applyNumberFormat="1" applyBorder="1"/>
    <xf numFmtId="0" fontId="10" fillId="0" borderId="0" xfId="0" applyFont="1" applyBorder="1"/>
    <xf numFmtId="169" fontId="10" fillId="0" borderId="0" xfId="0" applyNumberFormat="1" applyFont="1" applyBorder="1"/>
    <xf numFmtId="165" fontId="0" fillId="0" borderId="0" xfId="2" applyNumberFormat="1" applyFont="1" applyBorder="1"/>
    <xf numFmtId="9" fontId="0" fillId="0" borderId="0" xfId="0" applyNumberFormat="1" applyBorder="1"/>
    <xf numFmtId="10" fontId="0" fillId="0" borderId="0" xfId="0" applyNumberFormat="1" applyBorder="1"/>
    <xf numFmtId="10" fontId="0" fillId="0" borderId="1" xfId="0" applyNumberFormat="1" applyBorder="1"/>
    <xf numFmtId="169" fontId="0" fillId="0" borderId="1" xfId="0" applyNumberFormat="1" applyFill="1" applyBorder="1"/>
    <xf numFmtId="0" fontId="9" fillId="2" borderId="8" xfId="0" applyFont="1" applyFill="1" applyBorder="1"/>
    <xf numFmtId="0" fontId="0" fillId="2" borderId="6" xfId="0" applyFill="1" applyBorder="1"/>
    <xf numFmtId="17" fontId="9" fillId="2" borderId="6" xfId="0" applyNumberFormat="1" applyFont="1" applyFill="1" applyBorder="1"/>
    <xf numFmtId="17" fontId="9" fillId="2" borderId="9" xfId="0" applyNumberFormat="1" applyFont="1" applyFill="1" applyBorder="1"/>
    <xf numFmtId="165" fontId="0" fillId="0" borderId="0" xfId="0" applyNumberFormat="1" applyBorder="1"/>
    <xf numFmtId="10" fontId="0" fillId="0" borderId="0" xfId="2" applyNumberFormat="1" applyFont="1" applyBorder="1"/>
    <xf numFmtId="164" fontId="0" fillId="0" borderId="0" xfId="0" applyNumberFormat="1" applyBorder="1"/>
    <xf numFmtId="0" fontId="9" fillId="2" borderId="0" xfId="0" applyFont="1" applyFill="1" applyBorder="1"/>
    <xf numFmtId="10" fontId="0" fillId="0" borderId="7" xfId="2" applyNumberFormat="1" applyFont="1" applyBorder="1"/>
    <xf numFmtId="10" fontId="0" fillId="0" borderId="23" xfId="2" applyNumberFormat="1" applyFont="1" applyBorder="1"/>
    <xf numFmtId="0" fontId="11" fillId="2" borderId="6" xfId="0" applyFont="1" applyFill="1" applyBorder="1"/>
    <xf numFmtId="0" fontId="30" fillId="0" borderId="10" xfId="0" applyFont="1" applyBorder="1"/>
    <xf numFmtId="17" fontId="9" fillId="2" borderId="0" xfId="0" applyNumberFormat="1" applyFont="1" applyFill="1" applyBorder="1"/>
    <xf numFmtId="0" fontId="17" fillId="0" borderId="10" xfId="0" applyFont="1" applyBorder="1"/>
    <xf numFmtId="169" fontId="0" fillId="0" borderId="0" xfId="2" applyNumberFormat="1" applyFont="1" applyBorder="1"/>
    <xf numFmtId="0" fontId="10" fillId="3" borderId="10" xfId="0" applyFont="1" applyFill="1" applyBorder="1"/>
    <xf numFmtId="0" fontId="0" fillId="3" borderId="0" xfId="0" applyFill="1" applyBorder="1"/>
    <xf numFmtId="3" fontId="10" fillId="0" borderId="0" xfId="0" applyNumberFormat="1" applyFont="1" applyBorder="1"/>
    <xf numFmtId="0" fontId="0" fillId="3" borderId="8" xfId="0" applyFill="1" applyBorder="1"/>
    <xf numFmtId="0" fontId="0" fillId="3" borderId="6" xfId="0" applyFill="1" applyBorder="1"/>
    <xf numFmtId="0" fontId="0" fillId="3" borderId="9" xfId="0" applyFill="1" applyBorder="1"/>
    <xf numFmtId="10" fontId="10" fillId="0" borderId="0" xfId="0" applyNumberFormat="1" applyFont="1" applyBorder="1"/>
    <xf numFmtId="10" fontId="10" fillId="0" borderId="1" xfId="0" applyNumberFormat="1" applyFont="1" applyBorder="1"/>
    <xf numFmtId="0" fontId="10" fillId="0" borderId="22" xfId="0" applyFont="1" applyBorder="1"/>
    <xf numFmtId="0" fontId="14" fillId="3" borderId="8" xfId="0" applyFont="1" applyFill="1" applyBorder="1"/>
    <xf numFmtId="0" fontId="14" fillId="3" borderId="6" xfId="0" applyFont="1" applyFill="1" applyBorder="1"/>
    <xf numFmtId="0" fontId="14" fillId="3" borderId="9" xfId="0" applyFont="1" applyFill="1" applyBorder="1"/>
    <xf numFmtId="10" fontId="29" fillId="0" borderId="1" xfId="0" applyNumberFormat="1" applyFont="1" applyBorder="1"/>
    <xf numFmtId="10" fontId="25" fillId="0" borderId="1" xfId="0" applyNumberFormat="1" applyFont="1" applyBorder="1"/>
    <xf numFmtId="167" fontId="10" fillId="0" borderId="1" xfId="0" applyNumberFormat="1" applyFont="1" applyBorder="1"/>
    <xf numFmtId="10" fontId="10" fillId="0" borderId="9" xfId="0" applyNumberFormat="1" applyFont="1" applyBorder="1"/>
    <xf numFmtId="9" fontId="25" fillId="0" borderId="1" xfId="0" applyNumberFormat="1" applyFont="1" applyBorder="1"/>
    <xf numFmtId="10" fontId="10" fillId="0" borderId="9" xfId="2" applyNumberFormat="1" applyFont="1" applyBorder="1"/>
    <xf numFmtId="168" fontId="10" fillId="0" borderId="9" xfId="0" applyNumberFormat="1" applyFont="1" applyBorder="1"/>
    <xf numFmtId="10" fontId="28" fillId="0" borderId="23" xfId="0" applyNumberFormat="1" applyFont="1" applyBorder="1"/>
    <xf numFmtId="170" fontId="27" fillId="0" borderId="1" xfId="0" applyNumberFormat="1" applyFont="1" applyBorder="1"/>
    <xf numFmtId="170" fontId="9" fillId="2" borderId="1" xfId="0" applyNumberFormat="1" applyFont="1" applyFill="1" applyBorder="1"/>
    <xf numFmtId="170" fontId="0" fillId="0" borderId="1" xfId="0" applyNumberFormat="1" applyBorder="1"/>
    <xf numFmtId="0" fontId="0" fillId="0" borderId="11" xfId="0" applyBorder="1"/>
    <xf numFmtId="0" fontId="0" fillId="0" borderId="4" xfId="0" applyBorder="1"/>
    <xf numFmtId="0" fontId="0" fillId="0" borderId="12" xfId="0" applyBorder="1"/>
    <xf numFmtId="0" fontId="30" fillId="0" borderId="11" xfId="0" applyFont="1" applyBorder="1"/>
    <xf numFmtId="165" fontId="10" fillId="0" borderId="4" xfId="0" applyNumberFormat="1" applyFont="1" applyBorder="1"/>
    <xf numFmtId="165" fontId="10" fillId="0" borderId="12" xfId="0" applyNumberFormat="1" applyFont="1" applyBorder="1"/>
    <xf numFmtId="9" fontId="0" fillId="5" borderId="0" xfId="0" applyNumberFormat="1" applyFill="1"/>
  </cellXfs>
  <cellStyles count="3">
    <cellStyle name="Hyperlink" xfId="1" builtinId="8"/>
    <cellStyle name="Normal" xfId="0" builtinId="0"/>
    <cellStyle name="Percent" xfId="2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revisionHeaders" Target="revisions/revisionHeader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usernames" Target="revisions/userNames.xml"/></Relationships>
</file>

<file path=xl/revisions/_rels/revisionHeaders.xml.rels><?xml version="1.0" encoding="UTF-8" standalone="yes"?>
<Relationships xmlns="http://schemas.openxmlformats.org/package/2006/relationships"><Relationship Id="rId1" Type="http://schemas.openxmlformats.org/officeDocument/2006/relationships/revisionLog" Target="revisionLog1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B8850937-1607-483A-AEE1-B0145A200364}" protected="1">
  <header guid="{B8850937-1607-483A-AEE1-B0145A200364}" dateTime="2023-07-12T09:56:43" maxSheetId="9" userName="SHOUHAM. B.BANERJEE" r:id="rId1">
    <sheetIdMap count="8">
      <sheetId val="1"/>
      <sheetId val="2"/>
      <sheetId val="3"/>
      <sheetId val="4"/>
      <sheetId val="5"/>
      <sheetId val="6"/>
      <sheetId val="7"/>
      <sheetId val="8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56"/>
  <sheetViews>
    <sheetView showGridLines="0" topLeftCell="A36" workbookViewId="0">
      <selection activeCell="D53" sqref="D53"/>
    </sheetView>
  </sheetViews>
  <sheetFormatPr defaultRowHeight="14.4" x14ac:dyDescent="0.3"/>
  <cols>
    <col min="1" max="1" width="1.88671875" customWidth="1"/>
    <col min="2" max="2" width="24.44140625" bestFit="1" customWidth="1"/>
  </cols>
  <sheetData>
    <row r="2" spans="2:10" ht="23.4" customHeight="1" x14ac:dyDescent="0.3">
      <c r="B2" s="1" t="s">
        <v>0</v>
      </c>
      <c r="C2" s="12"/>
      <c r="D2" s="12">
        <v>42795</v>
      </c>
      <c r="E2" s="12">
        <v>43160</v>
      </c>
      <c r="F2" s="12">
        <v>43525</v>
      </c>
      <c r="G2" s="12">
        <v>43891</v>
      </c>
      <c r="H2" s="12">
        <v>44256</v>
      </c>
      <c r="I2" s="12">
        <v>44621</v>
      </c>
      <c r="J2" s="12">
        <v>44986</v>
      </c>
    </row>
    <row r="3" spans="2:10" ht="13.8" customHeight="1" x14ac:dyDescent="0.3">
      <c r="B3" s="3"/>
    </row>
    <row r="4" spans="2:10" x14ac:dyDescent="0.3">
      <c r="B4" s="2"/>
    </row>
    <row r="5" spans="2:10" x14ac:dyDescent="0.3">
      <c r="B5" s="4"/>
    </row>
    <row r="6" spans="2:10" x14ac:dyDescent="0.3">
      <c r="B6" s="5" t="s">
        <v>1</v>
      </c>
      <c r="C6" s="6"/>
      <c r="D6" s="6">
        <v>114</v>
      </c>
      <c r="E6" s="6">
        <v>114</v>
      </c>
      <c r="F6" s="6">
        <v>114</v>
      </c>
      <c r="G6" s="6">
        <v>114</v>
      </c>
      <c r="H6" s="6">
        <v>114</v>
      </c>
      <c r="I6" s="6">
        <v>130</v>
      </c>
      <c r="J6" s="6">
        <v>130</v>
      </c>
    </row>
    <row r="7" spans="2:10" x14ac:dyDescent="0.3">
      <c r="B7" s="7" t="s">
        <v>2</v>
      </c>
      <c r="C7" s="8"/>
      <c r="D7" s="8">
        <v>114</v>
      </c>
      <c r="E7" s="8">
        <v>114</v>
      </c>
      <c r="F7" s="8">
        <v>114</v>
      </c>
      <c r="G7" s="8">
        <v>114</v>
      </c>
      <c r="H7" s="8">
        <v>114</v>
      </c>
      <c r="I7" s="8">
        <v>130</v>
      </c>
      <c r="J7" s="8">
        <v>130</v>
      </c>
    </row>
    <row r="8" spans="2:10" x14ac:dyDescent="0.3">
      <c r="B8" s="7" t="s">
        <v>3</v>
      </c>
      <c r="C8" s="8"/>
      <c r="D8" s="9">
        <v>1166</v>
      </c>
      <c r="E8" s="9">
        <v>1540</v>
      </c>
      <c r="F8" s="9">
        <v>1905</v>
      </c>
      <c r="G8" s="9">
        <v>2298</v>
      </c>
      <c r="H8" s="9">
        <v>2952</v>
      </c>
      <c r="I8" s="9">
        <v>7248</v>
      </c>
      <c r="J8" s="9">
        <v>7858</v>
      </c>
    </row>
    <row r="9" spans="2:10" x14ac:dyDescent="0.3">
      <c r="B9" s="5" t="s">
        <v>4</v>
      </c>
      <c r="C9" s="10"/>
      <c r="D9" s="10">
        <v>2622</v>
      </c>
      <c r="E9" s="10">
        <v>2244</v>
      </c>
      <c r="F9" s="10">
        <v>1829</v>
      </c>
      <c r="G9" s="10">
        <v>2300</v>
      </c>
      <c r="H9" s="10">
        <v>3051</v>
      </c>
      <c r="I9" s="10">
        <v>2626</v>
      </c>
      <c r="J9" s="10">
        <v>2259</v>
      </c>
    </row>
    <row r="10" spans="2:10" x14ac:dyDescent="0.3">
      <c r="B10" s="7" t="s">
        <v>5</v>
      </c>
      <c r="C10" s="8"/>
      <c r="D10" s="8"/>
      <c r="E10" s="8">
        <v>190</v>
      </c>
      <c r="F10" s="8">
        <v>965</v>
      </c>
      <c r="G10" s="9">
        <v>1146</v>
      </c>
      <c r="H10" s="9">
        <v>1024</v>
      </c>
      <c r="I10" s="8">
        <v>0</v>
      </c>
      <c r="J10" s="8">
        <v>0</v>
      </c>
    </row>
    <row r="11" spans="2:10" x14ac:dyDescent="0.3">
      <c r="B11" s="7" t="s">
        <v>6</v>
      </c>
      <c r="C11" s="9"/>
      <c r="D11" s="8"/>
      <c r="E11" s="9">
        <v>1835</v>
      </c>
      <c r="F11" s="8">
        <v>776</v>
      </c>
      <c r="G11" s="9">
        <v>1015</v>
      </c>
      <c r="H11" s="9">
        <v>1926</v>
      </c>
      <c r="I11" s="9">
        <v>2508</v>
      </c>
      <c r="J11" s="9">
        <v>2125</v>
      </c>
    </row>
    <row r="12" spans="2:10" x14ac:dyDescent="0.3">
      <c r="B12" s="7" t="s">
        <v>7</v>
      </c>
      <c r="C12" s="8"/>
      <c r="D12" s="8"/>
      <c r="E12" s="8">
        <v>0</v>
      </c>
      <c r="F12" s="8">
        <v>0</v>
      </c>
      <c r="G12" s="8">
        <v>0</v>
      </c>
      <c r="H12" s="8">
        <v>101</v>
      </c>
      <c r="I12" s="8">
        <v>118</v>
      </c>
      <c r="J12" s="8">
        <v>134</v>
      </c>
    </row>
    <row r="13" spans="2:10" x14ac:dyDescent="0.3">
      <c r="B13" s="7" t="s">
        <v>8</v>
      </c>
      <c r="C13" s="8"/>
      <c r="D13" s="9">
        <v>2622</v>
      </c>
      <c r="E13" s="8">
        <v>219</v>
      </c>
      <c r="F13" s="8">
        <v>89</v>
      </c>
      <c r="G13" s="8">
        <v>139</v>
      </c>
      <c r="H13" s="8">
        <v>0</v>
      </c>
      <c r="I13" s="8">
        <v>0</v>
      </c>
      <c r="J13" s="8"/>
    </row>
    <row r="14" spans="2:10" x14ac:dyDescent="0.3">
      <c r="B14" s="5" t="s">
        <v>9</v>
      </c>
      <c r="C14" s="10"/>
      <c r="D14" s="10">
        <v>3465</v>
      </c>
      <c r="E14" s="10">
        <v>5750</v>
      </c>
      <c r="F14" s="10">
        <v>7541</v>
      </c>
      <c r="G14" s="10">
        <v>6914</v>
      </c>
      <c r="H14" s="10">
        <v>6958</v>
      </c>
      <c r="I14" s="10">
        <v>10247</v>
      </c>
      <c r="J14" s="10">
        <v>9372</v>
      </c>
    </row>
    <row r="15" spans="2:10" x14ac:dyDescent="0.3">
      <c r="B15" s="7" t="s">
        <v>10</v>
      </c>
      <c r="C15" s="9"/>
      <c r="D15" s="9">
        <v>2993</v>
      </c>
      <c r="E15" s="9">
        <v>5141</v>
      </c>
      <c r="F15" s="9">
        <v>6615</v>
      </c>
      <c r="G15" s="9">
        <v>5697</v>
      </c>
      <c r="H15" s="9">
        <v>5192</v>
      </c>
      <c r="I15" s="9">
        <v>8620</v>
      </c>
      <c r="J15" s="9">
        <v>7617</v>
      </c>
    </row>
    <row r="16" spans="2:10" x14ac:dyDescent="0.3">
      <c r="B16" s="7" t="s">
        <v>11</v>
      </c>
      <c r="C16" s="8"/>
      <c r="D16" s="8">
        <v>38</v>
      </c>
      <c r="E16" s="8">
        <v>39</v>
      </c>
      <c r="F16" s="8">
        <v>36</v>
      </c>
      <c r="G16" s="8">
        <v>78</v>
      </c>
      <c r="H16" s="8">
        <v>58</v>
      </c>
      <c r="I16" s="8">
        <v>62</v>
      </c>
      <c r="J16" s="8"/>
    </row>
    <row r="17" spans="2:20" x14ac:dyDescent="0.3">
      <c r="B17" s="7" t="s">
        <v>12</v>
      </c>
      <c r="C17" s="8"/>
      <c r="D17" s="8">
        <v>434</v>
      </c>
      <c r="E17" s="8">
        <v>570</v>
      </c>
      <c r="F17" s="8">
        <v>891</v>
      </c>
      <c r="G17" s="9">
        <v>1139</v>
      </c>
      <c r="H17" s="9">
        <v>1708</v>
      </c>
      <c r="I17" s="9">
        <v>1565</v>
      </c>
      <c r="J17" s="9">
        <v>1755</v>
      </c>
    </row>
    <row r="18" spans="2:20" x14ac:dyDescent="0.3">
      <c r="B18" s="5" t="s">
        <v>13</v>
      </c>
      <c r="C18" s="10"/>
      <c r="D18" s="10">
        <v>7367</v>
      </c>
      <c r="E18" s="10">
        <v>9649</v>
      </c>
      <c r="F18" s="10">
        <v>11390</v>
      </c>
      <c r="G18" s="10">
        <v>11627</v>
      </c>
      <c r="H18" s="10">
        <v>13076</v>
      </c>
      <c r="I18" s="10">
        <v>20251</v>
      </c>
      <c r="J18" s="10">
        <v>19619</v>
      </c>
    </row>
    <row r="19" spans="2:20" x14ac:dyDescent="0.3">
      <c r="B19" s="5" t="s">
        <v>14</v>
      </c>
      <c r="C19" s="10"/>
      <c r="D19" s="10">
        <v>1950</v>
      </c>
      <c r="E19" s="10">
        <v>2273</v>
      </c>
      <c r="F19" s="10">
        <v>2954</v>
      </c>
      <c r="G19" s="10">
        <v>3759</v>
      </c>
      <c r="H19" s="10">
        <v>3702</v>
      </c>
      <c r="I19" s="10">
        <v>4146</v>
      </c>
      <c r="J19" s="10">
        <v>4377</v>
      </c>
    </row>
    <row r="20" spans="2:20" x14ac:dyDescent="0.3">
      <c r="B20" s="7" t="s">
        <v>15</v>
      </c>
      <c r="C20" s="8"/>
      <c r="D20" s="8">
        <v>138</v>
      </c>
      <c r="E20" s="8">
        <v>188</v>
      </c>
      <c r="F20" s="8">
        <v>350</v>
      </c>
      <c r="G20" s="8">
        <v>490</v>
      </c>
      <c r="H20" s="8">
        <v>408</v>
      </c>
      <c r="I20" s="8">
        <v>423</v>
      </c>
      <c r="J20" s="8"/>
    </row>
    <row r="21" spans="2:20" x14ac:dyDescent="0.3">
      <c r="B21" s="7" t="s">
        <v>16</v>
      </c>
      <c r="C21" s="8"/>
      <c r="D21" s="8">
        <v>371</v>
      </c>
      <c r="E21" s="8">
        <v>453</v>
      </c>
      <c r="F21" s="8">
        <v>600</v>
      </c>
      <c r="G21" s="8">
        <v>804</v>
      </c>
      <c r="H21" s="8">
        <v>960</v>
      </c>
      <c r="I21" s="9">
        <v>1074</v>
      </c>
      <c r="J21" s="8"/>
    </row>
    <row r="22" spans="2:20" x14ac:dyDescent="0.3">
      <c r="B22" s="7" t="s">
        <v>17</v>
      </c>
      <c r="C22" s="9"/>
      <c r="D22" s="9">
        <v>1564</v>
      </c>
      <c r="E22" s="9">
        <v>1799</v>
      </c>
      <c r="F22" s="9">
        <v>2327</v>
      </c>
      <c r="G22" s="9">
        <v>2897</v>
      </c>
      <c r="H22" s="9">
        <v>2997</v>
      </c>
      <c r="I22" s="9">
        <v>3522</v>
      </c>
      <c r="J22" s="8"/>
    </row>
    <row r="23" spans="2:20" x14ac:dyDescent="0.3">
      <c r="B23" s="7" t="s">
        <v>18</v>
      </c>
      <c r="C23" s="8"/>
      <c r="D23" s="8">
        <v>13</v>
      </c>
      <c r="E23" s="8">
        <v>17</v>
      </c>
      <c r="F23" s="8">
        <v>25</v>
      </c>
      <c r="G23" s="8">
        <v>51</v>
      </c>
      <c r="H23" s="8">
        <v>47</v>
      </c>
      <c r="I23" s="8">
        <v>54</v>
      </c>
      <c r="J23" s="8"/>
    </row>
    <row r="24" spans="2:20" x14ac:dyDescent="0.3">
      <c r="B24" s="7" t="s">
        <v>19</v>
      </c>
      <c r="C24" s="8"/>
      <c r="D24" s="8">
        <v>9</v>
      </c>
      <c r="E24" s="8">
        <v>12</v>
      </c>
      <c r="F24" s="8">
        <v>16</v>
      </c>
      <c r="G24" s="8">
        <v>17</v>
      </c>
      <c r="H24" s="8">
        <v>25</v>
      </c>
      <c r="I24" s="8">
        <v>32</v>
      </c>
      <c r="J24" s="8"/>
    </row>
    <row r="25" spans="2:20" x14ac:dyDescent="0.3">
      <c r="B25" s="7" t="s">
        <v>20</v>
      </c>
      <c r="C25" s="8"/>
      <c r="D25" s="8">
        <v>63</v>
      </c>
      <c r="E25" s="8">
        <v>7</v>
      </c>
      <c r="F25" s="8">
        <v>9</v>
      </c>
      <c r="G25" s="8">
        <v>246</v>
      </c>
      <c r="H25" s="8">
        <v>270</v>
      </c>
      <c r="I25" s="8">
        <v>322</v>
      </c>
      <c r="J25" s="8"/>
    </row>
    <row r="26" spans="2:20" x14ac:dyDescent="0.3">
      <c r="B26" s="7" t="s">
        <v>21</v>
      </c>
      <c r="C26" s="8"/>
      <c r="D26" s="8">
        <v>4</v>
      </c>
      <c r="E26" s="8">
        <v>4</v>
      </c>
      <c r="F26" s="8">
        <v>4</v>
      </c>
      <c r="G26" s="8">
        <v>5</v>
      </c>
      <c r="H26" s="8">
        <v>6</v>
      </c>
      <c r="I26" s="8">
        <v>8</v>
      </c>
      <c r="J26" s="8"/>
    </row>
    <row r="27" spans="2:20" x14ac:dyDescent="0.3">
      <c r="B27" s="7" t="s">
        <v>22</v>
      </c>
      <c r="C27" s="8"/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134</v>
      </c>
    </row>
    <row r="28" spans="2:20" x14ac:dyDescent="0.3">
      <c r="B28" s="7" t="s">
        <v>23</v>
      </c>
      <c r="C28" s="8"/>
      <c r="D28" s="8">
        <v>9</v>
      </c>
      <c r="E28" s="8">
        <v>157</v>
      </c>
      <c r="F28" s="8">
        <v>168</v>
      </c>
      <c r="G28" s="8">
        <v>37</v>
      </c>
      <c r="H28" s="8">
        <v>41</v>
      </c>
      <c r="I28" s="8">
        <v>41</v>
      </c>
      <c r="J28" s="8"/>
    </row>
    <row r="29" spans="2:20" x14ac:dyDescent="0.3">
      <c r="B29" s="5" t="s">
        <v>24</v>
      </c>
      <c r="C29" s="10"/>
      <c r="D29" s="10">
        <v>2172</v>
      </c>
      <c r="E29" s="10">
        <v>2636</v>
      </c>
      <c r="F29" s="10">
        <v>3499</v>
      </c>
      <c r="G29" s="10">
        <v>4547</v>
      </c>
      <c r="H29" s="10">
        <v>4753</v>
      </c>
      <c r="I29" s="10">
        <v>5476</v>
      </c>
      <c r="J29" s="6"/>
      <c r="N29" s="15">
        <f>D29-D30</f>
        <v>1950</v>
      </c>
      <c r="O29" s="15">
        <f t="shared" ref="O29:T29" si="0">E29-E30</f>
        <v>2272</v>
      </c>
      <c r="P29" s="15">
        <f t="shared" si="0"/>
        <v>2954</v>
      </c>
      <c r="Q29" s="15">
        <f t="shared" si="0"/>
        <v>3760</v>
      </c>
      <c r="R29" s="15">
        <f t="shared" si="0"/>
        <v>3702</v>
      </c>
      <c r="S29" s="15">
        <f t="shared" si="0"/>
        <v>4146</v>
      </c>
      <c r="T29" s="15">
        <f t="shared" si="0"/>
        <v>0</v>
      </c>
    </row>
    <row r="30" spans="2:20" x14ac:dyDescent="0.3">
      <c r="B30" s="7" t="s">
        <v>25</v>
      </c>
      <c r="C30" s="8"/>
      <c r="D30" s="8">
        <v>222</v>
      </c>
      <c r="E30" s="8">
        <v>364</v>
      </c>
      <c r="F30" s="8">
        <v>545</v>
      </c>
      <c r="G30" s="8">
        <v>787</v>
      </c>
      <c r="H30" s="9">
        <v>1051</v>
      </c>
      <c r="I30" s="9">
        <v>1330</v>
      </c>
      <c r="J30" s="8"/>
    </row>
    <row r="31" spans="2:20" x14ac:dyDescent="0.3">
      <c r="B31" s="7" t="s">
        <v>26</v>
      </c>
      <c r="C31" s="8"/>
      <c r="D31" s="8">
        <v>70</v>
      </c>
      <c r="E31" s="8">
        <v>443</v>
      </c>
      <c r="F31" s="8">
        <v>570</v>
      </c>
      <c r="G31" s="8">
        <v>325</v>
      </c>
      <c r="H31" s="8">
        <v>531</v>
      </c>
      <c r="I31" s="8">
        <v>363</v>
      </c>
      <c r="J31" s="8">
        <v>323</v>
      </c>
    </row>
    <row r="32" spans="2:20" x14ac:dyDescent="0.3">
      <c r="B32" s="7" t="s">
        <v>27</v>
      </c>
      <c r="C32" s="8"/>
      <c r="D32" s="8">
        <v>52</v>
      </c>
      <c r="E32" s="8">
        <v>53</v>
      </c>
      <c r="F32" s="8">
        <v>54</v>
      </c>
      <c r="G32" s="8">
        <v>55</v>
      </c>
      <c r="H32" s="8">
        <v>106</v>
      </c>
      <c r="I32" s="8">
        <v>286</v>
      </c>
      <c r="J32" s="8">
        <v>288</v>
      </c>
    </row>
    <row r="33" spans="2:10" x14ac:dyDescent="0.3">
      <c r="B33" s="5" t="s">
        <v>28</v>
      </c>
      <c r="C33" s="10"/>
      <c r="D33" s="10">
        <v>5294</v>
      </c>
      <c r="E33" s="10">
        <v>6880</v>
      </c>
      <c r="F33" s="10">
        <v>7812</v>
      </c>
      <c r="G33" s="10">
        <v>7488</v>
      </c>
      <c r="H33" s="10">
        <v>8736</v>
      </c>
      <c r="I33" s="10">
        <v>15456</v>
      </c>
      <c r="J33" s="10">
        <v>14631</v>
      </c>
    </row>
    <row r="34" spans="2:10" x14ac:dyDescent="0.3">
      <c r="B34" s="7" t="s">
        <v>29</v>
      </c>
      <c r="C34" s="9"/>
      <c r="D34" s="9">
        <v>2896</v>
      </c>
      <c r="E34" s="9">
        <v>3748</v>
      </c>
      <c r="F34" s="9">
        <v>4042</v>
      </c>
      <c r="G34" s="9">
        <v>3826</v>
      </c>
      <c r="H34" s="9">
        <v>4778</v>
      </c>
      <c r="I34" s="9">
        <v>7376</v>
      </c>
      <c r="J34" s="9">
        <v>7096</v>
      </c>
    </row>
    <row r="35" spans="2:10" x14ac:dyDescent="0.3">
      <c r="B35" s="7" t="s">
        <v>30</v>
      </c>
      <c r="C35" s="8"/>
      <c r="D35" s="8">
        <v>842</v>
      </c>
      <c r="E35" s="9">
        <v>1212</v>
      </c>
      <c r="F35" s="9">
        <v>1262</v>
      </c>
      <c r="G35" s="8">
        <v>921</v>
      </c>
      <c r="H35" s="9">
        <v>1515</v>
      </c>
      <c r="I35" s="9">
        <v>2142</v>
      </c>
      <c r="J35" s="9">
        <v>1937</v>
      </c>
    </row>
    <row r="36" spans="2:10" x14ac:dyDescent="0.3">
      <c r="B36" s="7" t="s">
        <v>31</v>
      </c>
      <c r="C36" s="9"/>
      <c r="D36" s="8">
        <v>894</v>
      </c>
      <c r="E36" s="9">
        <v>1060</v>
      </c>
      <c r="F36" s="9">
        <v>1189</v>
      </c>
      <c r="G36" s="9">
        <v>1416</v>
      </c>
      <c r="H36" s="9">
        <v>1188</v>
      </c>
      <c r="I36" s="9">
        <v>4446</v>
      </c>
      <c r="J36" s="9">
        <v>3534</v>
      </c>
    </row>
    <row r="37" spans="2:10" x14ac:dyDescent="0.3">
      <c r="B37" s="7" t="s">
        <v>32</v>
      </c>
      <c r="C37" s="8"/>
      <c r="D37" s="8">
        <v>54</v>
      </c>
      <c r="E37" s="8">
        <v>50</v>
      </c>
      <c r="F37" s="8">
        <v>0</v>
      </c>
      <c r="G37" s="8">
        <v>55</v>
      </c>
      <c r="H37" s="8">
        <v>55</v>
      </c>
      <c r="I37" s="8">
        <v>55</v>
      </c>
      <c r="J37" s="8">
        <v>3</v>
      </c>
    </row>
    <row r="38" spans="2:10" x14ac:dyDescent="0.3">
      <c r="B38" s="7" t="s">
        <v>33</v>
      </c>
      <c r="C38" s="8"/>
      <c r="D38" s="8">
        <v>608</v>
      </c>
      <c r="E38" s="8">
        <v>810</v>
      </c>
      <c r="F38" s="9">
        <v>1320</v>
      </c>
      <c r="G38" s="9">
        <v>1268</v>
      </c>
      <c r="H38" s="9">
        <v>1201</v>
      </c>
      <c r="I38" s="9">
        <v>1437</v>
      </c>
      <c r="J38" s="9">
        <v>2061</v>
      </c>
    </row>
    <row r="39" spans="2:10" x14ac:dyDescent="0.3">
      <c r="B39" s="5" t="s">
        <v>34</v>
      </c>
      <c r="C39" s="10"/>
      <c r="D39" s="10">
        <v>7367</v>
      </c>
      <c r="E39" s="10">
        <v>9649</v>
      </c>
      <c r="F39" s="10">
        <v>11390</v>
      </c>
      <c r="G39" s="10">
        <v>11627</v>
      </c>
      <c r="H39" s="10">
        <v>13076</v>
      </c>
      <c r="I39" s="10">
        <v>20251</v>
      </c>
      <c r="J39" s="10">
        <v>19619</v>
      </c>
    </row>
    <row r="42" spans="2:10" ht="22.8" x14ac:dyDescent="0.3">
      <c r="B42" s="1" t="s">
        <v>35</v>
      </c>
      <c r="C42" s="12"/>
      <c r="D42" s="12">
        <v>42795</v>
      </c>
      <c r="E42" s="12">
        <v>43160</v>
      </c>
      <c r="F42" s="12">
        <v>43525</v>
      </c>
      <c r="G42" s="12">
        <v>43891</v>
      </c>
      <c r="H42" s="12">
        <v>44256</v>
      </c>
      <c r="I42" s="12">
        <v>44621</v>
      </c>
      <c r="J42" s="12">
        <v>44986</v>
      </c>
    </row>
    <row r="43" spans="2:10" x14ac:dyDescent="0.3">
      <c r="B43" s="3"/>
    </row>
    <row r="44" spans="2:10" x14ac:dyDescent="0.3">
      <c r="B44" s="4"/>
    </row>
    <row r="45" spans="2:10" x14ac:dyDescent="0.3">
      <c r="B45" s="7" t="s">
        <v>36</v>
      </c>
      <c r="C45" s="9"/>
      <c r="D45" s="9">
        <v>22973</v>
      </c>
      <c r="E45" s="9">
        <v>26354</v>
      </c>
      <c r="F45" s="9">
        <v>28802</v>
      </c>
      <c r="G45" s="9">
        <v>29657</v>
      </c>
      <c r="H45" s="9">
        <v>37090</v>
      </c>
      <c r="I45" s="9">
        <v>52361</v>
      </c>
      <c r="J45" s="9">
        <v>55262</v>
      </c>
    </row>
    <row r="46" spans="2:10" x14ac:dyDescent="0.3">
      <c r="B46" s="7" t="s">
        <v>37</v>
      </c>
      <c r="C46" s="9"/>
      <c r="D46" s="9">
        <v>22330</v>
      </c>
      <c r="E46" s="9">
        <v>25433</v>
      </c>
      <c r="F46" s="9">
        <v>27703</v>
      </c>
      <c r="G46" s="9">
        <v>28345</v>
      </c>
      <c r="H46" s="9">
        <v>35763</v>
      </c>
      <c r="I46" s="9">
        <v>50635</v>
      </c>
      <c r="J46" s="9">
        <v>53646</v>
      </c>
    </row>
    <row r="47" spans="2:10" x14ac:dyDescent="0.3">
      <c r="B47" s="5" t="s">
        <v>38</v>
      </c>
      <c r="C47" s="6"/>
      <c r="D47" s="6">
        <v>643</v>
      </c>
      <c r="E47" s="6">
        <v>921</v>
      </c>
      <c r="F47" s="10">
        <v>1100</v>
      </c>
      <c r="G47" s="10">
        <v>1312</v>
      </c>
      <c r="H47" s="10">
        <v>1328</v>
      </c>
      <c r="I47" s="10">
        <v>1726</v>
      </c>
      <c r="J47" s="10">
        <v>1616</v>
      </c>
    </row>
    <row r="48" spans="2:10" x14ac:dyDescent="0.3">
      <c r="B48" s="7" t="s">
        <v>39</v>
      </c>
      <c r="C48" s="11"/>
      <c r="D48" s="11">
        <v>0.03</v>
      </c>
      <c r="E48" s="11">
        <v>0.04</v>
      </c>
      <c r="F48" s="11">
        <v>0.04</v>
      </c>
      <c r="G48" s="11">
        <v>0.04</v>
      </c>
      <c r="H48" s="11">
        <v>0.04</v>
      </c>
      <c r="I48" s="11">
        <v>0.03</v>
      </c>
      <c r="J48" s="11">
        <v>0.03</v>
      </c>
    </row>
    <row r="49" spans="2:10" x14ac:dyDescent="0.3">
      <c r="B49" s="7" t="s">
        <v>40</v>
      </c>
      <c r="C49" s="8"/>
      <c r="D49" s="8">
        <v>152</v>
      </c>
      <c r="E49" s="8">
        <v>88</v>
      </c>
      <c r="F49" s="8">
        <v>122</v>
      </c>
      <c r="G49" s="8">
        <v>108</v>
      </c>
      <c r="H49" s="8">
        <v>104</v>
      </c>
      <c r="I49" s="8">
        <v>169</v>
      </c>
      <c r="J49" s="8">
        <v>257</v>
      </c>
    </row>
    <row r="50" spans="2:10" x14ac:dyDescent="0.3">
      <c r="B50" s="7" t="s">
        <v>41</v>
      </c>
      <c r="C50" s="8"/>
      <c r="D50" s="8">
        <v>328</v>
      </c>
      <c r="E50" s="8">
        <v>298</v>
      </c>
      <c r="F50" s="8">
        <v>470</v>
      </c>
      <c r="G50" s="8">
        <v>569</v>
      </c>
      <c r="H50" s="8">
        <v>407</v>
      </c>
      <c r="I50" s="8">
        <v>525</v>
      </c>
      <c r="J50" s="8">
        <v>729</v>
      </c>
    </row>
    <row r="51" spans="2:10" x14ac:dyDescent="0.3">
      <c r="B51" s="7" t="s">
        <v>42</v>
      </c>
      <c r="C51" s="8"/>
      <c r="D51" s="8">
        <v>119</v>
      </c>
      <c r="E51" s="8">
        <v>146</v>
      </c>
      <c r="F51" s="8">
        <v>182</v>
      </c>
      <c r="G51" s="8">
        <v>242</v>
      </c>
      <c r="H51" s="8">
        <v>268</v>
      </c>
      <c r="I51" s="8">
        <v>285</v>
      </c>
      <c r="J51" s="8">
        <v>319</v>
      </c>
    </row>
    <row r="52" spans="2:10" x14ac:dyDescent="0.3">
      <c r="B52" s="5" t="s">
        <v>43</v>
      </c>
      <c r="C52" s="6"/>
      <c r="D52" s="6">
        <v>348</v>
      </c>
      <c r="E52" s="6">
        <v>566</v>
      </c>
      <c r="F52" s="6">
        <v>570</v>
      </c>
      <c r="G52" s="6">
        <v>609</v>
      </c>
      <c r="H52" s="6">
        <v>757</v>
      </c>
      <c r="I52" s="10">
        <v>1084</v>
      </c>
      <c r="J52" s="6">
        <v>825</v>
      </c>
    </row>
    <row r="53" spans="2:10" x14ac:dyDescent="0.3">
      <c r="B53" s="7" t="s">
        <v>44</v>
      </c>
      <c r="C53" s="11"/>
      <c r="D53" s="11">
        <v>0.34</v>
      </c>
      <c r="E53" s="11">
        <v>0.34</v>
      </c>
      <c r="F53" s="11">
        <v>0.36</v>
      </c>
      <c r="G53" s="11">
        <v>0.35</v>
      </c>
      <c r="H53" s="11">
        <v>0.14000000000000001</v>
      </c>
      <c r="I53" s="11">
        <v>0.25</v>
      </c>
      <c r="J53" s="11">
        <v>0.26</v>
      </c>
    </row>
    <row r="54" spans="2:10" x14ac:dyDescent="0.3">
      <c r="B54" s="7" t="s">
        <v>45</v>
      </c>
      <c r="C54" s="8"/>
      <c r="D54" s="8">
        <v>230</v>
      </c>
      <c r="E54" s="8">
        <v>375</v>
      </c>
      <c r="F54" s="8">
        <v>365</v>
      </c>
      <c r="G54" s="8">
        <v>395</v>
      </c>
      <c r="H54" s="8">
        <v>655</v>
      </c>
      <c r="I54" s="8">
        <v>808</v>
      </c>
      <c r="J54" s="8">
        <v>607</v>
      </c>
    </row>
    <row r="55" spans="2:10" x14ac:dyDescent="0.3">
      <c r="B55" s="7" t="s">
        <v>46</v>
      </c>
      <c r="C55" s="8"/>
      <c r="D55" s="8">
        <v>20.09</v>
      </c>
      <c r="E55" s="8">
        <v>32.79</v>
      </c>
      <c r="F55" s="8">
        <v>31.95</v>
      </c>
      <c r="G55" s="8">
        <v>34.520000000000003</v>
      </c>
      <c r="H55" s="8">
        <v>57.27</v>
      </c>
      <c r="I55" s="8">
        <v>6.22</v>
      </c>
      <c r="J55" s="8">
        <v>4.67</v>
      </c>
    </row>
    <row r="56" spans="2:10" x14ac:dyDescent="0.3">
      <c r="B56" s="7" t="s">
        <v>47</v>
      </c>
      <c r="C56" s="11"/>
      <c r="D56" s="11">
        <v>0</v>
      </c>
      <c r="E56" s="11">
        <v>0</v>
      </c>
      <c r="F56" s="11">
        <v>0</v>
      </c>
      <c r="G56" s="11">
        <v>0</v>
      </c>
      <c r="H56" s="11">
        <v>0</v>
      </c>
      <c r="I56" s="11">
        <v>0</v>
      </c>
      <c r="J56" s="11">
        <v>0</v>
      </c>
    </row>
  </sheetData>
  <sheetProtection password="C58F" sheet="1" objects="1" scenarios="1"/>
  <customSheetViews>
    <customSheetView guid="{0D1F9D0C-3063-4A9B-A68D-79FADEF997F9}" showGridLines="0" topLeftCell="A36">
      <selection activeCell="D53" sqref="D53"/>
      <pageMargins left="0.7" right="0.7" top="0.75" bottom="0.75" header="0.3" footer="0.3"/>
      <pageSetup paperSize="9" orientation="portrait" r:id="rId1"/>
    </customSheetView>
  </customSheetView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28"/>
  <sheetViews>
    <sheetView showGridLines="0" workbookViewId="0">
      <pane ySplit="2" topLeftCell="A3" activePane="bottomLeft" state="frozen"/>
      <selection pane="bottomLeft" activeCell="M19" sqref="M19"/>
    </sheetView>
  </sheetViews>
  <sheetFormatPr defaultRowHeight="14.4" x14ac:dyDescent="0.3"/>
  <cols>
    <col min="1" max="1" width="1.88671875" customWidth="1"/>
  </cols>
  <sheetData>
    <row r="2" spans="2:19" x14ac:dyDescent="0.3">
      <c r="B2" s="123" t="s">
        <v>75</v>
      </c>
      <c r="C2" s="124"/>
      <c r="D2" s="124"/>
      <c r="E2" s="124"/>
      <c r="F2" s="125">
        <f>'P&amp;L'!F2</f>
        <v>42795</v>
      </c>
      <c r="G2" s="125">
        <f>'P&amp;L'!G2</f>
        <v>43160</v>
      </c>
      <c r="H2" s="125">
        <f>'P&amp;L'!H2</f>
        <v>43525</v>
      </c>
      <c r="I2" s="125">
        <f>'P&amp;L'!I2</f>
        <v>43891</v>
      </c>
      <c r="J2" s="125">
        <f>'P&amp;L'!J2</f>
        <v>44256</v>
      </c>
      <c r="K2" s="125">
        <f>'P&amp;L'!K2</f>
        <v>44621</v>
      </c>
      <c r="L2" s="126">
        <f>'P&amp;L'!L2</f>
        <v>44986</v>
      </c>
      <c r="M2" s="125">
        <f>'P&amp;L'!M2</f>
        <v>45352</v>
      </c>
      <c r="N2" s="125">
        <f>'P&amp;L'!N2</f>
        <v>45718</v>
      </c>
      <c r="O2" s="125">
        <f>'P&amp;L'!O2</f>
        <v>46084</v>
      </c>
      <c r="P2" s="125">
        <f>'P&amp;L'!P2</f>
        <v>46450</v>
      </c>
      <c r="Q2" s="125">
        <f>'P&amp;L'!Q2</f>
        <v>46816</v>
      </c>
      <c r="R2" s="125">
        <f>'P&amp;L'!R2</f>
        <v>47182</v>
      </c>
      <c r="S2" s="126">
        <f>'P&amp;L'!S2</f>
        <v>47548</v>
      </c>
    </row>
    <row r="3" spans="2:19" x14ac:dyDescent="0.3">
      <c r="B3" s="106" t="s">
        <v>85</v>
      </c>
      <c r="C3" s="56"/>
      <c r="D3" s="56"/>
      <c r="E3" s="56"/>
      <c r="F3" s="56"/>
      <c r="G3" s="56"/>
      <c r="H3" s="56"/>
      <c r="I3" s="56"/>
      <c r="J3" s="56"/>
      <c r="K3" s="56"/>
      <c r="L3" s="62"/>
      <c r="M3" s="56"/>
      <c r="N3" s="56"/>
      <c r="O3" s="56"/>
      <c r="P3" s="56"/>
      <c r="Q3" s="56"/>
      <c r="R3" s="56"/>
      <c r="S3" s="62"/>
    </row>
    <row r="4" spans="2:19" x14ac:dyDescent="0.3">
      <c r="B4" s="55" t="s">
        <v>76</v>
      </c>
      <c r="C4" s="56"/>
      <c r="D4" s="56"/>
      <c r="E4" s="56"/>
      <c r="F4" s="56"/>
      <c r="G4" s="118">
        <f>'P&amp;L'!G4/'P&amp;L'!F4-1</f>
        <v>0.1471727680320376</v>
      </c>
      <c r="H4" s="118">
        <f>'P&amp;L'!H4/'P&amp;L'!G4-1</f>
        <v>9.2889124990513716E-2</v>
      </c>
      <c r="I4" s="118">
        <f>'P&amp;L'!I4/'P&amp;L'!H4-1</f>
        <v>2.9685438511214413E-2</v>
      </c>
      <c r="J4" s="118">
        <f>'P&amp;L'!J4/'P&amp;L'!I4-1</f>
        <v>0.25063222847894262</v>
      </c>
      <c r="K4" s="118">
        <f>'P&amp;L'!K4/'P&amp;L'!J4-1</f>
        <v>0.4117282286330548</v>
      </c>
      <c r="L4" s="25">
        <f>'P&amp;L'!L4/'P&amp;L'!K4-1</f>
        <v>5.5403831095662825E-2</v>
      </c>
      <c r="M4" s="120">
        <f>M28</f>
        <v>5.9027903441786433E-2</v>
      </c>
      <c r="N4" s="120">
        <f t="shared" ref="N4:S4" si="0">N28</f>
        <v>0.12330960680355796</v>
      </c>
      <c r="O4" s="120">
        <f t="shared" si="0"/>
        <v>0.11728848833137562</v>
      </c>
      <c r="P4" s="120">
        <f t="shared" si="0"/>
        <v>0.10264186094364036</v>
      </c>
      <c r="Q4" s="120">
        <f t="shared" si="0"/>
        <v>7.2048520751260003E-2</v>
      </c>
      <c r="R4" s="120">
        <f t="shared" si="0"/>
        <v>5.7838833972702508E-2</v>
      </c>
      <c r="S4" s="121">
        <f t="shared" si="0"/>
        <v>7.9818994089848827E-2</v>
      </c>
    </row>
    <row r="5" spans="2:19" x14ac:dyDescent="0.3">
      <c r="B5" s="55" t="s">
        <v>77</v>
      </c>
      <c r="C5" s="56"/>
      <c r="D5" s="56"/>
      <c r="E5" s="56"/>
      <c r="F5" s="118">
        <f>'P&amp;L'!F5/'P&amp;L'!F4</f>
        <v>0.97201062116397507</v>
      </c>
      <c r="G5" s="118">
        <f>'P&amp;L'!G5/'P&amp;L'!G4</f>
        <v>0.96505274341655911</v>
      </c>
      <c r="H5" s="118">
        <f>'P&amp;L'!H5/'P&amp;L'!H4</f>
        <v>0.96184292757447398</v>
      </c>
      <c r="I5" s="118">
        <f>'P&amp;L'!I5/'P&amp;L'!I4</f>
        <v>0.95576086590012477</v>
      </c>
      <c r="J5" s="118">
        <f>'P&amp;L'!J5/'P&amp;L'!J4</f>
        <v>0.9642221623078997</v>
      </c>
      <c r="K5" s="118">
        <f>'P&amp;L'!K5/'P&amp;L'!K4</f>
        <v>0.96703653482553809</v>
      </c>
      <c r="L5" s="25">
        <f>'P&amp;L'!L5/'P&amp;L'!L4</f>
        <v>0.97075748253772931</v>
      </c>
      <c r="M5" s="127">
        <f>AVERAGE(F5:L5)</f>
        <v>0.96524047681804281</v>
      </c>
      <c r="N5" s="127">
        <f t="shared" ref="N5:S5" si="1">AVERAGE(G5:M5)</f>
        <v>0.9642733133400524</v>
      </c>
      <c r="O5" s="127">
        <f t="shared" si="1"/>
        <v>0.96416196618626582</v>
      </c>
      <c r="P5" s="127">
        <f t="shared" si="1"/>
        <v>0.96449325741652181</v>
      </c>
      <c r="Q5" s="127">
        <f t="shared" si="1"/>
        <v>0.96574074191886428</v>
      </c>
      <c r="R5" s="127">
        <f t="shared" si="1"/>
        <v>0.9659576818632879</v>
      </c>
      <c r="S5" s="26">
        <f t="shared" si="1"/>
        <v>0.96580356001153778</v>
      </c>
    </row>
    <row r="6" spans="2:19" x14ac:dyDescent="0.3">
      <c r="B6" s="55" t="s">
        <v>78</v>
      </c>
      <c r="C6" s="56"/>
      <c r="D6" s="56"/>
      <c r="E6" s="56"/>
      <c r="F6" s="127">
        <f>1-F5</f>
        <v>2.7989378836024925E-2</v>
      </c>
      <c r="G6" s="127">
        <f t="shared" ref="G6:L6" si="2">1-G5</f>
        <v>3.4947256583440889E-2</v>
      </c>
      <c r="H6" s="127">
        <f t="shared" si="2"/>
        <v>3.8157072425526017E-2</v>
      </c>
      <c r="I6" s="127">
        <f t="shared" si="2"/>
        <v>4.4239134099875232E-2</v>
      </c>
      <c r="J6" s="127">
        <f t="shared" si="2"/>
        <v>3.5777837692100301E-2</v>
      </c>
      <c r="K6" s="127">
        <f t="shared" si="2"/>
        <v>3.2963465174461914E-2</v>
      </c>
      <c r="L6" s="26">
        <f t="shared" si="2"/>
        <v>2.924251746227069E-2</v>
      </c>
      <c r="M6" s="127">
        <f t="shared" ref="M6" si="3">1-M5</f>
        <v>3.4759523181957186E-2</v>
      </c>
      <c r="N6" s="127">
        <f t="shared" ref="N6" si="4">1-N5</f>
        <v>3.5726686659947604E-2</v>
      </c>
      <c r="O6" s="127">
        <f t="shared" ref="O6" si="5">1-O5</f>
        <v>3.5838033813734183E-2</v>
      </c>
      <c r="P6" s="127">
        <f t="shared" ref="P6" si="6">1-P5</f>
        <v>3.550674258347819E-2</v>
      </c>
      <c r="Q6" s="127">
        <f t="shared" ref="Q6" si="7">1-Q5</f>
        <v>3.4259258081135724E-2</v>
      </c>
      <c r="R6" s="127">
        <f t="shared" ref="R6" si="8">1-R5</f>
        <v>3.4042318136712102E-2</v>
      </c>
      <c r="S6" s="26">
        <f t="shared" ref="S6" si="9">1-S5</f>
        <v>3.4196439988462224E-2</v>
      </c>
    </row>
    <row r="7" spans="2:19" x14ac:dyDescent="0.3">
      <c r="B7" s="55" t="s">
        <v>79</v>
      </c>
      <c r="C7" s="56"/>
      <c r="D7" s="56"/>
      <c r="E7" s="56"/>
      <c r="F7" s="128">
        <f>'P&amp;L'!F8/'P&amp;L'!F4</f>
        <v>6.6164628041614068E-3</v>
      </c>
      <c r="G7" s="128">
        <f>'P&amp;L'!G8/'P&amp;L'!G4</f>
        <v>3.3391515519465738E-3</v>
      </c>
      <c r="H7" s="128">
        <f>'P&amp;L'!H8/'P&amp;L'!H4</f>
        <v>4.235816957155753E-3</v>
      </c>
      <c r="I7" s="128">
        <f>'P&amp;L'!I8/'P&amp;L'!I4</f>
        <v>3.6416360387092422E-3</v>
      </c>
      <c r="J7" s="128">
        <f>'P&amp;L'!J8/'P&amp;L'!J4</f>
        <v>2.8039902938797518E-3</v>
      </c>
      <c r="K7" s="128">
        <f>'P&amp;L'!K8/'P&amp;L'!K4</f>
        <v>3.2275930559003837E-3</v>
      </c>
      <c r="L7" s="27">
        <f>'P&amp;L'!L8/'P&amp;L'!L4</f>
        <v>4.6505736310665556E-3</v>
      </c>
      <c r="M7" s="120">
        <f>AVERAGE(F7:L7)</f>
        <v>4.0736034761170948E-3</v>
      </c>
      <c r="N7" s="120">
        <f t="shared" ref="N7:S7" si="10">AVERAGE(G7:M7)</f>
        <v>3.7103378578250508E-3</v>
      </c>
      <c r="O7" s="120">
        <f t="shared" si="10"/>
        <v>3.7633644729505476E-3</v>
      </c>
      <c r="P7" s="120">
        <f t="shared" si="10"/>
        <v>3.6958712609212328E-3</v>
      </c>
      <c r="Q7" s="120">
        <f t="shared" si="10"/>
        <v>3.7036191498086598E-3</v>
      </c>
      <c r="R7" s="120">
        <f t="shared" si="10"/>
        <v>3.8321375577985038E-3</v>
      </c>
      <c r="S7" s="121">
        <f t="shared" si="10"/>
        <v>3.9185010580696641E-3</v>
      </c>
    </row>
    <row r="8" spans="2:19" x14ac:dyDescent="0.3">
      <c r="B8" s="55" t="s">
        <v>82</v>
      </c>
      <c r="C8" s="56"/>
      <c r="D8" s="56"/>
      <c r="E8" s="56"/>
      <c r="F8" s="118">
        <f>'P&amp;L'!F9/'P&amp;L'!F4</f>
        <v>3.4605841640186305E-2</v>
      </c>
      <c r="G8" s="118">
        <f>'P&amp;L'!G9/'P&amp;L'!G4</f>
        <v>3.8286408135387417E-2</v>
      </c>
      <c r="H8" s="118">
        <f>'P&amp;L'!H9/'P&amp;L'!H4</f>
        <v>4.2392889382681757E-2</v>
      </c>
      <c r="I8" s="118">
        <f>'P&amp;L'!I9/'P&amp;L'!I4</f>
        <v>4.788077013858448E-2</v>
      </c>
      <c r="J8" s="118">
        <f>'P&amp;L'!J9/'P&amp;L'!J4</f>
        <v>3.8581827985980047E-2</v>
      </c>
      <c r="K8" s="118">
        <f>'P&amp;L'!K9/'P&amp;L'!K4</f>
        <v>3.619105823036229E-2</v>
      </c>
      <c r="L8" s="25">
        <f>'P&amp;L'!L9/'P&amp;L'!L4</f>
        <v>3.3893091093337192E-2</v>
      </c>
      <c r="M8" s="118">
        <f>'P&amp;L'!M9/'P&amp;L'!M4</f>
        <v>3.8833126658074306E-2</v>
      </c>
      <c r="N8" s="118">
        <f>'P&amp;L'!N9/'P&amp;L'!N4</f>
        <v>3.9437024517772638E-2</v>
      </c>
      <c r="O8" s="118">
        <f>'P&amp;L'!O9/'P&amp;L'!O4</f>
        <v>3.9601398286684728E-2</v>
      </c>
      <c r="P8" s="118">
        <f>'P&amp;L'!P9/'P&amp;L'!P4</f>
        <v>3.9202613844399478E-2</v>
      </c>
      <c r="Q8" s="118">
        <f>'P&amp;L'!Q9/'P&amp;L'!Q4</f>
        <v>3.7962877230944408E-2</v>
      </c>
      <c r="R8" s="118">
        <f>'P&amp;L'!R9/'P&amp;L'!R4</f>
        <v>3.7874455694510534E-2</v>
      </c>
      <c r="S8" s="25">
        <f>'P&amp;L'!S9/'P&amp;L'!S4</f>
        <v>3.8114941046531896E-2</v>
      </c>
    </row>
    <row r="9" spans="2:19" x14ac:dyDescent="0.3">
      <c r="B9" s="55" t="s">
        <v>80</v>
      </c>
      <c r="C9" s="56"/>
      <c r="D9" s="56"/>
      <c r="E9" s="56"/>
      <c r="F9" s="56"/>
      <c r="G9" s="118">
        <f>'P&amp;L'!G10/BS!F28</f>
        <v>7.2277227722772272E-2</v>
      </c>
      <c r="H9" s="118">
        <f>'P&amp;L'!H10/BS!G28</f>
        <v>6.7010309278350513E-2</v>
      </c>
      <c r="I9" s="118">
        <f>'P&amp;L'!I10/BS!H28</f>
        <v>6.8671963677639045E-2</v>
      </c>
      <c r="J9" s="118">
        <f>'P&amp;L'!J10/BS!I28</f>
        <v>6.5621939275220378E-2</v>
      </c>
      <c r="K9" s="118">
        <f>'P&amp;L'!K10/BS!J28</f>
        <v>6.7328136073706593E-2</v>
      </c>
      <c r="L9" s="25">
        <f>'P&amp;L'!L10/BS!K28</f>
        <v>7.0747394100687519E-2</v>
      </c>
      <c r="M9" s="118">
        <f>AVERAGE(G9:L9)</f>
        <v>6.8609495021396058E-2</v>
      </c>
      <c r="N9" s="118">
        <f t="shared" ref="N9:S9" si="11">AVERAGE(H9:M9)</f>
        <v>6.7998206237833356E-2</v>
      </c>
      <c r="O9" s="118">
        <f t="shared" si="11"/>
        <v>6.8162855731080496E-2</v>
      </c>
      <c r="P9" s="118">
        <f t="shared" si="11"/>
        <v>6.8078004406654069E-2</v>
      </c>
      <c r="Q9" s="118">
        <f t="shared" si="11"/>
        <v>6.8487348595226358E-2</v>
      </c>
      <c r="R9" s="118">
        <f t="shared" si="11"/>
        <v>6.8680550682146305E-2</v>
      </c>
      <c r="S9" s="25">
        <f t="shared" si="11"/>
        <v>6.8336076779056107E-2</v>
      </c>
    </row>
    <row r="10" spans="2:19" x14ac:dyDescent="0.3">
      <c r="B10" s="55" t="s">
        <v>83</v>
      </c>
      <c r="C10" s="56"/>
      <c r="D10" s="56"/>
      <c r="E10" s="56"/>
      <c r="F10" s="118">
        <f>'P&amp;L'!F12/'P&amp;L'!F4</f>
        <v>2.9425847734296785E-2</v>
      </c>
      <c r="G10" s="118">
        <f>'P&amp;L'!G12/'P&amp;L'!G4</f>
        <v>3.2746452151476056E-2</v>
      </c>
      <c r="H10" s="118">
        <f>'P&amp;L'!H12/'P&amp;L'!H4</f>
        <v>3.6073883758072356E-2</v>
      </c>
      <c r="I10" s="118">
        <f>'P&amp;L'!I12/'P&amp;L'!I4</f>
        <v>3.972080790369896E-2</v>
      </c>
      <c r="J10" s="118">
        <f>'P&amp;L'!J12/'P&amp;L'!J4</f>
        <v>3.1356160690212999E-2</v>
      </c>
      <c r="K10" s="118">
        <f>'P&amp;L'!K12/'P&amp;L'!K4</f>
        <v>3.0748075857985904E-2</v>
      </c>
      <c r="L10" s="25">
        <f>'P&amp;L'!L12/'P&amp;L'!L4</f>
        <v>2.8120589193297383E-2</v>
      </c>
      <c r="M10" s="118">
        <f>'P&amp;L'!M12/'P&amp;L'!M4</f>
        <v>3.2009798888903158E-2</v>
      </c>
      <c r="N10" s="118">
        <f>'P&amp;L'!N12/'P&amp;L'!N4</f>
        <v>3.252820865105148E-2</v>
      </c>
      <c r="O10" s="118">
        <f>'P&amp;L'!O12/'P&amp;L'!O4</f>
        <v>3.2519535908417288E-2</v>
      </c>
      <c r="P10" s="118">
        <f>'P&amp;L'!P12/'P&amp;L'!P4</f>
        <v>3.1922019106890742E-2</v>
      </c>
      <c r="Q10" s="118">
        <f>'P&amp;L'!Q12/'P&amp;L'!Q4</f>
        <v>3.028483327796758E-2</v>
      </c>
      <c r="R10" s="118">
        <f>'P&amp;L'!R12/'P&amp;L'!R4</f>
        <v>2.9779511269195064E-2</v>
      </c>
      <c r="S10" s="25">
        <f>'P&amp;L'!S12/'P&amp;L'!S4</f>
        <v>2.9860113608452088E-2</v>
      </c>
    </row>
    <row r="11" spans="2:19" x14ac:dyDescent="0.3">
      <c r="B11" s="55" t="s">
        <v>81</v>
      </c>
      <c r="C11" s="56"/>
      <c r="D11" s="56"/>
      <c r="E11" s="56"/>
      <c r="F11" s="56"/>
      <c r="G11" s="118">
        <f>'P&amp;L'!G13/BS!F15</f>
        <v>0.11365369946605644</v>
      </c>
      <c r="H11" s="118">
        <f>'P&amp;L'!H13/BS!G15</f>
        <v>0.20944741532976827</v>
      </c>
      <c r="I11" s="118">
        <f>'P&amp;L'!I13/BS!H15</f>
        <v>0.31092896174863388</v>
      </c>
      <c r="J11" s="118">
        <f>'P&amp;L'!J13/BS!I15</f>
        <v>0.17695652173913043</v>
      </c>
      <c r="K11" s="118">
        <f>'P&amp;L'!K13/BS!J15</f>
        <v>0.17207472959685349</v>
      </c>
      <c r="L11" s="25">
        <f>'P&amp;L'!L13/BS!K15</f>
        <v>0.27760853008377762</v>
      </c>
      <c r="M11" s="127">
        <f>AVERAGE(G11:L11)</f>
        <v>0.2101116429940367</v>
      </c>
      <c r="N11" s="127">
        <f t="shared" ref="N11:S11" si="12">AVERAGE(H11:M11)</f>
        <v>0.22618796691536672</v>
      </c>
      <c r="O11" s="127">
        <f t="shared" si="12"/>
        <v>0.22897805884629982</v>
      </c>
      <c r="P11" s="127">
        <f t="shared" si="12"/>
        <v>0.21531957502924412</v>
      </c>
      <c r="Q11" s="127">
        <f t="shared" si="12"/>
        <v>0.22171341724426305</v>
      </c>
      <c r="R11" s="127">
        <f t="shared" si="12"/>
        <v>0.22998653185216467</v>
      </c>
      <c r="S11" s="26">
        <f t="shared" si="12"/>
        <v>0.22204953214689582</v>
      </c>
    </row>
    <row r="12" spans="2:19" x14ac:dyDescent="0.3">
      <c r="B12" s="55" t="s">
        <v>84</v>
      </c>
      <c r="C12" s="56"/>
      <c r="D12" s="56"/>
      <c r="E12" s="56"/>
      <c r="F12" s="119">
        <f>'P&amp;L'!F16</f>
        <v>0.34</v>
      </c>
      <c r="G12" s="119">
        <f>'P&amp;L'!G16</f>
        <v>0.34</v>
      </c>
      <c r="H12" s="119">
        <f>'P&amp;L'!H16</f>
        <v>0.36</v>
      </c>
      <c r="I12" s="119">
        <f>'P&amp;L'!I16</f>
        <v>0.35</v>
      </c>
      <c r="J12" s="119">
        <f>'P&amp;L'!J16</f>
        <v>0.14000000000000001</v>
      </c>
      <c r="K12" s="119">
        <f>'P&amp;L'!K16</f>
        <v>0.25</v>
      </c>
      <c r="L12" s="22">
        <f>'P&amp;L'!L16</f>
        <v>0.26</v>
      </c>
      <c r="M12" s="120">
        <v>0.25169999999999998</v>
      </c>
      <c r="N12" s="120">
        <v>0.25169999999999998</v>
      </c>
      <c r="O12" s="120">
        <v>0.25169999999999998</v>
      </c>
      <c r="P12" s="120">
        <v>0.25169999999999998</v>
      </c>
      <c r="Q12" s="120">
        <v>0.25169999999999998</v>
      </c>
      <c r="R12" s="120">
        <v>0.25169999999999998</v>
      </c>
      <c r="S12" s="121">
        <v>0.25169999999999998</v>
      </c>
    </row>
    <row r="13" spans="2:19" x14ac:dyDescent="0.3">
      <c r="B13" s="55"/>
      <c r="C13" s="56"/>
      <c r="D13" s="56"/>
      <c r="E13" s="56"/>
      <c r="F13" s="56"/>
      <c r="G13" s="56"/>
      <c r="H13" s="56"/>
      <c r="I13" s="56"/>
      <c r="J13" s="56"/>
      <c r="K13" s="56"/>
      <c r="L13" s="62"/>
      <c r="M13" s="56"/>
      <c r="N13" s="56"/>
      <c r="O13" s="56"/>
      <c r="P13" s="56"/>
      <c r="Q13" s="56"/>
      <c r="R13" s="56"/>
      <c r="S13" s="62"/>
    </row>
    <row r="14" spans="2:19" x14ac:dyDescent="0.3">
      <c r="B14" s="91" t="s">
        <v>86</v>
      </c>
      <c r="C14" s="92"/>
      <c r="D14" s="92"/>
      <c r="E14" s="92"/>
      <c r="F14" s="92"/>
      <c r="G14" s="92"/>
      <c r="H14" s="92"/>
      <c r="I14" s="92"/>
      <c r="J14" s="92"/>
      <c r="K14" s="92"/>
      <c r="L14" s="28"/>
      <c r="M14" s="92"/>
      <c r="N14" s="92"/>
      <c r="O14" s="92"/>
      <c r="P14" s="92"/>
      <c r="Q14" s="92"/>
      <c r="R14" s="92"/>
      <c r="S14" s="28"/>
    </row>
    <row r="15" spans="2:19" x14ac:dyDescent="0.3">
      <c r="B15" s="55"/>
      <c r="C15" s="56"/>
      <c r="D15" s="56"/>
      <c r="E15" s="56"/>
      <c r="F15" s="56"/>
      <c r="G15" s="56"/>
      <c r="H15" s="56"/>
      <c r="I15" s="56"/>
      <c r="J15" s="56"/>
      <c r="K15" s="56"/>
      <c r="L15" s="62"/>
      <c r="M15" s="56"/>
      <c r="N15" s="56"/>
      <c r="O15" s="56"/>
      <c r="P15" s="56"/>
      <c r="Q15" s="56"/>
      <c r="R15" s="56"/>
      <c r="S15" s="62"/>
    </row>
    <row r="16" spans="2:19" x14ac:dyDescent="0.3">
      <c r="B16" s="55" t="s">
        <v>87</v>
      </c>
      <c r="C16" s="56"/>
      <c r="D16" s="56"/>
      <c r="E16" s="56"/>
      <c r="F16" s="111">
        <f>BS!F32/'P&amp;L'!F4*365</f>
        <v>46.012275279676146</v>
      </c>
      <c r="G16" s="111">
        <f>BS!G32/'P&amp;L'!G4*365</f>
        <v>51.909387569249446</v>
      </c>
      <c r="H16" s="111">
        <f>BS!H32/'P&amp;L'!H4*365</f>
        <v>51.223178945906533</v>
      </c>
      <c r="I16" s="111">
        <f>BS!I32/'P&amp;L'!I4*365</f>
        <v>47.088039923121016</v>
      </c>
      <c r="J16" s="111">
        <f>BS!J32/'P&amp;L'!J4*365</f>
        <v>47.019951469398762</v>
      </c>
      <c r="K16" s="111">
        <f>BS!K32/'P&amp;L'!K4*365</f>
        <v>51.41689425335651</v>
      </c>
      <c r="L16" s="23">
        <f>BS!L32/'P&amp;L'!L4*365</f>
        <v>46.8683724801853</v>
      </c>
      <c r="M16" s="111">
        <f>AVERAGE(F16:L16)</f>
        <v>48.791157131556247</v>
      </c>
      <c r="N16" s="111">
        <f t="shared" ref="N16:S16" si="13">AVERAGE(G16:M16)</f>
        <v>49.188140253253401</v>
      </c>
      <c r="O16" s="111">
        <f t="shared" si="13"/>
        <v>48.799390636682531</v>
      </c>
      <c r="P16" s="111">
        <f t="shared" si="13"/>
        <v>48.453135163936246</v>
      </c>
      <c r="Q16" s="111">
        <f t="shared" si="13"/>
        <v>48.648148769766998</v>
      </c>
      <c r="R16" s="111">
        <f t="shared" si="13"/>
        <v>48.88074838410531</v>
      </c>
      <c r="S16" s="23">
        <f t="shared" si="13"/>
        <v>48.51844183135514</v>
      </c>
    </row>
    <row r="17" spans="2:19" x14ac:dyDescent="0.3">
      <c r="B17" s="55" t="s">
        <v>88</v>
      </c>
      <c r="C17" s="56"/>
      <c r="D17" s="56"/>
      <c r="E17" s="56"/>
      <c r="F17" s="111">
        <f>BS!F33/'P&amp;L'!F4*365</f>
        <v>13.377878378966614</v>
      </c>
      <c r="G17" s="111">
        <f>BS!G33/'P&amp;L'!G4*365</f>
        <v>16.786066631251423</v>
      </c>
      <c r="H17" s="111">
        <f>BS!H33/'P&amp;L'!H4*365</f>
        <v>15.992986598152907</v>
      </c>
      <c r="I17" s="111">
        <f>BS!I33/'P&amp;L'!I4*365</f>
        <v>11.335097953265672</v>
      </c>
      <c r="J17" s="111">
        <f>BS!J33/'P&amp;L'!J4*365</f>
        <v>14.909005122674575</v>
      </c>
      <c r="K17" s="111">
        <f>BS!K33/'P&amp;L'!K4*365</f>
        <v>14.931533011210634</v>
      </c>
      <c r="L17" s="23">
        <f>BS!L33/'P&amp;L'!L4*365</f>
        <v>12.793691867829612</v>
      </c>
      <c r="M17" s="111">
        <f t="shared" ref="M17:M20" si="14">AVERAGE(F17:L17)</f>
        <v>14.30375136619306</v>
      </c>
      <c r="N17" s="111">
        <f t="shared" ref="N17:N18" si="15">AVERAGE(G17:M17)</f>
        <v>14.436018935796838</v>
      </c>
      <c r="O17" s="111">
        <f t="shared" ref="O17:O18" si="16">AVERAGE(H17:N17)</f>
        <v>14.100297836446185</v>
      </c>
      <c r="P17" s="111">
        <f t="shared" ref="P17:P18" si="17">AVERAGE(I17:O17)</f>
        <v>13.829913727630938</v>
      </c>
      <c r="Q17" s="111">
        <f t="shared" ref="Q17:Q18" si="18">AVERAGE(J17:P17)</f>
        <v>14.186315981111692</v>
      </c>
      <c r="R17" s="111">
        <f t="shared" ref="R17:R18" si="19">AVERAGE(K17:Q17)</f>
        <v>14.083074675174137</v>
      </c>
      <c r="S17" s="23">
        <f t="shared" ref="S17:S18" si="20">AVERAGE(L17:R17)</f>
        <v>13.961866341454636</v>
      </c>
    </row>
    <row r="18" spans="2:19" x14ac:dyDescent="0.3">
      <c r="B18" s="55" t="s">
        <v>452</v>
      </c>
      <c r="C18" s="56"/>
      <c r="D18" s="56"/>
      <c r="E18" s="56"/>
      <c r="F18" s="111">
        <f>BS!F36/'P&amp;L'!F4*365</f>
        <v>9.6600356940756544</v>
      </c>
      <c r="G18" s="111">
        <f>BS!G36/'P&amp;L'!G4*365</f>
        <v>11.218410867420506</v>
      </c>
      <c r="H18" s="111">
        <f>BS!H36/'P&amp;L'!H4*365</f>
        <v>16.728004999652804</v>
      </c>
      <c r="I18" s="111">
        <f>BS!I36/'P&amp;L'!I4*365</f>
        <v>15.605759179957515</v>
      </c>
      <c r="J18" s="111">
        <f>BS!J36/'P&amp;L'!J4*365</f>
        <v>11.818953895928821</v>
      </c>
      <c r="K18" s="111">
        <f>BS!K36/'P&amp;L'!K4*365</f>
        <v>10.017092874467638</v>
      </c>
      <c r="L18" s="23">
        <f>BS!L36/'P&amp;L'!L4*365</f>
        <v>13.612699504180087</v>
      </c>
      <c r="M18" s="111">
        <f t="shared" si="14"/>
        <v>12.665851002240432</v>
      </c>
      <c r="N18" s="111">
        <f t="shared" si="15"/>
        <v>13.095253189121113</v>
      </c>
      <c r="O18" s="111">
        <f t="shared" si="16"/>
        <v>13.36337352079263</v>
      </c>
      <c r="P18" s="111">
        <f t="shared" si="17"/>
        <v>12.882711880955464</v>
      </c>
      <c r="Q18" s="111">
        <f t="shared" si="18"/>
        <v>12.49370512395517</v>
      </c>
      <c r="R18" s="111">
        <f t="shared" si="19"/>
        <v>12.590098156530361</v>
      </c>
      <c r="S18" s="23">
        <f t="shared" si="20"/>
        <v>12.95767033968218</v>
      </c>
    </row>
    <row r="19" spans="2:19" x14ac:dyDescent="0.3">
      <c r="B19" s="55" t="s">
        <v>89</v>
      </c>
      <c r="C19" s="56"/>
      <c r="D19" s="56"/>
      <c r="E19" s="56"/>
      <c r="F19" s="128">
        <f>BS!F29/'P&amp;L'!F4</f>
        <v>2.2635267487920601E-3</v>
      </c>
      <c r="G19" s="128">
        <f>BS!G29/'P&amp;L'!G4</f>
        <v>2.0110799119678227E-3</v>
      </c>
      <c r="H19" s="128">
        <f>BS!H29/'P&amp;L'!H4</f>
        <v>1.8748698007082841E-3</v>
      </c>
      <c r="I19" s="128">
        <f>BS!I29/'P&amp;L'!I4</f>
        <v>1.854536871564892E-3</v>
      </c>
      <c r="J19" s="128">
        <f>BS!J29/'P&amp;L'!J4</f>
        <v>2.8579131841466703E-3</v>
      </c>
      <c r="K19" s="128">
        <f>BS!K29/'P&amp;L'!K4</f>
        <v>5.4620805561391116E-3</v>
      </c>
      <c r="L19" s="27">
        <f>BS!L29/'P&amp;L'!L4</f>
        <v>5.2115377655531829E-3</v>
      </c>
      <c r="M19" s="120">
        <f>MEDIAN(F19:L19)</f>
        <v>2.2635267487920601E-3</v>
      </c>
      <c r="N19" s="120">
        <f t="shared" ref="N19:S19" si="21">MEDIAN(G19:M19)</f>
        <v>2.2635267487920601E-3</v>
      </c>
      <c r="O19" s="120">
        <f t="shared" si="21"/>
        <v>2.2635267487920601E-3</v>
      </c>
      <c r="P19" s="120">
        <f t="shared" si="21"/>
        <v>2.2635267487920601E-3</v>
      </c>
      <c r="Q19" s="120">
        <f t="shared" si="21"/>
        <v>2.2635267487920601E-3</v>
      </c>
      <c r="R19" s="120">
        <f t="shared" si="21"/>
        <v>2.2635267487920601E-3</v>
      </c>
      <c r="S19" s="121">
        <f t="shared" si="21"/>
        <v>2.2635267487920601E-3</v>
      </c>
    </row>
    <row r="20" spans="2:19" x14ac:dyDescent="0.3">
      <c r="B20" s="55" t="s">
        <v>453</v>
      </c>
      <c r="C20" s="56"/>
      <c r="D20" s="56"/>
      <c r="E20" s="56"/>
      <c r="F20" s="111">
        <f>BS!F18/'P&amp;L'!F5*365</f>
        <v>48.922749664128972</v>
      </c>
      <c r="G20" s="111">
        <f>BS!G18/'P&amp;L'!G5*365</f>
        <v>73.780717964848819</v>
      </c>
      <c r="H20" s="111">
        <f>BS!H18/'P&amp;L'!H5*365</f>
        <v>87.155723206872892</v>
      </c>
      <c r="I20" s="111">
        <f>BS!I18/'P&amp;L'!I5*365</f>
        <v>73.360557417533954</v>
      </c>
      <c r="J20" s="111">
        <f>BS!J18/'P&amp;L'!J5*365</f>
        <v>52.989961692251768</v>
      </c>
      <c r="K20" s="111">
        <f>BS!K18/'P&amp;L'!K5*365</f>
        <v>62.136861854448505</v>
      </c>
      <c r="L20" s="23">
        <f>BS!L18/'P&amp;L'!L5*365</f>
        <v>51.825019572754726</v>
      </c>
      <c r="M20" s="111">
        <f t="shared" si="14"/>
        <v>64.3102273389771</v>
      </c>
      <c r="N20" s="111">
        <f t="shared" ref="N20" si="22">AVERAGE(G20:M20)</f>
        <v>66.508438435383965</v>
      </c>
      <c r="O20" s="111">
        <f t="shared" ref="O20" si="23">AVERAGE(H20:N20)</f>
        <v>65.469541359746131</v>
      </c>
      <c r="P20" s="111">
        <f t="shared" ref="P20" si="24">AVERAGE(I20:O20)</f>
        <v>62.371515381585155</v>
      </c>
      <c r="Q20" s="111">
        <f t="shared" ref="Q20" si="25">AVERAGE(J20:P20)</f>
        <v>60.801652233592485</v>
      </c>
      <c r="R20" s="111">
        <f t="shared" ref="R20" si="26">AVERAGE(K20:Q20)</f>
        <v>61.917608025212587</v>
      </c>
      <c r="S20" s="23">
        <f t="shared" ref="S20" si="27">AVERAGE(L20:R20)</f>
        <v>61.886286049607456</v>
      </c>
    </row>
    <row r="21" spans="2:19" x14ac:dyDescent="0.3">
      <c r="B21" s="55" t="s">
        <v>90</v>
      </c>
      <c r="C21" s="56"/>
      <c r="D21" s="56"/>
      <c r="E21" s="56"/>
      <c r="F21" s="129">
        <f>BS!F19/'P&amp;L'!F4*365</f>
        <v>0.6037522308797284</v>
      </c>
      <c r="G21" s="129">
        <f>BS!G19/'P&amp;L'!G4*365</f>
        <v>0.54014570843135767</v>
      </c>
      <c r="H21" s="129">
        <f>BS!H19/'P&amp;L'!H4*365</f>
        <v>0.45621831817234915</v>
      </c>
      <c r="I21" s="129">
        <f>BS!I19/'P&amp;L'!I4*365</f>
        <v>0.95997572242640861</v>
      </c>
      <c r="J21" s="129">
        <f>BS!J19/'P&amp;L'!J4*365</f>
        <v>0.5707737934753303</v>
      </c>
      <c r="K21" s="129">
        <f>BS!K19/'P&amp;L'!K4*365</f>
        <v>0.43219189855044787</v>
      </c>
      <c r="L21" s="29">
        <f>BS!L19/'P&amp;L'!L4*365</f>
        <v>0</v>
      </c>
      <c r="M21" s="129">
        <f t="shared" ref="M21:M22" si="28">AVERAGE(F21:L21)</f>
        <v>0.50900823884794599</v>
      </c>
      <c r="N21" s="129">
        <f t="shared" ref="N21:N22" si="29">AVERAGE(G21:M21)</f>
        <v>0.49547338284340564</v>
      </c>
      <c r="O21" s="129">
        <f t="shared" ref="O21:O22" si="30">AVERAGE(H21:N21)</f>
        <v>0.48909162204512674</v>
      </c>
      <c r="P21" s="129">
        <f t="shared" ref="P21:P22" si="31">AVERAGE(I21:O21)</f>
        <v>0.49378780831266639</v>
      </c>
      <c r="Q21" s="129">
        <f t="shared" ref="Q21:Q22" si="32">AVERAGE(J21:P21)</f>
        <v>0.42718953486784611</v>
      </c>
      <c r="R21" s="129">
        <f t="shared" ref="R21:R22" si="33">AVERAGE(K21:Q21)</f>
        <v>0.40667749792391988</v>
      </c>
      <c r="S21" s="29">
        <f t="shared" ref="S21:S22" si="34">AVERAGE(L21:R21)</f>
        <v>0.40303258354870153</v>
      </c>
    </row>
    <row r="22" spans="2:19" x14ac:dyDescent="0.3">
      <c r="B22" s="55" t="s">
        <v>91</v>
      </c>
      <c r="C22" s="56"/>
      <c r="D22" s="56"/>
      <c r="E22" s="56"/>
      <c r="F22" s="129">
        <f>BS!F20/'P&amp;L'!F5*365</f>
        <v>7.0940438871473352</v>
      </c>
      <c r="G22" s="129">
        <f>BS!G20/'P&amp;L'!G5*365</f>
        <v>8.1803169110997533</v>
      </c>
      <c r="H22" s="129">
        <f>BS!H20/'P&amp;L'!H5*365</f>
        <v>11.739342309497166</v>
      </c>
      <c r="I22" s="129">
        <f>BS!I20/'P&amp;L'!I5*365</f>
        <v>14.666960663256306</v>
      </c>
      <c r="J22" s="129">
        <f>BS!J20/'P&amp;L'!J5*365</f>
        <v>17.431982775494227</v>
      </c>
      <c r="K22" s="129">
        <f>BS!K20/'P&amp;L'!K5*365</f>
        <v>11.281228399328526</v>
      </c>
      <c r="L22" s="29">
        <f>BS!L20/'P&amp;L'!L5*365</f>
        <v>11.940778436416508</v>
      </c>
      <c r="M22" s="111">
        <f t="shared" si="28"/>
        <v>11.762093340319975</v>
      </c>
      <c r="N22" s="111">
        <f t="shared" si="29"/>
        <v>12.428957547916067</v>
      </c>
      <c r="O22" s="111">
        <f t="shared" si="30"/>
        <v>13.035906210318398</v>
      </c>
      <c r="P22" s="111">
        <f t="shared" si="31"/>
        <v>13.22112962472143</v>
      </c>
      <c r="Q22" s="111">
        <f t="shared" si="32"/>
        <v>13.014582333502162</v>
      </c>
      <c r="R22" s="111">
        <f t="shared" si="33"/>
        <v>12.383525127503296</v>
      </c>
      <c r="S22" s="23">
        <f t="shared" si="34"/>
        <v>12.540996088671118</v>
      </c>
    </row>
    <row r="23" spans="2:19" x14ac:dyDescent="0.3">
      <c r="B23" s="55"/>
      <c r="C23" s="56"/>
      <c r="D23" s="56"/>
      <c r="E23" s="56"/>
      <c r="F23" s="56"/>
      <c r="G23" s="56"/>
      <c r="H23" s="56"/>
      <c r="I23" s="56"/>
      <c r="J23" s="56"/>
      <c r="K23" s="56"/>
      <c r="L23" s="62"/>
      <c r="M23" s="56"/>
      <c r="N23" s="56"/>
      <c r="O23" s="56"/>
      <c r="P23" s="56"/>
      <c r="Q23" s="56"/>
      <c r="R23" s="56"/>
      <c r="S23" s="62"/>
    </row>
    <row r="24" spans="2:19" x14ac:dyDescent="0.3">
      <c r="B24" s="55"/>
      <c r="C24" s="56"/>
      <c r="D24" s="56"/>
      <c r="E24" s="56"/>
      <c r="F24" s="56"/>
      <c r="G24" s="56"/>
      <c r="H24" s="56"/>
      <c r="I24" s="56"/>
      <c r="J24" s="56"/>
      <c r="K24" s="56"/>
      <c r="L24" s="62"/>
      <c r="M24" s="56"/>
      <c r="N24" s="56"/>
      <c r="O24" s="56"/>
      <c r="P24" s="56"/>
      <c r="Q24" s="56"/>
      <c r="R24" s="56"/>
      <c r="S24" s="62"/>
    </row>
    <row r="25" spans="2:19" x14ac:dyDescent="0.3">
      <c r="B25" s="91" t="s">
        <v>123</v>
      </c>
      <c r="C25" s="130"/>
      <c r="D25" s="130"/>
      <c r="E25" s="130"/>
      <c r="F25" s="130"/>
      <c r="G25" s="130"/>
      <c r="H25" s="130"/>
      <c r="I25" s="130"/>
      <c r="J25" s="130"/>
      <c r="K25" s="130"/>
      <c r="L25" s="30"/>
      <c r="M25" s="130"/>
      <c r="N25" s="130"/>
      <c r="O25" s="130"/>
      <c r="P25" s="130"/>
      <c r="Q25" s="130"/>
      <c r="R25" s="130"/>
      <c r="S25" s="30"/>
    </row>
    <row r="26" spans="2:19" x14ac:dyDescent="0.3">
      <c r="B26" s="55" t="s">
        <v>124</v>
      </c>
      <c r="C26" s="56"/>
      <c r="D26" s="56"/>
      <c r="E26" s="56"/>
      <c r="F26" s="56">
        <v>1</v>
      </c>
      <c r="G26" s="56">
        <f>F26+1</f>
        <v>2</v>
      </c>
      <c r="H26" s="56">
        <f t="shared" ref="H26:S26" si="35">G26+1</f>
        <v>3</v>
      </c>
      <c r="I26" s="56">
        <f t="shared" si="35"/>
        <v>4</v>
      </c>
      <c r="J26" s="56">
        <f t="shared" si="35"/>
        <v>5</v>
      </c>
      <c r="K26" s="56">
        <f t="shared" si="35"/>
        <v>6</v>
      </c>
      <c r="L26" s="62">
        <f t="shared" si="35"/>
        <v>7</v>
      </c>
      <c r="M26" s="56">
        <f t="shared" si="35"/>
        <v>8</v>
      </c>
      <c r="N26" s="56">
        <f t="shared" si="35"/>
        <v>9</v>
      </c>
      <c r="O26" s="56">
        <f t="shared" si="35"/>
        <v>10</v>
      </c>
      <c r="P26" s="56">
        <f t="shared" si="35"/>
        <v>11</v>
      </c>
      <c r="Q26" s="56">
        <f t="shared" si="35"/>
        <v>12</v>
      </c>
      <c r="R26" s="56">
        <f t="shared" si="35"/>
        <v>13</v>
      </c>
      <c r="S26" s="62">
        <f t="shared" si="35"/>
        <v>14</v>
      </c>
    </row>
    <row r="27" spans="2:19" x14ac:dyDescent="0.3">
      <c r="B27" s="55" t="s">
        <v>49</v>
      </c>
      <c r="C27" s="56"/>
      <c r="D27" s="56"/>
      <c r="E27" s="56"/>
      <c r="F27" s="107">
        <f>'P&amp;L'!F4</f>
        <v>22973</v>
      </c>
      <c r="G27" s="107">
        <f>'P&amp;L'!G4</f>
        <v>26354</v>
      </c>
      <c r="H27" s="107">
        <f>'P&amp;L'!H4</f>
        <v>28802</v>
      </c>
      <c r="I27" s="107">
        <f>'P&amp;L'!I4</f>
        <v>29657</v>
      </c>
      <c r="J27" s="107">
        <f>'P&amp;L'!J4</f>
        <v>37090</v>
      </c>
      <c r="K27" s="107">
        <f>'P&amp;L'!K4</f>
        <v>52361</v>
      </c>
      <c r="L27" s="21">
        <f>'P&amp;L'!L4</f>
        <v>55262</v>
      </c>
      <c r="M27" s="107">
        <f>_xlfn.FORECAST.LINEAR(M26,F27:L27,F26:L26)</f>
        <v>58524</v>
      </c>
      <c r="N27" s="107">
        <f t="shared" ref="N27:S27" si="36">_xlfn.FORECAST.LINEAR(N26,G27:M27,G26:M26)</f>
        <v>65740.57142857142</v>
      </c>
      <c r="O27" s="107">
        <f t="shared" si="36"/>
        <v>73451.183673469379</v>
      </c>
      <c r="P27" s="107">
        <f t="shared" si="36"/>
        <v>80990.349854227403</v>
      </c>
      <c r="Q27" s="107">
        <f t="shared" si="36"/>
        <v>86825.584756351513</v>
      </c>
      <c r="R27" s="107">
        <f t="shared" si="36"/>
        <v>91847.475337656942</v>
      </c>
      <c r="S27" s="21">
        <f t="shared" si="36"/>
        <v>99178.648428800923</v>
      </c>
    </row>
    <row r="28" spans="2:19" x14ac:dyDescent="0.3">
      <c r="B28" s="95" t="s">
        <v>125</v>
      </c>
      <c r="C28" s="53"/>
      <c r="D28" s="53"/>
      <c r="E28" s="53"/>
      <c r="F28" s="53"/>
      <c r="G28" s="131">
        <f>G27/F27-1</f>
        <v>0.1471727680320376</v>
      </c>
      <c r="H28" s="131">
        <f t="shared" ref="H28:S28" si="37">H27/G27-1</f>
        <v>9.2889124990513716E-2</v>
      </c>
      <c r="I28" s="131">
        <f t="shared" si="37"/>
        <v>2.9685438511214413E-2</v>
      </c>
      <c r="J28" s="131">
        <f t="shared" si="37"/>
        <v>0.25063222847894262</v>
      </c>
      <c r="K28" s="131">
        <f t="shared" si="37"/>
        <v>0.4117282286330548</v>
      </c>
      <c r="L28" s="132">
        <f t="shared" si="37"/>
        <v>5.5403831095662825E-2</v>
      </c>
      <c r="M28" s="131">
        <f t="shared" si="37"/>
        <v>5.9027903441786433E-2</v>
      </c>
      <c r="N28" s="131">
        <f t="shared" si="37"/>
        <v>0.12330960680355796</v>
      </c>
      <c r="O28" s="131">
        <f t="shared" si="37"/>
        <v>0.11728848833137562</v>
      </c>
      <c r="P28" s="131">
        <f t="shared" si="37"/>
        <v>0.10264186094364036</v>
      </c>
      <c r="Q28" s="131">
        <f t="shared" si="37"/>
        <v>7.2048520751260003E-2</v>
      </c>
      <c r="R28" s="131">
        <f t="shared" si="37"/>
        <v>5.7838833972702508E-2</v>
      </c>
      <c r="S28" s="132">
        <f t="shared" si="37"/>
        <v>7.9818994089848827E-2</v>
      </c>
    </row>
  </sheetData>
  <sheetProtection password="C58F" sheet="1" objects="1" scenarios="1"/>
  <customSheetViews>
    <customSheetView guid="{0D1F9D0C-3063-4A9B-A68D-79FADEF997F9}" showGridLines="0">
      <pane ySplit="2" topLeftCell="A3" activePane="bottomLeft" state="frozen"/>
      <selection pane="bottomLeft" activeCell="M19" sqref="M19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22"/>
  <sheetViews>
    <sheetView showGridLines="0" topLeftCell="B1" workbookViewId="0">
      <pane ySplit="2" topLeftCell="A3" activePane="bottomLeft" state="frozen"/>
      <selection pane="bottomLeft" activeCell="P26" sqref="P26"/>
    </sheetView>
  </sheetViews>
  <sheetFormatPr defaultRowHeight="14.4" x14ac:dyDescent="0.3"/>
  <cols>
    <col min="1" max="1" width="1.88671875" customWidth="1"/>
  </cols>
  <sheetData>
    <row r="2" spans="2:23" x14ac:dyDescent="0.3">
      <c r="B2" s="123" t="s">
        <v>455</v>
      </c>
      <c r="C2" s="133"/>
      <c r="D2" s="133"/>
      <c r="E2" s="133"/>
      <c r="F2" s="125">
        <f>Assumptions!F2</f>
        <v>42795</v>
      </c>
      <c r="G2" s="125">
        <f>Assumptions!G2</f>
        <v>43160</v>
      </c>
      <c r="H2" s="125">
        <f>Assumptions!H2</f>
        <v>43525</v>
      </c>
      <c r="I2" s="125">
        <f>Assumptions!I2</f>
        <v>43891</v>
      </c>
      <c r="J2" s="125">
        <f>Assumptions!J2</f>
        <v>44256</v>
      </c>
      <c r="K2" s="125">
        <f>Assumptions!K2</f>
        <v>44621</v>
      </c>
      <c r="L2" s="126">
        <f>Assumptions!L2</f>
        <v>44986</v>
      </c>
      <c r="M2" s="125">
        <f>Assumptions!M2</f>
        <v>45352</v>
      </c>
      <c r="N2" s="125">
        <f>Assumptions!N2</f>
        <v>45718</v>
      </c>
      <c r="O2" s="125">
        <f>Assumptions!O2</f>
        <v>46084</v>
      </c>
      <c r="P2" s="125">
        <f>Assumptions!P2</f>
        <v>46450</v>
      </c>
      <c r="Q2" s="125">
        <f>Assumptions!Q2</f>
        <v>46816</v>
      </c>
      <c r="R2" s="125">
        <f>Assumptions!R2</f>
        <v>47182</v>
      </c>
      <c r="S2" s="126">
        <f>Assumptions!S2</f>
        <v>47548</v>
      </c>
    </row>
    <row r="3" spans="2:23" x14ac:dyDescent="0.3">
      <c r="B3" s="134" t="s">
        <v>451</v>
      </c>
      <c r="C3" s="56"/>
      <c r="D3" s="56"/>
      <c r="E3" s="56"/>
      <c r="F3" s="56"/>
      <c r="G3" s="56"/>
      <c r="H3" s="56"/>
      <c r="I3" s="56"/>
      <c r="J3" s="56"/>
      <c r="K3" s="56"/>
      <c r="L3" s="62"/>
      <c r="M3" s="56"/>
      <c r="N3" s="56"/>
      <c r="O3" s="56"/>
      <c r="P3" s="56"/>
      <c r="Q3" s="56"/>
      <c r="R3" s="56"/>
      <c r="S3" s="62"/>
    </row>
    <row r="4" spans="2:23" x14ac:dyDescent="0.3">
      <c r="B4" s="55" t="s">
        <v>92</v>
      </c>
      <c r="C4" s="56"/>
      <c r="D4" s="56"/>
      <c r="E4" s="56"/>
      <c r="F4" s="71"/>
      <c r="G4" s="71">
        <f>F8</f>
        <v>2020</v>
      </c>
      <c r="H4" s="71">
        <f t="shared" ref="H4:S4" si="0">G8</f>
        <v>2716</v>
      </c>
      <c r="I4" s="71">
        <f t="shared" si="0"/>
        <v>3524</v>
      </c>
      <c r="J4" s="71">
        <f t="shared" si="0"/>
        <v>4084</v>
      </c>
      <c r="K4" s="71">
        <f t="shared" si="0"/>
        <v>4233</v>
      </c>
      <c r="L4" s="64">
        <f t="shared" si="0"/>
        <v>4509</v>
      </c>
      <c r="M4" s="71">
        <f t="shared" si="0"/>
        <v>4700</v>
      </c>
      <c r="N4" s="71">
        <f t="shared" si="0"/>
        <v>5420.9801721708691</v>
      </c>
      <c r="O4" s="71">
        <f t="shared" si="0"/>
        <v>6225.24408950201</v>
      </c>
      <c r="P4" s="71">
        <f t="shared" si="0"/>
        <v>7111.1284348127501</v>
      </c>
      <c r="Q4" s="71">
        <f t="shared" si="0"/>
        <v>8071.8461946047155</v>
      </c>
      <c r="R4" s="71">
        <f t="shared" si="0"/>
        <v>9067.273487305185</v>
      </c>
      <c r="S4" s="64">
        <f t="shared" si="0"/>
        <v>10081.983878068673</v>
      </c>
    </row>
    <row r="5" spans="2:23" x14ac:dyDescent="0.3">
      <c r="B5" s="55" t="s">
        <v>93</v>
      </c>
      <c r="C5" s="56"/>
      <c r="D5" s="56"/>
      <c r="E5" s="56"/>
      <c r="F5" s="71"/>
      <c r="G5" s="71">
        <v>842</v>
      </c>
      <c r="H5" s="71">
        <v>990</v>
      </c>
      <c r="I5" s="71">
        <v>802</v>
      </c>
      <c r="J5" s="71">
        <v>417</v>
      </c>
      <c r="K5" s="71">
        <v>561</v>
      </c>
      <c r="L5" s="64">
        <v>510</v>
      </c>
      <c r="M5" s="71">
        <f>M10*'P&amp;L'!M4</f>
        <v>1120.3086065338407</v>
      </c>
      <c r="N5" s="71">
        <f>N10*'P&amp;L'!N4</f>
        <v>1258.4534203041703</v>
      </c>
      <c r="O5" s="71">
        <f>O10*'P&amp;L'!O4</f>
        <v>1406.0555196070957</v>
      </c>
      <c r="P5" s="71">
        <f>P10*'P&amp;L'!P4</f>
        <v>1550.3756747296452</v>
      </c>
      <c r="Q5" s="71">
        <f>Q10*'P&amp;L'!Q4</f>
        <v>1662.0779487026527</v>
      </c>
      <c r="R5" s="71">
        <f>R10*'P&amp;L'!R4</f>
        <v>1758.2105992273555</v>
      </c>
      <c r="S5" s="64">
        <f>S10*'P&amp;L'!S4</f>
        <v>1898.5492006557934</v>
      </c>
      <c r="T5" s="31" t="s">
        <v>456</v>
      </c>
    </row>
    <row r="6" spans="2:23" x14ac:dyDescent="0.3">
      <c r="B6" s="55" t="s">
        <v>94</v>
      </c>
      <c r="C6" s="56"/>
      <c r="D6" s="56"/>
      <c r="E6" s="56"/>
      <c r="F6" s="71"/>
      <c r="G6" s="71">
        <v>0</v>
      </c>
      <c r="H6" s="71">
        <v>0</v>
      </c>
      <c r="I6" s="71">
        <v>0</v>
      </c>
      <c r="J6" s="71">
        <v>0</v>
      </c>
      <c r="K6" s="71">
        <v>0</v>
      </c>
      <c r="L6" s="64">
        <v>0</v>
      </c>
      <c r="M6" s="71">
        <v>0</v>
      </c>
      <c r="N6" s="71">
        <v>0</v>
      </c>
      <c r="O6" s="71">
        <v>0</v>
      </c>
      <c r="P6" s="71">
        <v>0</v>
      </c>
      <c r="Q6" s="71">
        <v>0</v>
      </c>
      <c r="R6" s="71">
        <v>0</v>
      </c>
      <c r="S6" s="64">
        <v>0</v>
      </c>
    </row>
    <row r="7" spans="2:23" x14ac:dyDescent="0.3">
      <c r="B7" s="55" t="s">
        <v>95</v>
      </c>
      <c r="C7" s="56"/>
      <c r="D7" s="56"/>
      <c r="E7" s="56"/>
      <c r="F7" s="71">
        <f>'P&amp;L'!F10</f>
        <v>119</v>
      </c>
      <c r="G7" s="71">
        <f>'P&amp;L'!G10</f>
        <v>146</v>
      </c>
      <c r="H7" s="71">
        <f>'P&amp;L'!H10</f>
        <v>182</v>
      </c>
      <c r="I7" s="71">
        <f>'P&amp;L'!I10</f>
        <v>242</v>
      </c>
      <c r="J7" s="71">
        <f>'P&amp;L'!J10</f>
        <v>268</v>
      </c>
      <c r="K7" s="71">
        <f>'P&amp;L'!K10</f>
        <v>285</v>
      </c>
      <c r="L7" s="64">
        <f>'P&amp;L'!L10</f>
        <v>319</v>
      </c>
      <c r="M7" s="71">
        <f>(M4+M5-M6)*Assumptions!M9</f>
        <v>399.32843436297219</v>
      </c>
      <c r="N7" s="71">
        <f>(N4+N5-N6)*Assumptions!N9</f>
        <v>454.1895029730299</v>
      </c>
      <c r="O7" s="71">
        <f>(O4+O5-O6)*Assumptions!O9</f>
        <v>520.17117429635493</v>
      </c>
      <c r="P7" s="71">
        <f>(P4+P5-P6)*Assumptions!P9</f>
        <v>589.65791493767949</v>
      </c>
      <c r="Q7" s="71">
        <f>(Q4+Q5-Q6)*Assumptions!Q9</f>
        <v>666.65065600218179</v>
      </c>
      <c r="R7" s="71">
        <f>(R4+R5-R6)*Assumptions!R9</f>
        <v>743.50020846386644</v>
      </c>
      <c r="S7" s="64">
        <f>(S4+S5-S6)*Assumptions!S9</f>
        <v>818.7026283217366</v>
      </c>
    </row>
    <row r="8" spans="2:23" x14ac:dyDescent="0.3">
      <c r="B8" s="108" t="s">
        <v>96</v>
      </c>
      <c r="C8" s="52"/>
      <c r="D8" s="52"/>
      <c r="E8" s="52"/>
      <c r="F8" s="68">
        <f>BS!F28</f>
        <v>2020</v>
      </c>
      <c r="G8" s="68">
        <f>BS!G28</f>
        <v>2716</v>
      </c>
      <c r="H8" s="68">
        <f>BS!H28</f>
        <v>3524</v>
      </c>
      <c r="I8" s="68">
        <f>BS!I28</f>
        <v>4084</v>
      </c>
      <c r="J8" s="68">
        <f>BS!J28</f>
        <v>4233</v>
      </c>
      <c r="K8" s="68">
        <f>BS!K28</f>
        <v>4509</v>
      </c>
      <c r="L8" s="69">
        <f>BS!L28</f>
        <v>4700</v>
      </c>
      <c r="M8" s="68">
        <f>M4+M5-M6-M7</f>
        <v>5420.9801721708691</v>
      </c>
      <c r="N8" s="68">
        <f t="shared" ref="N8:S8" si="1">N4+N5-N6-N7</f>
        <v>6225.24408950201</v>
      </c>
      <c r="O8" s="68">
        <f t="shared" si="1"/>
        <v>7111.1284348127501</v>
      </c>
      <c r="P8" s="68">
        <f t="shared" si="1"/>
        <v>8071.8461946047155</v>
      </c>
      <c r="Q8" s="68">
        <f t="shared" si="1"/>
        <v>9067.273487305185</v>
      </c>
      <c r="R8" s="68">
        <f t="shared" si="1"/>
        <v>10081.983878068673</v>
      </c>
      <c r="S8" s="69">
        <f t="shared" si="1"/>
        <v>11161.830450402731</v>
      </c>
    </row>
    <row r="9" spans="2:23" x14ac:dyDescent="0.3">
      <c r="B9" s="55"/>
      <c r="C9" s="56"/>
      <c r="D9" s="56"/>
      <c r="E9" s="56"/>
      <c r="F9" s="56"/>
      <c r="G9" s="56"/>
      <c r="H9" s="56"/>
      <c r="I9" s="56"/>
      <c r="J9" s="56"/>
      <c r="K9" s="56"/>
      <c r="L9" s="62"/>
      <c r="M9" s="56"/>
      <c r="N9" s="56"/>
      <c r="O9" s="56"/>
      <c r="P9" s="56"/>
      <c r="Q9" s="56"/>
      <c r="R9" s="56"/>
      <c r="S9" s="62"/>
    </row>
    <row r="10" spans="2:23" x14ac:dyDescent="0.3">
      <c r="B10" s="73" t="s">
        <v>97</v>
      </c>
      <c r="C10" s="74"/>
      <c r="D10" s="74"/>
      <c r="E10" s="74"/>
      <c r="F10" s="74"/>
      <c r="G10" s="75">
        <f>G5/'P&amp;L'!G4</f>
        <v>3.1949609167488804E-2</v>
      </c>
      <c r="H10" s="75">
        <f>H5/'P&amp;L'!H4</f>
        <v>3.4372613012985206E-2</v>
      </c>
      <c r="I10" s="75">
        <f>I5/'P&amp;L'!I4</f>
        <v>2.7042519472637153E-2</v>
      </c>
      <c r="J10" s="75">
        <f>J5/'P&amp;L'!J4</f>
        <v>1.1242922620652468E-2</v>
      </c>
      <c r="K10" s="75">
        <f>K5/'P&amp;L'!K4</f>
        <v>1.0714081090888257E-2</v>
      </c>
      <c r="L10" s="76">
        <f>L5/'P&amp;L'!L4</f>
        <v>9.2287647931670949E-3</v>
      </c>
      <c r="M10" s="165">
        <f>MEDIAN(G10:L10)</f>
        <v>1.9142721046644808E-2</v>
      </c>
      <c r="N10" s="165">
        <f>M10</f>
        <v>1.9142721046644808E-2</v>
      </c>
      <c r="O10" s="165">
        <f t="shared" ref="O10:S10" si="2">N10</f>
        <v>1.9142721046644808E-2</v>
      </c>
      <c r="P10" s="165">
        <f t="shared" si="2"/>
        <v>1.9142721046644808E-2</v>
      </c>
      <c r="Q10" s="165">
        <f t="shared" si="2"/>
        <v>1.9142721046644808E-2</v>
      </c>
      <c r="R10" s="165">
        <f t="shared" si="2"/>
        <v>1.9142721046644808E-2</v>
      </c>
      <c r="S10" s="166">
        <f t="shared" si="2"/>
        <v>1.9142721046644808E-2</v>
      </c>
      <c r="T10" s="31" t="s">
        <v>127</v>
      </c>
    </row>
    <row r="11" spans="2:23" x14ac:dyDescent="0.3">
      <c r="B11" s="55"/>
      <c r="C11" s="56"/>
      <c r="D11" s="56"/>
      <c r="E11" s="56"/>
      <c r="F11" s="56"/>
      <c r="G11" s="56"/>
      <c r="H11" s="56"/>
      <c r="I11" s="56"/>
      <c r="J11" s="56"/>
      <c r="K11" s="56"/>
      <c r="L11" s="62"/>
      <c r="M11" s="56"/>
      <c r="N11" s="56"/>
      <c r="O11" s="56"/>
      <c r="P11" s="56"/>
      <c r="Q11" s="56"/>
      <c r="R11" s="56"/>
      <c r="S11" s="62"/>
    </row>
    <row r="12" spans="2:23" x14ac:dyDescent="0.3">
      <c r="B12" s="55"/>
      <c r="C12" s="56"/>
      <c r="D12" s="56"/>
      <c r="E12" s="56"/>
      <c r="F12" s="56"/>
      <c r="G12" s="56"/>
      <c r="H12" s="56"/>
      <c r="I12" s="56"/>
      <c r="J12" s="56"/>
      <c r="K12" s="56"/>
      <c r="L12" s="62"/>
      <c r="M12" s="56"/>
      <c r="N12" s="56"/>
      <c r="O12" s="56"/>
      <c r="P12" s="56"/>
      <c r="Q12" s="56"/>
      <c r="R12" s="56"/>
      <c r="S12" s="62"/>
    </row>
    <row r="13" spans="2:23" x14ac:dyDescent="0.3">
      <c r="B13" s="91" t="s">
        <v>98</v>
      </c>
      <c r="C13" s="92"/>
      <c r="D13" s="92"/>
      <c r="E13" s="92"/>
      <c r="F13" s="135">
        <f>F2</f>
        <v>42795</v>
      </c>
      <c r="G13" s="135">
        <f t="shared" ref="G13:S13" si="3">G2</f>
        <v>43160</v>
      </c>
      <c r="H13" s="135">
        <f t="shared" si="3"/>
        <v>43525</v>
      </c>
      <c r="I13" s="135">
        <f t="shared" si="3"/>
        <v>43891</v>
      </c>
      <c r="J13" s="135">
        <f t="shared" si="3"/>
        <v>44256</v>
      </c>
      <c r="K13" s="135">
        <f t="shared" si="3"/>
        <v>44621</v>
      </c>
      <c r="L13" s="24">
        <f t="shared" si="3"/>
        <v>44986</v>
      </c>
      <c r="M13" s="135">
        <f t="shared" si="3"/>
        <v>45352</v>
      </c>
      <c r="N13" s="135">
        <f t="shared" si="3"/>
        <v>45718</v>
      </c>
      <c r="O13" s="135">
        <f t="shared" si="3"/>
        <v>46084</v>
      </c>
      <c r="P13" s="135">
        <f t="shared" si="3"/>
        <v>46450</v>
      </c>
      <c r="Q13" s="135">
        <f t="shared" si="3"/>
        <v>46816</v>
      </c>
      <c r="R13" s="135">
        <f t="shared" si="3"/>
        <v>47182</v>
      </c>
      <c r="S13" s="24">
        <f t="shared" si="3"/>
        <v>47548</v>
      </c>
    </row>
    <row r="14" spans="2:23" x14ac:dyDescent="0.3">
      <c r="B14" s="136" t="s">
        <v>100</v>
      </c>
      <c r="C14" s="56"/>
      <c r="D14" s="56"/>
      <c r="E14" s="56"/>
      <c r="F14" s="56"/>
      <c r="G14" s="56"/>
      <c r="H14" s="56"/>
      <c r="I14" s="56"/>
      <c r="J14" s="56"/>
      <c r="K14" s="56"/>
      <c r="L14" s="62"/>
      <c r="M14" s="56"/>
      <c r="N14" s="56"/>
      <c r="O14" s="56"/>
      <c r="P14" s="56"/>
      <c r="Q14" s="56"/>
      <c r="R14" s="56"/>
      <c r="S14" s="62"/>
    </row>
    <row r="15" spans="2:23" x14ac:dyDescent="0.3">
      <c r="B15" s="55" t="s">
        <v>99</v>
      </c>
      <c r="C15" s="56"/>
      <c r="D15" s="56"/>
      <c r="E15" s="56"/>
      <c r="F15" s="71"/>
      <c r="G15" s="71">
        <f>F18</f>
        <v>2622</v>
      </c>
      <c r="H15" s="71">
        <f t="shared" ref="H15:L15" si="4">G18</f>
        <v>2244</v>
      </c>
      <c r="I15" s="71">
        <f t="shared" si="4"/>
        <v>1830</v>
      </c>
      <c r="J15" s="71">
        <f t="shared" si="4"/>
        <v>2300</v>
      </c>
      <c r="K15" s="71">
        <f t="shared" si="4"/>
        <v>3051</v>
      </c>
      <c r="L15" s="64">
        <f t="shared" si="4"/>
        <v>2626</v>
      </c>
      <c r="M15" s="71">
        <f>L18</f>
        <v>2259</v>
      </c>
      <c r="N15" s="71">
        <f t="shared" ref="N15:S15" si="5">M18</f>
        <v>2255.3234426135364</v>
      </c>
      <c r="O15" s="71">
        <f t="shared" si="5"/>
        <v>2307.6401222124973</v>
      </c>
      <c r="P15" s="71">
        <f t="shared" si="5"/>
        <v>2408.5343056128359</v>
      </c>
      <c r="Q15" s="71">
        <f t="shared" si="5"/>
        <v>2546.9777143821266</v>
      </c>
      <c r="R15" s="71">
        <f t="shared" si="5"/>
        <v>2702.4133509867625</v>
      </c>
      <c r="S15" s="64">
        <f t="shared" si="5"/>
        <v>2865.2149204803522</v>
      </c>
      <c r="T15" s="31" t="s">
        <v>457</v>
      </c>
      <c r="W15" s="167">
        <v>0.5</v>
      </c>
    </row>
    <row r="16" spans="2:23" x14ac:dyDescent="0.3">
      <c r="B16" s="55" t="s">
        <v>101</v>
      </c>
      <c r="C16" s="56"/>
      <c r="D16" s="56"/>
      <c r="E16" s="56"/>
      <c r="F16" s="71"/>
      <c r="G16" s="71">
        <v>0</v>
      </c>
      <c r="H16" s="71">
        <v>0</v>
      </c>
      <c r="I16" s="71">
        <v>470</v>
      </c>
      <c r="J16" s="71">
        <v>751</v>
      </c>
      <c r="K16" s="71">
        <v>0</v>
      </c>
      <c r="L16" s="64">
        <v>0</v>
      </c>
      <c r="M16" s="71">
        <f>$W$15*M5</f>
        <v>560.15430326692035</v>
      </c>
      <c r="N16" s="71">
        <f t="shared" ref="N16:S16" si="6">$W$15*N5</f>
        <v>629.22671015208516</v>
      </c>
      <c r="O16" s="71">
        <f t="shared" si="6"/>
        <v>703.02775980354784</v>
      </c>
      <c r="P16" s="71">
        <f t="shared" si="6"/>
        <v>775.1878373648226</v>
      </c>
      <c r="Q16" s="71">
        <f t="shared" si="6"/>
        <v>831.03897435132637</v>
      </c>
      <c r="R16" s="71">
        <f t="shared" si="6"/>
        <v>879.10529961367774</v>
      </c>
      <c r="S16" s="64">
        <f t="shared" si="6"/>
        <v>949.27460032789668</v>
      </c>
      <c r="T16" s="31" t="s">
        <v>126</v>
      </c>
    </row>
    <row r="17" spans="2:20" x14ac:dyDescent="0.3">
      <c r="B17" s="55" t="s">
        <v>102</v>
      </c>
      <c r="C17" s="56"/>
      <c r="D17" s="56"/>
      <c r="E17" s="56"/>
      <c r="F17" s="71"/>
      <c r="G17" s="71">
        <v>378</v>
      </c>
      <c r="H17" s="71">
        <v>414</v>
      </c>
      <c r="I17" s="71">
        <v>0</v>
      </c>
      <c r="J17" s="71">
        <v>0</v>
      </c>
      <c r="K17" s="71">
        <v>425</v>
      </c>
      <c r="L17" s="64">
        <v>367</v>
      </c>
      <c r="M17" s="71">
        <f>0.2*(M15+M16)</f>
        <v>563.83086065338409</v>
      </c>
      <c r="N17" s="71">
        <f t="shared" ref="N17:S17" si="7">0.2*(N15+N16)</f>
        <v>576.91003055312433</v>
      </c>
      <c r="O17" s="71">
        <f t="shared" si="7"/>
        <v>602.13357640320908</v>
      </c>
      <c r="P17" s="71">
        <f t="shared" si="7"/>
        <v>636.74442859553164</v>
      </c>
      <c r="Q17" s="71">
        <f t="shared" si="7"/>
        <v>675.60333774669061</v>
      </c>
      <c r="R17" s="71">
        <f t="shared" si="7"/>
        <v>716.30373012008806</v>
      </c>
      <c r="S17" s="64">
        <f t="shared" si="7"/>
        <v>762.89790416164988</v>
      </c>
      <c r="T17" s="31" t="s">
        <v>128</v>
      </c>
    </row>
    <row r="18" spans="2:20" x14ac:dyDescent="0.3">
      <c r="B18" s="108" t="s">
        <v>103</v>
      </c>
      <c r="C18" s="52"/>
      <c r="D18" s="52"/>
      <c r="E18" s="52"/>
      <c r="F18" s="68">
        <f>BS!F15</f>
        <v>2622</v>
      </c>
      <c r="G18" s="68">
        <f>BS!G15</f>
        <v>2244</v>
      </c>
      <c r="H18" s="68">
        <f>BS!H15</f>
        <v>1830</v>
      </c>
      <c r="I18" s="68">
        <f>BS!I15</f>
        <v>2300</v>
      </c>
      <c r="J18" s="68">
        <f>BS!J15</f>
        <v>3051</v>
      </c>
      <c r="K18" s="68">
        <f>BS!K15</f>
        <v>2626</v>
      </c>
      <c r="L18" s="69">
        <f>BS!L15</f>
        <v>2259</v>
      </c>
      <c r="M18" s="68">
        <f>M15+M16-M17</f>
        <v>2255.3234426135364</v>
      </c>
      <c r="N18" s="68">
        <f t="shared" ref="N18:S18" si="8">N15+N16-N17</f>
        <v>2307.6401222124973</v>
      </c>
      <c r="O18" s="68">
        <f t="shared" si="8"/>
        <v>2408.5343056128359</v>
      </c>
      <c r="P18" s="68">
        <f t="shared" si="8"/>
        <v>2546.9777143821266</v>
      </c>
      <c r="Q18" s="68">
        <f t="shared" si="8"/>
        <v>2702.4133509867625</v>
      </c>
      <c r="R18" s="68">
        <f t="shared" si="8"/>
        <v>2865.2149204803522</v>
      </c>
      <c r="S18" s="69">
        <f t="shared" si="8"/>
        <v>3051.5916166465991</v>
      </c>
    </row>
    <row r="19" spans="2:20" x14ac:dyDescent="0.3">
      <c r="B19" s="55"/>
      <c r="C19" s="56"/>
      <c r="D19" s="56"/>
      <c r="E19" s="56"/>
      <c r="F19" s="71"/>
      <c r="G19" s="71"/>
      <c r="H19" s="71"/>
      <c r="I19" s="71"/>
      <c r="J19" s="71"/>
      <c r="K19" s="71"/>
      <c r="L19" s="64"/>
      <c r="M19" s="71"/>
      <c r="N19" s="71"/>
      <c r="O19" s="71"/>
      <c r="P19" s="71"/>
      <c r="Q19" s="71"/>
      <c r="R19" s="71"/>
      <c r="S19" s="64"/>
    </row>
    <row r="20" spans="2:20" x14ac:dyDescent="0.3">
      <c r="B20" s="55" t="s">
        <v>104</v>
      </c>
      <c r="C20" s="56"/>
      <c r="D20" s="56"/>
      <c r="E20" s="56"/>
      <c r="F20" s="71"/>
      <c r="G20" s="137">
        <f>'P&amp;L'!G13</f>
        <v>298</v>
      </c>
      <c r="H20" s="137">
        <f>'P&amp;L'!H13</f>
        <v>470</v>
      </c>
      <c r="I20" s="137">
        <f>'P&amp;L'!I13</f>
        <v>569</v>
      </c>
      <c r="J20" s="137">
        <f>'P&amp;L'!J13</f>
        <v>407</v>
      </c>
      <c r="K20" s="137">
        <f>'P&amp;L'!K13</f>
        <v>525</v>
      </c>
      <c r="L20" s="70">
        <f>'P&amp;L'!L13</f>
        <v>729</v>
      </c>
      <c r="M20" s="71">
        <f>M15*Assumptions!M11</f>
        <v>474.64220152352891</v>
      </c>
      <c r="N20" s="71">
        <f>N15*Assumptions!N11</f>
        <v>510.12702422132151</v>
      </c>
      <c r="O20" s="71">
        <f>O15*Assumptions!O11</f>
        <v>528.39895570005569</v>
      </c>
      <c r="P20" s="71">
        <f>P15*Assumptions!P11</f>
        <v>518.60458312791138</v>
      </c>
      <c r="Q20" s="71">
        <f>Q15*Assumptions!Q11</f>
        <v>564.69913270064387</v>
      </c>
      <c r="R20" s="71">
        <f>R15*Assumptions!R11</f>
        <v>621.51867422443206</v>
      </c>
      <c r="S20" s="64">
        <f>S15*Assumptions!S11</f>
        <v>636.21963259296751</v>
      </c>
      <c r="T20" s="32" t="s">
        <v>129</v>
      </c>
    </row>
    <row r="21" spans="2:20" x14ac:dyDescent="0.3">
      <c r="B21" s="55"/>
      <c r="C21" s="56"/>
      <c r="D21" s="56"/>
      <c r="E21" s="56"/>
      <c r="F21" s="56"/>
      <c r="G21" s="56"/>
      <c r="H21" s="56"/>
      <c r="I21" s="56"/>
      <c r="J21" s="56"/>
      <c r="K21" s="56"/>
      <c r="L21" s="62"/>
      <c r="M21" s="56"/>
      <c r="N21" s="56"/>
      <c r="O21" s="56"/>
      <c r="P21" s="56"/>
      <c r="Q21" s="56"/>
      <c r="R21" s="56"/>
      <c r="S21" s="62"/>
    </row>
    <row r="22" spans="2:20" x14ac:dyDescent="0.3">
      <c r="B22" s="73" t="s">
        <v>424</v>
      </c>
      <c r="C22" s="74"/>
      <c r="D22" s="74"/>
      <c r="E22" s="74"/>
      <c r="F22" s="74"/>
      <c r="G22" s="75">
        <f>G18/BS!G7</f>
        <v>1.3567110036275696</v>
      </c>
      <c r="H22" s="75">
        <f>H18/BS!H7</f>
        <v>0.90638930163447251</v>
      </c>
      <c r="I22" s="75">
        <f>I18/BS!I7</f>
        <v>0.95356550580431176</v>
      </c>
      <c r="J22" s="75">
        <f>J18/BS!J7</f>
        <v>0.99510763209393349</v>
      </c>
      <c r="K22" s="75">
        <f>K18/BS!K7</f>
        <v>0.35592301436703716</v>
      </c>
      <c r="L22" s="76">
        <f>L18/BS!L7</f>
        <v>0.28279919879819732</v>
      </c>
      <c r="M22" s="75">
        <f>M18/BS!M7</f>
        <v>0.24963050873001461</v>
      </c>
      <c r="N22" s="75">
        <f>N18/BS!N7</f>
        <v>0.22506754018514608</v>
      </c>
      <c r="O22" s="75">
        <f>O18/BS!O7</f>
        <v>0.20682835075478082</v>
      </c>
      <c r="P22" s="75">
        <f>P18/BS!P7</f>
        <v>0.19307495539395875</v>
      </c>
      <c r="Q22" s="75">
        <f>Q18/BS!Q7</f>
        <v>0.18337929769732528</v>
      </c>
      <c r="R22" s="75">
        <f>R18/BS!R7</f>
        <v>0.17558196964121711</v>
      </c>
      <c r="S22" s="76">
        <f>S18/BS!S7</f>
        <v>0.16898473907242445</v>
      </c>
    </row>
  </sheetData>
  <sheetProtection password="C58F" sheet="1" objects="1" scenarios="1"/>
  <customSheetViews>
    <customSheetView guid="{0D1F9D0C-3063-4A9B-A68D-79FADEF997F9}" showGridLines="0" topLeftCell="B1">
      <pane ySplit="2" topLeftCell="A3" activePane="bottomLeft" state="frozen"/>
      <selection pane="bottomLeft" activeCell="P26" sqref="P26"/>
      <pageMargins left="0.7" right="0.7" top="0.75" bottom="0.75" header="0.3" footer="0.3"/>
      <pageSetup paperSize="9" orientation="portrait" r:id="rId1"/>
    </customSheetView>
  </customSheetViews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18"/>
  <sheetViews>
    <sheetView showGridLines="0" workbookViewId="0">
      <pane ySplit="2" topLeftCell="A3" activePane="bottomLeft" state="frozen"/>
      <selection pane="bottomLeft" activeCell="C11" sqref="C11"/>
    </sheetView>
  </sheetViews>
  <sheetFormatPr defaultRowHeight="14.4" x14ac:dyDescent="0.3"/>
  <cols>
    <col min="1" max="1" width="1.88671875" customWidth="1"/>
    <col min="2" max="2" width="22.6640625" customWidth="1"/>
  </cols>
  <sheetData>
    <row r="2" spans="2:19" ht="23.4" x14ac:dyDescent="0.45">
      <c r="B2" s="33" t="s">
        <v>48</v>
      </c>
      <c r="C2" s="16"/>
      <c r="D2" s="16"/>
      <c r="E2" s="16"/>
      <c r="F2" s="18">
        <f>'Historical FS'!D2</f>
        <v>42795</v>
      </c>
      <c r="G2" s="18">
        <f>'Historical FS'!E2</f>
        <v>43160</v>
      </c>
      <c r="H2" s="18">
        <f>'Historical FS'!F2</f>
        <v>43525</v>
      </c>
      <c r="I2" s="18">
        <f>'Historical FS'!G2</f>
        <v>43891</v>
      </c>
      <c r="J2" s="18">
        <f>'Historical FS'!H2</f>
        <v>44256</v>
      </c>
      <c r="K2" s="18">
        <f>'Historical FS'!I2</f>
        <v>44621</v>
      </c>
      <c r="L2" s="24">
        <f>'Historical FS'!J2</f>
        <v>44986</v>
      </c>
      <c r="M2" s="18">
        <f>L2+366</f>
        <v>45352</v>
      </c>
      <c r="N2" s="18">
        <f t="shared" ref="N2:S2" si="0">M2+366</f>
        <v>45718</v>
      </c>
      <c r="O2" s="18">
        <f t="shared" si="0"/>
        <v>46084</v>
      </c>
      <c r="P2" s="18">
        <f t="shared" si="0"/>
        <v>46450</v>
      </c>
      <c r="Q2" s="18">
        <f t="shared" si="0"/>
        <v>46816</v>
      </c>
      <c r="R2" s="18">
        <f t="shared" si="0"/>
        <v>47182</v>
      </c>
      <c r="S2" s="18">
        <f t="shared" si="0"/>
        <v>47548</v>
      </c>
    </row>
    <row r="3" spans="2:19" x14ac:dyDescent="0.3">
      <c r="B3" s="105" t="s">
        <v>451</v>
      </c>
      <c r="C3" s="51"/>
      <c r="D3" s="51"/>
      <c r="E3" s="51"/>
      <c r="F3" s="51"/>
      <c r="G3" s="51"/>
      <c r="H3" s="51"/>
      <c r="I3" s="51"/>
      <c r="J3" s="51"/>
      <c r="K3" s="51"/>
      <c r="L3" s="63"/>
      <c r="M3" s="51"/>
      <c r="N3" s="51"/>
      <c r="O3" s="51"/>
      <c r="P3" s="51"/>
      <c r="Q3" s="51"/>
      <c r="R3" s="51"/>
      <c r="S3" s="63"/>
    </row>
    <row r="4" spans="2:19" x14ac:dyDescent="0.3">
      <c r="B4" s="106" t="s">
        <v>49</v>
      </c>
      <c r="C4" s="116"/>
      <c r="D4" s="116"/>
      <c r="E4" s="116"/>
      <c r="F4" s="117">
        <f>'Historical FS'!D45</f>
        <v>22973</v>
      </c>
      <c r="G4" s="117">
        <f>'Historical FS'!E45</f>
        <v>26354</v>
      </c>
      <c r="H4" s="117">
        <f>'Historical FS'!F45</f>
        <v>28802</v>
      </c>
      <c r="I4" s="117">
        <f>'Historical FS'!G45</f>
        <v>29657</v>
      </c>
      <c r="J4" s="117">
        <f>'Historical FS'!H45</f>
        <v>37090</v>
      </c>
      <c r="K4" s="117">
        <f>'Historical FS'!I45</f>
        <v>52361</v>
      </c>
      <c r="L4" s="72">
        <f>'Historical FS'!J45</f>
        <v>55262</v>
      </c>
      <c r="M4" s="117">
        <f>L4*(1+Assumptions!M4)</f>
        <v>58524</v>
      </c>
      <c r="N4" s="117">
        <f>M4*(1+Assumptions!N4)</f>
        <v>65740.57142857142</v>
      </c>
      <c r="O4" s="117">
        <f>N4*(1+Assumptions!O4)</f>
        <v>73451.183673469379</v>
      </c>
      <c r="P4" s="117">
        <f>O4*(1+Assumptions!P4)</f>
        <v>80990.349854227403</v>
      </c>
      <c r="Q4" s="117">
        <f>P4*(1+Assumptions!Q4)</f>
        <v>86825.584756351513</v>
      </c>
      <c r="R4" s="117">
        <f>Q4*(1+Assumptions!R4)</f>
        <v>91847.475337656942</v>
      </c>
      <c r="S4" s="72">
        <f>R4*(1+Assumptions!S4)</f>
        <v>99178.648428800923</v>
      </c>
    </row>
    <row r="5" spans="2:19" x14ac:dyDescent="0.3">
      <c r="B5" s="55" t="s">
        <v>50</v>
      </c>
      <c r="C5" s="56"/>
      <c r="D5" s="56"/>
      <c r="E5" s="56"/>
      <c r="F5" s="71">
        <f>'Historical FS'!D46</f>
        <v>22330</v>
      </c>
      <c r="G5" s="71">
        <f>'Historical FS'!E46</f>
        <v>25433</v>
      </c>
      <c r="H5" s="71">
        <f>'Historical FS'!F46</f>
        <v>27703</v>
      </c>
      <c r="I5" s="71">
        <f>'Historical FS'!G46</f>
        <v>28345</v>
      </c>
      <c r="J5" s="71">
        <f>'Historical FS'!H46</f>
        <v>35763</v>
      </c>
      <c r="K5" s="71">
        <f>'Historical FS'!I46</f>
        <v>50635</v>
      </c>
      <c r="L5" s="64">
        <f>'Historical FS'!J46</f>
        <v>53646</v>
      </c>
      <c r="M5" s="71">
        <f>M4*Assumptions!M5</f>
        <v>56489.733665299136</v>
      </c>
      <c r="N5" s="71">
        <f>N4*Assumptions!N5</f>
        <v>63391.878632296946</v>
      </c>
      <c r="O5" s="71">
        <f>O4*Assumptions!O5</f>
        <v>70818.837669320783</v>
      </c>
      <c r="P5" s="71">
        <f>P4*Assumptions!P5</f>
        <v>78114.646350207506</v>
      </c>
      <c r="Q5" s="71">
        <f>Q4*Assumptions!Q5</f>
        <v>83851.004640138141</v>
      </c>
      <c r="R5" s="71">
        <f>R4*Assumptions!R5</f>
        <v>88720.774362158612</v>
      </c>
      <c r="S5" s="64">
        <f>S4*Assumptions!S5</f>
        <v>95787.091729668638</v>
      </c>
    </row>
    <row r="6" spans="2:19" x14ac:dyDescent="0.3">
      <c r="B6" s="54"/>
      <c r="C6" s="51"/>
      <c r="D6" s="51"/>
      <c r="E6" s="51"/>
      <c r="F6" s="51"/>
      <c r="G6" s="51"/>
      <c r="H6" s="51"/>
      <c r="I6" s="51"/>
      <c r="J6" s="51"/>
      <c r="K6" s="51"/>
      <c r="L6" s="63"/>
      <c r="M6" s="51"/>
      <c r="N6" s="51"/>
      <c r="O6" s="51"/>
      <c r="P6" s="51"/>
      <c r="Q6" s="51"/>
      <c r="R6" s="51"/>
      <c r="S6" s="63"/>
    </row>
    <row r="7" spans="2:19" x14ac:dyDescent="0.3">
      <c r="B7" s="106" t="s">
        <v>38</v>
      </c>
      <c r="C7" s="116"/>
      <c r="D7" s="116"/>
      <c r="E7" s="116"/>
      <c r="F7" s="117">
        <f>F4-F5</f>
        <v>643</v>
      </c>
      <c r="G7" s="117">
        <f t="shared" ref="G7:S7" si="1">G4-G5</f>
        <v>921</v>
      </c>
      <c r="H7" s="117">
        <f t="shared" si="1"/>
        <v>1099</v>
      </c>
      <c r="I7" s="117">
        <f t="shared" si="1"/>
        <v>1312</v>
      </c>
      <c r="J7" s="117">
        <f t="shared" si="1"/>
        <v>1327</v>
      </c>
      <c r="K7" s="117">
        <f t="shared" si="1"/>
        <v>1726</v>
      </c>
      <c r="L7" s="72">
        <f t="shared" si="1"/>
        <v>1616</v>
      </c>
      <c r="M7" s="117">
        <f t="shared" si="1"/>
        <v>2034.2663347008638</v>
      </c>
      <c r="N7" s="117">
        <f t="shared" si="1"/>
        <v>2348.6927962744739</v>
      </c>
      <c r="O7" s="117">
        <f t="shared" si="1"/>
        <v>2632.346004148596</v>
      </c>
      <c r="P7" s="117">
        <f t="shared" si="1"/>
        <v>2875.7035040198971</v>
      </c>
      <c r="Q7" s="117">
        <f t="shared" si="1"/>
        <v>2974.5801162133721</v>
      </c>
      <c r="R7" s="117">
        <f t="shared" si="1"/>
        <v>3126.7009754983301</v>
      </c>
      <c r="S7" s="72">
        <f t="shared" si="1"/>
        <v>3391.5566991322848</v>
      </c>
    </row>
    <row r="8" spans="2:19" x14ac:dyDescent="0.3">
      <c r="B8" s="55" t="s">
        <v>51</v>
      </c>
      <c r="C8" s="56"/>
      <c r="D8" s="56"/>
      <c r="E8" s="56"/>
      <c r="F8" s="71">
        <f>'Historical FS'!D49</f>
        <v>152</v>
      </c>
      <c r="G8" s="71">
        <f>'Historical FS'!E49</f>
        <v>88</v>
      </c>
      <c r="H8" s="71">
        <f>'Historical FS'!F49</f>
        <v>122</v>
      </c>
      <c r="I8" s="71">
        <f>'Historical FS'!G49</f>
        <v>108</v>
      </c>
      <c r="J8" s="71">
        <f>'Historical FS'!H49</f>
        <v>104</v>
      </c>
      <c r="K8" s="71">
        <f>'Historical FS'!I49</f>
        <v>169</v>
      </c>
      <c r="L8" s="64">
        <f>'Historical FS'!J49</f>
        <v>257</v>
      </c>
      <c r="M8" s="71">
        <f>Assumptions!M7*'P&amp;L'!M4</f>
        <v>238.40356983627686</v>
      </c>
      <c r="N8" s="71">
        <f>Assumptions!N7*'P&amp;L'!N4</f>
        <v>243.91973096648042</v>
      </c>
      <c r="O8" s="71">
        <f>Assumptions!O7*'P&amp;L'!O4</f>
        <v>276.42357513289994</v>
      </c>
      <c r="P8" s="71">
        <f>Assumptions!P7*'P&amp;L'!P4</f>
        <v>299.32990643819522</v>
      </c>
      <c r="Q8" s="71">
        <f>Assumptions!Q7*'P&amp;L'!Q4</f>
        <v>321.56889839695833</v>
      </c>
      <c r="R8" s="71">
        <f>Assumptions!R7*'P&amp;L'!R4</f>
        <v>351.97215983040701</v>
      </c>
      <c r="S8" s="64">
        <f>Assumptions!S7*'P&amp;L'!S4</f>
        <v>388.63163880617566</v>
      </c>
    </row>
    <row r="9" spans="2:19" x14ac:dyDescent="0.3">
      <c r="B9" s="108" t="s">
        <v>52</v>
      </c>
      <c r="C9" s="52"/>
      <c r="D9" s="52"/>
      <c r="E9" s="52"/>
      <c r="F9" s="68">
        <f>F7+F8</f>
        <v>795</v>
      </c>
      <c r="G9" s="68">
        <f t="shared" ref="G9:L9" si="2">G7+G8</f>
        <v>1009</v>
      </c>
      <c r="H9" s="68">
        <f t="shared" si="2"/>
        <v>1221</v>
      </c>
      <c r="I9" s="68">
        <f t="shared" si="2"/>
        <v>1420</v>
      </c>
      <c r="J9" s="68">
        <f t="shared" si="2"/>
        <v>1431</v>
      </c>
      <c r="K9" s="68">
        <f t="shared" si="2"/>
        <v>1895</v>
      </c>
      <c r="L9" s="69">
        <f t="shared" si="2"/>
        <v>1873</v>
      </c>
      <c r="M9" s="68">
        <f>M7+M8</f>
        <v>2272.6699045371406</v>
      </c>
      <c r="N9" s="68">
        <f t="shared" ref="N9:S9" si="3">N7+N8</f>
        <v>2592.6125272409545</v>
      </c>
      <c r="O9" s="68">
        <f t="shared" si="3"/>
        <v>2908.7695792814957</v>
      </c>
      <c r="P9" s="68">
        <f t="shared" si="3"/>
        <v>3175.0334104580925</v>
      </c>
      <c r="Q9" s="68">
        <f t="shared" si="3"/>
        <v>3296.1490146103306</v>
      </c>
      <c r="R9" s="68">
        <f t="shared" si="3"/>
        <v>3478.6731353287369</v>
      </c>
      <c r="S9" s="69">
        <f t="shared" si="3"/>
        <v>3780.1883379384603</v>
      </c>
    </row>
    <row r="10" spans="2:19" x14ac:dyDescent="0.3">
      <c r="B10" s="55" t="s">
        <v>42</v>
      </c>
      <c r="C10" s="56"/>
      <c r="D10" s="56"/>
      <c r="E10" s="56"/>
      <c r="F10" s="71">
        <f>'Historical FS'!D51</f>
        <v>119</v>
      </c>
      <c r="G10" s="71">
        <f>'Historical FS'!E51</f>
        <v>146</v>
      </c>
      <c r="H10" s="71">
        <f>'Historical FS'!F51</f>
        <v>182</v>
      </c>
      <c r="I10" s="71">
        <f>'Historical FS'!G51</f>
        <v>242</v>
      </c>
      <c r="J10" s="71">
        <f>'Historical FS'!H51</f>
        <v>268</v>
      </c>
      <c r="K10" s="71">
        <f>'Historical FS'!I51</f>
        <v>285</v>
      </c>
      <c r="L10" s="64">
        <f>'Historical FS'!J51</f>
        <v>319</v>
      </c>
      <c r="M10" s="71">
        <f>'Supporting Schedules'!M7</f>
        <v>399.32843436297219</v>
      </c>
      <c r="N10" s="71">
        <f>'Supporting Schedules'!N7</f>
        <v>454.1895029730299</v>
      </c>
      <c r="O10" s="71">
        <f>'Supporting Schedules'!O7</f>
        <v>520.17117429635493</v>
      </c>
      <c r="P10" s="71">
        <f>'Supporting Schedules'!P7</f>
        <v>589.65791493767949</v>
      </c>
      <c r="Q10" s="71">
        <f>'Supporting Schedules'!Q7</f>
        <v>666.65065600218179</v>
      </c>
      <c r="R10" s="71">
        <f>'Supporting Schedules'!R7</f>
        <v>743.50020846386644</v>
      </c>
      <c r="S10" s="64">
        <f>'Supporting Schedules'!S7</f>
        <v>818.7026283217366</v>
      </c>
    </row>
    <row r="11" spans="2:19" x14ac:dyDescent="0.3">
      <c r="B11" s="55"/>
      <c r="C11" s="56"/>
      <c r="D11" s="56"/>
      <c r="E11" s="56"/>
      <c r="F11" s="56"/>
      <c r="G11" s="56"/>
      <c r="H11" s="56"/>
      <c r="I11" s="56"/>
      <c r="J11" s="56"/>
      <c r="K11" s="56"/>
      <c r="L11" s="62"/>
      <c r="M11" s="118"/>
      <c r="N11" s="118"/>
      <c r="O11" s="118"/>
      <c r="P11" s="118"/>
      <c r="Q11" s="118"/>
      <c r="R11" s="118"/>
      <c r="S11" s="25"/>
    </row>
    <row r="12" spans="2:19" x14ac:dyDescent="0.3">
      <c r="B12" s="108" t="s">
        <v>53</v>
      </c>
      <c r="C12" s="52"/>
      <c r="D12" s="52"/>
      <c r="E12" s="52"/>
      <c r="F12" s="68">
        <f>F9-F10</f>
        <v>676</v>
      </c>
      <c r="G12" s="68">
        <f t="shared" ref="G12:L12" si="4">G9-G10</f>
        <v>863</v>
      </c>
      <c r="H12" s="68">
        <f t="shared" si="4"/>
        <v>1039</v>
      </c>
      <c r="I12" s="68">
        <f t="shared" si="4"/>
        <v>1178</v>
      </c>
      <c r="J12" s="68">
        <f t="shared" si="4"/>
        <v>1163</v>
      </c>
      <c r="K12" s="68">
        <f t="shared" si="4"/>
        <v>1610</v>
      </c>
      <c r="L12" s="69">
        <f t="shared" si="4"/>
        <v>1554</v>
      </c>
      <c r="M12" s="68">
        <f>M9-M10</f>
        <v>1873.3414701741685</v>
      </c>
      <c r="N12" s="68">
        <f t="shared" ref="N12:S12" si="5">N9-N10</f>
        <v>2138.4230242679246</v>
      </c>
      <c r="O12" s="68">
        <f t="shared" si="5"/>
        <v>2388.5984049851409</v>
      </c>
      <c r="P12" s="68">
        <f t="shared" si="5"/>
        <v>2585.3754955204131</v>
      </c>
      <c r="Q12" s="68">
        <f t="shared" si="5"/>
        <v>2629.4983586081489</v>
      </c>
      <c r="R12" s="68">
        <f t="shared" si="5"/>
        <v>2735.1729268648705</v>
      </c>
      <c r="S12" s="69">
        <f t="shared" si="5"/>
        <v>2961.4857096167239</v>
      </c>
    </row>
    <row r="13" spans="2:19" x14ac:dyDescent="0.3">
      <c r="B13" s="55" t="s">
        <v>41</v>
      </c>
      <c r="C13" s="56"/>
      <c r="D13" s="56"/>
      <c r="E13" s="56"/>
      <c r="F13" s="71">
        <f>'Historical FS'!D50</f>
        <v>328</v>
      </c>
      <c r="G13" s="71">
        <f>'Historical FS'!E50</f>
        <v>298</v>
      </c>
      <c r="H13" s="71">
        <f>'Historical FS'!F50</f>
        <v>470</v>
      </c>
      <c r="I13" s="71">
        <f>'Historical FS'!G50</f>
        <v>569</v>
      </c>
      <c r="J13" s="71">
        <f>'Historical FS'!H50</f>
        <v>407</v>
      </c>
      <c r="K13" s="71">
        <f>'Historical FS'!I50</f>
        <v>525</v>
      </c>
      <c r="L13" s="64">
        <f>'Historical FS'!J50</f>
        <v>729</v>
      </c>
      <c r="M13" s="71">
        <f>'Supporting Schedules'!M20</f>
        <v>474.64220152352891</v>
      </c>
      <c r="N13" s="71">
        <f>'Supporting Schedules'!N20</f>
        <v>510.12702422132151</v>
      </c>
      <c r="O13" s="71">
        <f>'Supporting Schedules'!O20</f>
        <v>528.39895570005569</v>
      </c>
      <c r="P13" s="71">
        <f>'Supporting Schedules'!P20</f>
        <v>518.60458312791138</v>
      </c>
      <c r="Q13" s="71">
        <f>'Supporting Schedules'!Q20</f>
        <v>564.69913270064387</v>
      </c>
      <c r="R13" s="71">
        <f>'Supporting Schedules'!R20</f>
        <v>621.51867422443206</v>
      </c>
      <c r="S13" s="64">
        <f>'Supporting Schedules'!S20</f>
        <v>636.21963259296751</v>
      </c>
    </row>
    <row r="14" spans="2:19" x14ac:dyDescent="0.3">
      <c r="B14" s="55"/>
      <c r="C14" s="56"/>
      <c r="D14" s="56"/>
      <c r="E14" s="56"/>
      <c r="F14" s="56"/>
      <c r="G14" s="56"/>
      <c r="H14" s="56"/>
      <c r="I14" s="56"/>
      <c r="J14" s="56"/>
      <c r="K14" s="56"/>
      <c r="L14" s="62"/>
      <c r="M14" s="56"/>
      <c r="N14" s="56"/>
      <c r="O14" s="56"/>
      <c r="P14" s="56"/>
      <c r="Q14" s="56"/>
      <c r="R14" s="56"/>
      <c r="S14" s="62"/>
    </row>
    <row r="15" spans="2:19" x14ac:dyDescent="0.3">
      <c r="B15" s="108" t="s">
        <v>54</v>
      </c>
      <c r="C15" s="52"/>
      <c r="D15" s="52"/>
      <c r="E15" s="52"/>
      <c r="F15" s="68">
        <f>F12-F13</f>
        <v>348</v>
      </c>
      <c r="G15" s="68">
        <f t="shared" ref="G15:L15" si="6">G12-G13</f>
        <v>565</v>
      </c>
      <c r="H15" s="68">
        <f t="shared" si="6"/>
        <v>569</v>
      </c>
      <c r="I15" s="68">
        <f t="shared" si="6"/>
        <v>609</v>
      </c>
      <c r="J15" s="68">
        <f t="shared" si="6"/>
        <v>756</v>
      </c>
      <c r="K15" s="68">
        <f t="shared" si="6"/>
        <v>1085</v>
      </c>
      <c r="L15" s="69">
        <f t="shared" si="6"/>
        <v>825</v>
      </c>
      <c r="M15" s="68">
        <f>M12-M13</f>
        <v>1398.6992686506396</v>
      </c>
      <c r="N15" s="68">
        <f t="shared" ref="N15:S15" si="7">N12-N13</f>
        <v>1628.296000046603</v>
      </c>
      <c r="O15" s="68">
        <f t="shared" si="7"/>
        <v>1860.1994492850852</v>
      </c>
      <c r="P15" s="68">
        <f t="shared" si="7"/>
        <v>2066.7709123925015</v>
      </c>
      <c r="Q15" s="68">
        <f t="shared" si="7"/>
        <v>2064.7992259075049</v>
      </c>
      <c r="R15" s="68">
        <f t="shared" si="7"/>
        <v>2113.6542526404382</v>
      </c>
      <c r="S15" s="69">
        <f t="shared" si="7"/>
        <v>2325.2660770237562</v>
      </c>
    </row>
    <row r="16" spans="2:19" x14ac:dyDescent="0.3">
      <c r="B16" s="55" t="s">
        <v>56</v>
      </c>
      <c r="C16" s="56"/>
      <c r="D16" s="56"/>
      <c r="E16" s="56"/>
      <c r="F16" s="119">
        <f>'Historical FS'!D53</f>
        <v>0.34</v>
      </c>
      <c r="G16" s="119">
        <f>'Historical FS'!E53</f>
        <v>0.34</v>
      </c>
      <c r="H16" s="119">
        <f>'Historical FS'!F53</f>
        <v>0.36</v>
      </c>
      <c r="I16" s="119">
        <f>'Historical FS'!G53</f>
        <v>0.35</v>
      </c>
      <c r="J16" s="119">
        <f>'Historical FS'!H53</f>
        <v>0.14000000000000001</v>
      </c>
      <c r="K16" s="119">
        <f>'Historical FS'!I53</f>
        <v>0.25</v>
      </c>
      <c r="L16" s="22">
        <f>'Historical FS'!J53</f>
        <v>0.26</v>
      </c>
      <c r="M16" s="120">
        <f>Assumptions!M12</f>
        <v>0.25169999999999998</v>
      </c>
      <c r="N16" s="120">
        <f>Assumptions!N12</f>
        <v>0.25169999999999998</v>
      </c>
      <c r="O16" s="120">
        <f>Assumptions!O12</f>
        <v>0.25169999999999998</v>
      </c>
      <c r="P16" s="120">
        <f>Assumptions!P12</f>
        <v>0.25169999999999998</v>
      </c>
      <c r="Q16" s="120">
        <f>Assumptions!Q12</f>
        <v>0.25169999999999998</v>
      </c>
      <c r="R16" s="120">
        <f>Assumptions!R12</f>
        <v>0.25169999999999998</v>
      </c>
      <c r="S16" s="121">
        <f>Assumptions!S12</f>
        <v>0.25169999999999998</v>
      </c>
    </row>
    <row r="17" spans="2:19" x14ac:dyDescent="0.3">
      <c r="B17" s="55" t="s">
        <v>57</v>
      </c>
      <c r="C17" s="56"/>
      <c r="D17" s="56"/>
      <c r="E17" s="56"/>
      <c r="F17" s="71">
        <f>F16*F15</f>
        <v>118.32000000000001</v>
      </c>
      <c r="G17" s="71">
        <f t="shared" ref="G17:L17" si="8">G16*G15</f>
        <v>192.10000000000002</v>
      </c>
      <c r="H17" s="71">
        <f t="shared" si="8"/>
        <v>204.84</v>
      </c>
      <c r="I17" s="71">
        <f t="shared" si="8"/>
        <v>213.14999999999998</v>
      </c>
      <c r="J17" s="71">
        <f t="shared" si="8"/>
        <v>105.84</v>
      </c>
      <c r="K17" s="71">
        <f t="shared" si="8"/>
        <v>271.25</v>
      </c>
      <c r="L17" s="64">
        <f t="shared" si="8"/>
        <v>214.5</v>
      </c>
      <c r="M17" s="67">
        <f>M16*M15</f>
        <v>352.05260591936599</v>
      </c>
      <c r="N17" s="67">
        <f t="shared" ref="N17:S17" si="9">N16*N15</f>
        <v>409.84210321172992</v>
      </c>
      <c r="O17" s="67">
        <f t="shared" si="9"/>
        <v>468.21220138505589</v>
      </c>
      <c r="P17" s="67">
        <f t="shared" si="9"/>
        <v>520.20623864919253</v>
      </c>
      <c r="Q17" s="67">
        <f t="shared" si="9"/>
        <v>519.70996516091896</v>
      </c>
      <c r="R17" s="67">
        <f t="shared" si="9"/>
        <v>532.00677538959826</v>
      </c>
      <c r="S17" s="122">
        <f t="shared" si="9"/>
        <v>585.26947158687938</v>
      </c>
    </row>
    <row r="18" spans="2:19" x14ac:dyDescent="0.3">
      <c r="B18" s="73" t="s">
        <v>55</v>
      </c>
      <c r="C18" s="74"/>
      <c r="D18" s="74"/>
      <c r="E18" s="74"/>
      <c r="F18" s="77">
        <f>F15-F17</f>
        <v>229.68</v>
      </c>
      <c r="G18" s="77">
        <f t="shared" ref="G18:L18" si="10">G15-G17</f>
        <v>372.9</v>
      </c>
      <c r="H18" s="77">
        <f t="shared" si="10"/>
        <v>364.15999999999997</v>
      </c>
      <c r="I18" s="77">
        <f t="shared" si="10"/>
        <v>395.85</v>
      </c>
      <c r="J18" s="77">
        <f t="shared" si="10"/>
        <v>650.16</v>
      </c>
      <c r="K18" s="77">
        <f t="shared" si="10"/>
        <v>813.75</v>
      </c>
      <c r="L18" s="78">
        <f t="shared" si="10"/>
        <v>610.5</v>
      </c>
      <c r="M18" s="77">
        <f>M15-M17</f>
        <v>1046.6466627312736</v>
      </c>
      <c r="N18" s="77">
        <f t="shared" ref="N18:S18" si="11">N15-N17</f>
        <v>1218.4538968348731</v>
      </c>
      <c r="O18" s="77">
        <f t="shared" si="11"/>
        <v>1391.9872479000292</v>
      </c>
      <c r="P18" s="77">
        <f t="shared" si="11"/>
        <v>1546.564673743309</v>
      </c>
      <c r="Q18" s="77">
        <f t="shared" si="11"/>
        <v>1545.089260746586</v>
      </c>
      <c r="R18" s="77">
        <f t="shared" si="11"/>
        <v>1581.64747725084</v>
      </c>
      <c r="S18" s="78">
        <f t="shared" si="11"/>
        <v>1739.996605436877</v>
      </c>
    </row>
  </sheetData>
  <sheetProtection password="C58F" sheet="1" objects="1" scenarios="1"/>
  <customSheetViews>
    <customSheetView guid="{0D1F9D0C-3063-4A9B-A68D-79FADEF997F9}" showGridLines="0">
      <pane ySplit="2" topLeftCell="A3" activePane="bottomLeft" state="frozen"/>
      <selection pane="bottomLeft" activeCell="C11" sqref="C11"/>
      <pageMargins left="0.7" right="0.7" top="0.75" bottom="0.75" header="0.3" footer="0.3"/>
      <pageSetup paperSize="9" orientation="portrait" r:id="rId1"/>
    </customSheetView>
  </customSheetViews>
  <pageMargins left="0.7" right="0.7" top="0.75" bottom="0.75" header="0.3" footer="0.3"/>
  <pageSetup paperSize="9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41"/>
  <sheetViews>
    <sheetView showGridLines="0" workbookViewId="0">
      <pane ySplit="2" topLeftCell="A15" activePane="bottomLeft" state="frozen"/>
      <selection pane="bottomLeft" activeCell="U21" sqref="U21"/>
    </sheetView>
  </sheetViews>
  <sheetFormatPr defaultRowHeight="14.4" x14ac:dyDescent="0.3"/>
  <cols>
    <col min="1" max="1" width="1.88671875" customWidth="1"/>
  </cols>
  <sheetData>
    <row r="2" spans="2:20" ht="23.4" x14ac:dyDescent="0.45">
      <c r="B2" s="33" t="s">
        <v>0</v>
      </c>
      <c r="C2" s="16"/>
      <c r="D2" s="16"/>
      <c r="E2" s="16"/>
      <c r="F2" s="18">
        <f>'P&amp;L'!F2</f>
        <v>42795</v>
      </c>
      <c r="G2" s="18">
        <f>'P&amp;L'!G2</f>
        <v>43160</v>
      </c>
      <c r="H2" s="18">
        <f>'P&amp;L'!H2</f>
        <v>43525</v>
      </c>
      <c r="I2" s="18">
        <f>'P&amp;L'!I2</f>
        <v>43891</v>
      </c>
      <c r="J2" s="18">
        <f>'P&amp;L'!J2</f>
        <v>44256</v>
      </c>
      <c r="K2" s="18">
        <f>'P&amp;L'!K2</f>
        <v>44621</v>
      </c>
      <c r="L2" s="18">
        <f>'P&amp;L'!L2</f>
        <v>44986</v>
      </c>
      <c r="M2" s="18">
        <f>'P&amp;L'!M2</f>
        <v>45352</v>
      </c>
      <c r="N2" s="18">
        <f>'P&amp;L'!N2</f>
        <v>45718</v>
      </c>
      <c r="O2" s="18">
        <f>'P&amp;L'!O2</f>
        <v>46084</v>
      </c>
      <c r="P2" s="18">
        <f>'P&amp;L'!P2</f>
        <v>46450</v>
      </c>
      <c r="Q2" s="18">
        <f>'P&amp;L'!Q2</f>
        <v>46816</v>
      </c>
      <c r="R2" s="18">
        <f>'P&amp;L'!R2</f>
        <v>47182</v>
      </c>
      <c r="S2" s="18">
        <f>'P&amp;L'!S2</f>
        <v>47548</v>
      </c>
      <c r="T2" s="14"/>
    </row>
    <row r="3" spans="2:20" x14ac:dyDescent="0.3">
      <c r="B3" s="105" t="s">
        <v>451</v>
      </c>
      <c r="C3" s="51"/>
      <c r="D3" s="51"/>
      <c r="E3" s="51"/>
      <c r="F3" s="51"/>
      <c r="G3" s="51"/>
      <c r="H3" s="51"/>
      <c r="I3" s="51"/>
      <c r="J3" s="51"/>
      <c r="K3" s="51"/>
      <c r="L3" s="63"/>
      <c r="M3" s="51"/>
      <c r="N3" s="51"/>
      <c r="O3" s="51"/>
      <c r="P3" s="51"/>
      <c r="Q3" s="51"/>
      <c r="R3" s="51"/>
      <c r="S3" s="63"/>
    </row>
    <row r="4" spans="2:20" x14ac:dyDescent="0.3">
      <c r="B4" s="106" t="s">
        <v>58</v>
      </c>
      <c r="C4" s="56"/>
      <c r="D4" s="56"/>
      <c r="E4" s="56"/>
      <c r="F4" s="56"/>
      <c r="G4" s="56"/>
      <c r="H4" s="56"/>
      <c r="I4" s="56"/>
      <c r="J4" s="56"/>
      <c r="K4" s="56"/>
      <c r="L4" s="62"/>
      <c r="M4" s="56"/>
      <c r="N4" s="56"/>
      <c r="O4" s="56"/>
      <c r="P4" s="56"/>
      <c r="Q4" s="56"/>
      <c r="R4" s="56"/>
      <c r="S4" s="62"/>
    </row>
    <row r="5" spans="2:20" x14ac:dyDescent="0.3">
      <c r="B5" s="55" t="s">
        <v>59</v>
      </c>
      <c r="C5" s="56"/>
      <c r="D5" s="56"/>
      <c r="E5" s="56"/>
      <c r="F5" s="56">
        <f>'Historical FS'!D7</f>
        <v>114</v>
      </c>
      <c r="G5" s="56">
        <f>'Historical FS'!E7</f>
        <v>114</v>
      </c>
      <c r="H5" s="56">
        <f>'Historical FS'!F7</f>
        <v>114</v>
      </c>
      <c r="I5" s="56">
        <f>'Historical FS'!G7</f>
        <v>114</v>
      </c>
      <c r="J5" s="56">
        <f>'Historical FS'!H7</f>
        <v>114</v>
      </c>
      <c r="K5" s="56">
        <f>'Historical FS'!I7</f>
        <v>130</v>
      </c>
      <c r="L5" s="62">
        <f>'Historical FS'!J7</f>
        <v>130</v>
      </c>
      <c r="M5" s="56">
        <f>L5</f>
        <v>130</v>
      </c>
      <c r="N5" s="56">
        <f t="shared" ref="N5:S5" si="0">M5</f>
        <v>130</v>
      </c>
      <c r="O5" s="56">
        <f t="shared" si="0"/>
        <v>130</v>
      </c>
      <c r="P5" s="56">
        <f t="shared" si="0"/>
        <v>130</v>
      </c>
      <c r="Q5" s="56">
        <f t="shared" si="0"/>
        <v>130</v>
      </c>
      <c r="R5" s="56">
        <f t="shared" si="0"/>
        <v>130</v>
      </c>
      <c r="S5" s="62">
        <f t="shared" si="0"/>
        <v>130</v>
      </c>
    </row>
    <row r="6" spans="2:20" x14ac:dyDescent="0.3">
      <c r="B6" s="55" t="s">
        <v>60</v>
      </c>
      <c r="C6" s="56"/>
      <c r="D6" s="56"/>
      <c r="E6" s="56"/>
      <c r="F6" s="107">
        <f>'Historical FS'!D8</f>
        <v>1166</v>
      </c>
      <c r="G6" s="107">
        <f>'Historical FS'!E8</f>
        <v>1540</v>
      </c>
      <c r="H6" s="107">
        <f>'Historical FS'!F8</f>
        <v>1905</v>
      </c>
      <c r="I6" s="107">
        <f>'Historical FS'!G8</f>
        <v>2298</v>
      </c>
      <c r="J6" s="107">
        <f>'Historical FS'!H8</f>
        <v>2952</v>
      </c>
      <c r="K6" s="107">
        <f>'Historical FS'!I8</f>
        <v>7248</v>
      </c>
      <c r="L6" s="21">
        <f>'Historical FS'!J8</f>
        <v>7858</v>
      </c>
      <c r="M6" s="107">
        <f>L6+'P&amp;L'!M18</f>
        <v>8904.646662731273</v>
      </c>
      <c r="N6" s="107">
        <f>M6+'P&amp;L'!N18</f>
        <v>10123.100559566146</v>
      </c>
      <c r="O6" s="107">
        <f>N6+'P&amp;L'!O18</f>
        <v>11515.087807466176</v>
      </c>
      <c r="P6" s="107">
        <f>O6+'P&amp;L'!P18</f>
        <v>13061.652481209485</v>
      </c>
      <c r="Q6" s="107">
        <f>P6+'P&amp;L'!Q18</f>
        <v>14606.741741956072</v>
      </c>
      <c r="R6" s="107">
        <f>Q6+'P&amp;L'!R18</f>
        <v>16188.389219206911</v>
      </c>
      <c r="S6" s="21">
        <f>R6+'P&amp;L'!S18</f>
        <v>17928.385824643789</v>
      </c>
    </row>
    <row r="7" spans="2:20" x14ac:dyDescent="0.3">
      <c r="B7" s="108" t="s">
        <v>61</v>
      </c>
      <c r="C7" s="51"/>
      <c r="D7" s="51"/>
      <c r="E7" s="51"/>
      <c r="F7" s="52">
        <f>SUM(F5:F6)</f>
        <v>1280</v>
      </c>
      <c r="G7" s="52">
        <f t="shared" ref="G7:L7" si="1">SUM(G5:G6)</f>
        <v>1654</v>
      </c>
      <c r="H7" s="52">
        <f t="shared" si="1"/>
        <v>2019</v>
      </c>
      <c r="I7" s="52">
        <f t="shared" si="1"/>
        <v>2412</v>
      </c>
      <c r="J7" s="52">
        <f t="shared" si="1"/>
        <v>3066</v>
      </c>
      <c r="K7" s="52">
        <f t="shared" si="1"/>
        <v>7378</v>
      </c>
      <c r="L7" s="60">
        <f t="shared" si="1"/>
        <v>7988</v>
      </c>
      <c r="M7" s="59">
        <f t="shared" ref="M7" si="2">SUM(M5:M6)</f>
        <v>9034.646662731273</v>
      </c>
      <c r="N7" s="59">
        <f t="shared" ref="N7" si="3">SUM(N5:N6)</f>
        <v>10253.100559566146</v>
      </c>
      <c r="O7" s="59">
        <f t="shared" ref="O7" si="4">SUM(O5:O6)</f>
        <v>11645.087807466176</v>
      </c>
      <c r="P7" s="59">
        <f t="shared" ref="P7" si="5">SUM(P5:P6)</f>
        <v>13191.652481209485</v>
      </c>
      <c r="Q7" s="59">
        <f t="shared" ref="Q7" si="6">SUM(Q5:Q6)</f>
        <v>14736.741741956072</v>
      </c>
      <c r="R7" s="59">
        <f t="shared" ref="R7" si="7">SUM(R5:R6)</f>
        <v>16318.389219206911</v>
      </c>
      <c r="S7" s="60">
        <f t="shared" ref="S7" si="8">SUM(S5:S6)</f>
        <v>18058.385824643789</v>
      </c>
    </row>
    <row r="8" spans="2:20" x14ac:dyDescent="0.3">
      <c r="B8" s="55"/>
      <c r="C8" s="56"/>
      <c r="D8" s="56"/>
      <c r="E8" s="56"/>
      <c r="F8" s="56"/>
      <c r="G8" s="56"/>
      <c r="H8" s="56"/>
      <c r="I8" s="56"/>
      <c r="J8" s="56"/>
      <c r="K8" s="56"/>
      <c r="L8" s="62"/>
      <c r="M8" s="56"/>
      <c r="N8" s="56"/>
      <c r="O8" s="56"/>
      <c r="P8" s="56"/>
      <c r="Q8" s="56"/>
      <c r="R8" s="56"/>
      <c r="S8" s="62"/>
    </row>
    <row r="9" spans="2:20" x14ac:dyDescent="0.3">
      <c r="B9" s="106" t="s">
        <v>62</v>
      </c>
      <c r="C9" s="56"/>
      <c r="D9" s="56"/>
      <c r="E9" s="56"/>
      <c r="F9" s="56"/>
      <c r="G9" s="56"/>
      <c r="H9" s="56"/>
      <c r="I9" s="56"/>
      <c r="J9" s="56"/>
      <c r="K9" s="56"/>
      <c r="L9" s="62"/>
      <c r="M9" s="56"/>
      <c r="N9" s="56"/>
      <c r="O9" s="56"/>
      <c r="P9" s="56"/>
      <c r="Q9" s="56"/>
      <c r="R9" s="56"/>
      <c r="S9" s="62"/>
    </row>
    <row r="10" spans="2:20" x14ac:dyDescent="0.3">
      <c r="B10" s="109" t="s">
        <v>63</v>
      </c>
      <c r="C10" s="56"/>
      <c r="D10" s="56"/>
      <c r="E10" s="56"/>
      <c r="F10" s="56"/>
      <c r="G10" s="56"/>
      <c r="H10" s="56"/>
      <c r="I10" s="56"/>
      <c r="J10" s="56"/>
      <c r="K10" s="56"/>
      <c r="L10" s="62"/>
      <c r="M10" s="56"/>
      <c r="N10" s="56"/>
      <c r="O10" s="56"/>
      <c r="P10" s="56"/>
      <c r="Q10" s="56"/>
      <c r="R10" s="56"/>
      <c r="S10" s="62"/>
    </row>
    <row r="11" spans="2:20" x14ac:dyDescent="0.3">
      <c r="B11" s="109" t="s">
        <v>64</v>
      </c>
      <c r="C11" s="56"/>
      <c r="D11" s="56"/>
      <c r="E11" s="56"/>
      <c r="F11" s="56">
        <f>'Historical FS'!D11</f>
        <v>0</v>
      </c>
      <c r="G11" s="56">
        <f>'Historical FS'!E11</f>
        <v>1835</v>
      </c>
      <c r="H11" s="56">
        <f>'Historical FS'!F11</f>
        <v>776</v>
      </c>
      <c r="I11" s="56">
        <f>'Historical FS'!G11</f>
        <v>1015</v>
      </c>
      <c r="J11" s="56">
        <f>'Historical FS'!H11</f>
        <v>1926</v>
      </c>
      <c r="K11" s="56">
        <f>'Historical FS'!I11</f>
        <v>2508</v>
      </c>
      <c r="L11" s="62">
        <f>'Historical FS'!J11</f>
        <v>2125</v>
      </c>
      <c r="M11" s="56"/>
      <c r="N11" s="56"/>
      <c r="O11" s="56"/>
      <c r="P11" s="56"/>
      <c r="Q11" s="56"/>
      <c r="R11" s="56"/>
      <c r="S11" s="62"/>
    </row>
    <row r="12" spans="2:20" x14ac:dyDescent="0.3">
      <c r="B12" s="109" t="s">
        <v>5</v>
      </c>
      <c r="C12" s="56"/>
      <c r="D12" s="56"/>
      <c r="E12" s="56"/>
      <c r="F12" s="56">
        <f>'Historical FS'!D10</f>
        <v>0</v>
      </c>
      <c r="G12" s="56">
        <f>'Historical FS'!E10</f>
        <v>190</v>
      </c>
      <c r="H12" s="56">
        <f>'Historical FS'!F10</f>
        <v>965</v>
      </c>
      <c r="I12" s="56">
        <f>'Historical FS'!G10</f>
        <v>1146</v>
      </c>
      <c r="J12" s="56">
        <f>'Historical FS'!H10</f>
        <v>1024</v>
      </c>
      <c r="K12" s="56">
        <f>'Historical FS'!I10</f>
        <v>0</v>
      </c>
      <c r="L12" s="62">
        <f>'Historical FS'!J10</f>
        <v>0</v>
      </c>
      <c r="M12" s="56"/>
      <c r="N12" s="56"/>
      <c r="O12" s="56"/>
      <c r="P12" s="56"/>
      <c r="Q12" s="56"/>
      <c r="R12" s="56"/>
      <c r="S12" s="62"/>
    </row>
    <row r="13" spans="2:20" x14ac:dyDescent="0.3">
      <c r="B13" s="109" t="s">
        <v>65</v>
      </c>
      <c r="C13" s="56"/>
      <c r="D13" s="56"/>
      <c r="E13" s="56"/>
      <c r="F13" s="56">
        <f>'Historical FS'!D12</f>
        <v>0</v>
      </c>
      <c r="G13" s="56">
        <f>'Historical FS'!E12</f>
        <v>0</v>
      </c>
      <c r="H13" s="56">
        <f>'Historical FS'!F12</f>
        <v>0</v>
      </c>
      <c r="I13" s="56">
        <f>'Historical FS'!G12</f>
        <v>0</v>
      </c>
      <c r="J13" s="56">
        <f>'Historical FS'!H12</f>
        <v>101</v>
      </c>
      <c r="K13" s="56">
        <f>'Historical FS'!I12</f>
        <v>118</v>
      </c>
      <c r="L13" s="62">
        <f>'Historical FS'!J12</f>
        <v>134</v>
      </c>
      <c r="M13" s="56"/>
      <c r="N13" s="56"/>
      <c r="O13" s="56"/>
      <c r="P13" s="56"/>
      <c r="Q13" s="56"/>
      <c r="R13" s="56"/>
      <c r="S13" s="62"/>
    </row>
    <row r="14" spans="2:20" x14ac:dyDescent="0.3">
      <c r="B14" s="109" t="s">
        <v>8</v>
      </c>
      <c r="C14" s="56"/>
      <c r="D14" s="56"/>
      <c r="E14" s="56"/>
      <c r="F14" s="107">
        <f>'Historical FS'!D13</f>
        <v>2622</v>
      </c>
      <c r="G14" s="107">
        <f>'Historical FS'!E13</f>
        <v>219</v>
      </c>
      <c r="H14" s="107">
        <f>'Historical FS'!F13</f>
        <v>89</v>
      </c>
      <c r="I14" s="107">
        <f>'Historical FS'!G13</f>
        <v>139</v>
      </c>
      <c r="J14" s="107">
        <f>'Historical FS'!H13</f>
        <v>0</v>
      </c>
      <c r="K14" s="107">
        <f>'Historical FS'!I13</f>
        <v>0</v>
      </c>
      <c r="L14" s="21">
        <f>'Historical FS'!J13</f>
        <v>0</v>
      </c>
      <c r="M14" s="56"/>
      <c r="N14" s="56"/>
      <c r="O14" s="56"/>
      <c r="P14" s="56"/>
      <c r="Q14" s="56"/>
      <c r="R14" s="56"/>
      <c r="S14" s="62"/>
    </row>
    <row r="15" spans="2:20" x14ac:dyDescent="0.3">
      <c r="B15" s="108" t="s">
        <v>66</v>
      </c>
      <c r="C15" s="52"/>
      <c r="D15" s="52"/>
      <c r="E15" s="52"/>
      <c r="F15" s="52">
        <f>SUM(F11:F14)</f>
        <v>2622</v>
      </c>
      <c r="G15" s="52">
        <f t="shared" ref="G15:L15" si="9">SUM(G11:G14)</f>
        <v>2244</v>
      </c>
      <c r="H15" s="52">
        <f t="shared" si="9"/>
        <v>1830</v>
      </c>
      <c r="I15" s="52">
        <f t="shared" si="9"/>
        <v>2300</v>
      </c>
      <c r="J15" s="52">
        <f t="shared" si="9"/>
        <v>3051</v>
      </c>
      <c r="K15" s="52">
        <f t="shared" si="9"/>
        <v>2626</v>
      </c>
      <c r="L15" s="61">
        <f t="shared" si="9"/>
        <v>2259</v>
      </c>
      <c r="M15" s="59">
        <f>'Supporting Schedules'!M18</f>
        <v>2255.3234426135364</v>
      </c>
      <c r="N15" s="59">
        <f>'Supporting Schedules'!N18</f>
        <v>2307.6401222124973</v>
      </c>
      <c r="O15" s="59">
        <f>'Supporting Schedules'!O18</f>
        <v>2408.5343056128359</v>
      </c>
      <c r="P15" s="59">
        <f>'Supporting Schedules'!P18</f>
        <v>2546.9777143821266</v>
      </c>
      <c r="Q15" s="59">
        <f>'Supporting Schedules'!Q18</f>
        <v>2702.4133509867625</v>
      </c>
      <c r="R15" s="59">
        <f>'Supporting Schedules'!R18</f>
        <v>2865.2149204803522</v>
      </c>
      <c r="S15" s="60">
        <f>'Supporting Schedules'!S18</f>
        <v>3051.5916166465991</v>
      </c>
    </row>
    <row r="16" spans="2:20" x14ac:dyDescent="0.3">
      <c r="B16" s="55"/>
      <c r="C16" s="56"/>
      <c r="D16" s="56"/>
      <c r="E16" s="56"/>
      <c r="F16" s="56"/>
      <c r="G16" s="56"/>
      <c r="H16" s="56"/>
      <c r="I16" s="56"/>
      <c r="J16" s="56"/>
      <c r="K16" s="56"/>
      <c r="L16" s="62"/>
      <c r="M16" s="56"/>
      <c r="N16" s="56"/>
      <c r="O16" s="56"/>
      <c r="P16" s="56"/>
      <c r="Q16" s="56"/>
      <c r="R16" s="56"/>
      <c r="S16" s="62"/>
    </row>
    <row r="17" spans="2:19" x14ac:dyDescent="0.3">
      <c r="B17" s="106" t="s">
        <v>67</v>
      </c>
      <c r="C17" s="56"/>
      <c r="D17" s="56"/>
      <c r="E17" s="56"/>
      <c r="F17" s="56"/>
      <c r="G17" s="56"/>
      <c r="H17" s="56"/>
      <c r="I17" s="56"/>
      <c r="J17" s="56"/>
      <c r="K17" s="56"/>
      <c r="L17" s="62"/>
      <c r="M17" s="56"/>
      <c r="N17" s="56"/>
      <c r="O17" s="56"/>
      <c r="P17" s="56"/>
      <c r="Q17" s="56"/>
      <c r="R17" s="56"/>
      <c r="S17" s="62"/>
    </row>
    <row r="18" spans="2:19" x14ac:dyDescent="0.3">
      <c r="B18" s="110" t="s">
        <v>10</v>
      </c>
      <c r="C18" s="56"/>
      <c r="D18" s="56"/>
      <c r="E18" s="56"/>
      <c r="F18" s="107">
        <f>'Historical FS'!D15</f>
        <v>2993</v>
      </c>
      <c r="G18" s="107">
        <f>'Historical FS'!E15</f>
        <v>5141</v>
      </c>
      <c r="H18" s="107">
        <f>'Historical FS'!F15</f>
        <v>6615</v>
      </c>
      <c r="I18" s="107">
        <f>'Historical FS'!G15</f>
        <v>5697</v>
      </c>
      <c r="J18" s="107">
        <f>'Historical FS'!H15</f>
        <v>5192</v>
      </c>
      <c r="K18" s="107">
        <f>'Historical FS'!I15</f>
        <v>8620</v>
      </c>
      <c r="L18" s="21">
        <f>'Historical FS'!J15</f>
        <v>7617</v>
      </c>
      <c r="M18" s="111">
        <f>Assumptions!M20*'P&amp;L'!M5/365</f>
        <v>9953.0619570785093</v>
      </c>
      <c r="N18" s="111">
        <f>Assumptions!N20*'P&amp;L'!N5/365</f>
        <v>11550.944814573846</v>
      </c>
      <c r="O18" s="111">
        <f>Assumptions!O20*'P&amp;L'!O5/365</f>
        <v>12702.676224221217</v>
      </c>
      <c r="P18" s="111">
        <f>Assumptions!P20*'P&amp;L'!P5/365</f>
        <v>13348.298263997403</v>
      </c>
      <c r="Q18" s="111">
        <f>Assumptions!Q20*'P&amp;L'!Q5/365</f>
        <v>13967.889379635695</v>
      </c>
      <c r="R18" s="111">
        <f>Assumptions!R20*'P&amp;L'!R5/365</f>
        <v>15050.351042875252</v>
      </c>
      <c r="S18" s="23">
        <f>Assumptions!S20*'P&amp;L'!S5/365</f>
        <v>16240.842078471951</v>
      </c>
    </row>
    <row r="19" spans="2:19" x14ac:dyDescent="0.3">
      <c r="B19" s="110" t="s">
        <v>11</v>
      </c>
      <c r="C19" s="56"/>
      <c r="D19" s="56"/>
      <c r="E19" s="56"/>
      <c r="F19" s="71">
        <f>'Historical FS'!D16</f>
        <v>38</v>
      </c>
      <c r="G19" s="71">
        <f>'Historical FS'!E16</f>
        <v>39</v>
      </c>
      <c r="H19" s="71">
        <f>'Historical FS'!F16</f>
        <v>36</v>
      </c>
      <c r="I19" s="71">
        <f>'Historical FS'!G16</f>
        <v>78</v>
      </c>
      <c r="J19" s="71">
        <f>'Historical FS'!H16</f>
        <v>58</v>
      </c>
      <c r="K19" s="71">
        <f>'Historical FS'!I16</f>
        <v>62</v>
      </c>
      <c r="L19" s="64">
        <f>'Historical FS'!J16</f>
        <v>0</v>
      </c>
      <c r="M19" s="71">
        <f>Assumptions!M21*'P&amp;L'!M4/365</f>
        <v>81.614241562567656</v>
      </c>
      <c r="N19" s="71">
        <f>Assumptions!N21*'P&amp;L'!N4/365</f>
        <v>89.240283056911835</v>
      </c>
      <c r="O19" s="71">
        <f>Assumptions!O21*'P&amp;L'!O4/365</f>
        <v>98.42290017531964</v>
      </c>
      <c r="P19" s="71">
        <f>Assumptions!P21*'P&amp;L'!P4/365</f>
        <v>109.56725301094529</v>
      </c>
      <c r="Q19" s="71">
        <f>Assumptions!Q21*'P&amp;L'!Q4/365</f>
        <v>101.61912648409466</v>
      </c>
      <c r="R19" s="71">
        <f>Assumptions!R21*'P&amp;L'!R4/365</f>
        <v>102.33507249574593</v>
      </c>
      <c r="S19" s="64">
        <f>Assumptions!S21*'P&amp;L'!S4/365</f>
        <v>109.51295043596713</v>
      </c>
    </row>
    <row r="20" spans="2:19" x14ac:dyDescent="0.3">
      <c r="B20" s="110" t="s">
        <v>12</v>
      </c>
      <c r="C20" s="56"/>
      <c r="D20" s="56"/>
      <c r="E20" s="56"/>
      <c r="F20" s="71">
        <f>'Historical FS'!D17</f>
        <v>434</v>
      </c>
      <c r="G20" s="71">
        <f>'Historical FS'!E17</f>
        <v>570</v>
      </c>
      <c r="H20" s="71">
        <f>'Historical FS'!F17</f>
        <v>891</v>
      </c>
      <c r="I20" s="71">
        <f>'Historical FS'!G17</f>
        <v>1139</v>
      </c>
      <c r="J20" s="71">
        <f>'Historical FS'!H17</f>
        <v>1708</v>
      </c>
      <c r="K20" s="71">
        <f>'Historical FS'!I17</f>
        <v>1565</v>
      </c>
      <c r="L20" s="64">
        <f>'Historical FS'!J17</f>
        <v>1755</v>
      </c>
      <c r="M20" s="71">
        <f>Assumptions!M22*'P&amp;L'!M5/365</f>
        <v>1820.3767675097645</v>
      </c>
      <c r="N20" s="71">
        <f>Assumptions!N22*'P&amp;L'!N5/365</f>
        <v>2158.6163517903187</v>
      </c>
      <c r="O20" s="71">
        <f>Assumptions!O22*'P&amp;L'!O5/365</f>
        <v>2529.2814404959709</v>
      </c>
      <c r="P20" s="71">
        <f>Assumptions!P22*'P&amp;L'!P5/365</f>
        <v>2829.4900410557975</v>
      </c>
      <c r="Q20" s="71">
        <f>Assumptions!Q22*'P&amp;L'!Q5/365</f>
        <v>2989.824119550547</v>
      </c>
      <c r="R20" s="71">
        <f>Assumptions!R22*'P&amp;L'!R5/365</f>
        <v>3010.0710647817573</v>
      </c>
      <c r="S20" s="64">
        <f>Assumptions!S22*'P&amp;L'!S5/365</f>
        <v>3291.1384732245374</v>
      </c>
    </row>
    <row r="21" spans="2:19" x14ac:dyDescent="0.3">
      <c r="B21" s="110" t="s">
        <v>68</v>
      </c>
      <c r="C21" s="56"/>
      <c r="D21" s="56"/>
      <c r="E21" s="56"/>
      <c r="F21" s="71">
        <f>SUM(F18:F20)</f>
        <v>3465</v>
      </c>
      <c r="G21" s="71">
        <f t="shared" ref="G21:L21" si="10">SUM(G18:G20)</f>
        <v>5750</v>
      </c>
      <c r="H21" s="71">
        <f t="shared" si="10"/>
        <v>7542</v>
      </c>
      <c r="I21" s="71">
        <f t="shared" si="10"/>
        <v>6914</v>
      </c>
      <c r="J21" s="71">
        <f t="shared" si="10"/>
        <v>6958</v>
      </c>
      <c r="K21" s="71">
        <f t="shared" si="10"/>
        <v>10247</v>
      </c>
      <c r="L21" s="64">
        <f t="shared" si="10"/>
        <v>9372</v>
      </c>
      <c r="M21" s="71">
        <f t="shared" ref="M21" si="11">SUM(M18:M20)</f>
        <v>11855.052966150841</v>
      </c>
      <c r="N21" s="71">
        <f t="shared" ref="N21" si="12">SUM(N18:N20)</f>
        <v>13798.801449421077</v>
      </c>
      <c r="O21" s="71">
        <f t="shared" ref="O21" si="13">SUM(O18:O20)</f>
        <v>15330.380564892508</v>
      </c>
      <c r="P21" s="71">
        <f t="shared" ref="P21" si="14">SUM(P18:P20)</f>
        <v>16287.355558064148</v>
      </c>
      <c r="Q21" s="71">
        <f t="shared" ref="Q21" si="15">SUM(Q18:Q20)</f>
        <v>17059.332625670337</v>
      </c>
      <c r="R21" s="71">
        <f t="shared" ref="R21" si="16">SUM(R18:R20)</f>
        <v>18162.757180152756</v>
      </c>
      <c r="S21" s="64">
        <f t="shared" ref="S21" si="17">SUM(S18:S20)</f>
        <v>19641.493502132456</v>
      </c>
    </row>
    <row r="22" spans="2:19" x14ac:dyDescent="0.3">
      <c r="B22" s="112" t="s">
        <v>69</v>
      </c>
      <c r="C22" s="52"/>
      <c r="D22" s="52"/>
      <c r="E22" s="52"/>
      <c r="F22" s="68">
        <f>F21+F15</f>
        <v>6087</v>
      </c>
      <c r="G22" s="68">
        <f t="shared" ref="G22:L22" si="18">G21+G15</f>
        <v>7994</v>
      </c>
      <c r="H22" s="68">
        <f t="shared" si="18"/>
        <v>9372</v>
      </c>
      <c r="I22" s="68">
        <f t="shared" si="18"/>
        <v>9214</v>
      </c>
      <c r="J22" s="68">
        <f t="shared" si="18"/>
        <v>10009</v>
      </c>
      <c r="K22" s="68">
        <f t="shared" si="18"/>
        <v>12873</v>
      </c>
      <c r="L22" s="69">
        <f t="shared" si="18"/>
        <v>11631</v>
      </c>
      <c r="M22" s="68">
        <f t="shared" ref="M22" si="19">M21+M15</f>
        <v>14110.376408764378</v>
      </c>
      <c r="N22" s="68">
        <f t="shared" ref="N22" si="20">N21+N15</f>
        <v>16106.441571633573</v>
      </c>
      <c r="O22" s="68">
        <f t="shared" ref="O22" si="21">O21+O15</f>
        <v>17738.914870505345</v>
      </c>
      <c r="P22" s="68">
        <f t="shared" ref="P22" si="22">P21+P15</f>
        <v>18834.333272446274</v>
      </c>
      <c r="Q22" s="68">
        <f t="shared" ref="Q22" si="23">Q21+Q15</f>
        <v>19761.745976657097</v>
      </c>
      <c r="R22" s="68">
        <f t="shared" ref="R22" si="24">R21+R15</f>
        <v>21027.972100633109</v>
      </c>
      <c r="S22" s="69">
        <f t="shared" ref="S22" si="25">S21+S15</f>
        <v>22693.085118779054</v>
      </c>
    </row>
    <row r="23" spans="2:19" x14ac:dyDescent="0.3">
      <c r="B23" s="55"/>
      <c r="C23" s="56"/>
      <c r="D23" s="56"/>
      <c r="E23" s="56"/>
      <c r="F23" s="71"/>
      <c r="G23" s="71"/>
      <c r="H23" s="71"/>
      <c r="I23" s="71"/>
      <c r="J23" s="71"/>
      <c r="K23" s="71"/>
      <c r="L23" s="64"/>
      <c r="M23" s="71"/>
      <c r="N23" s="71"/>
      <c r="O23" s="71"/>
      <c r="P23" s="71"/>
      <c r="Q23" s="71"/>
      <c r="R23" s="71"/>
      <c r="S23" s="64"/>
    </row>
    <row r="24" spans="2:19" x14ac:dyDescent="0.3">
      <c r="B24" s="113" t="s">
        <v>70</v>
      </c>
      <c r="C24" s="56"/>
      <c r="D24" s="56"/>
      <c r="E24" s="56"/>
      <c r="F24" s="71"/>
      <c r="G24" s="71"/>
      <c r="H24" s="71"/>
      <c r="I24" s="71"/>
      <c r="J24" s="71"/>
      <c r="K24" s="71"/>
      <c r="L24" s="64"/>
      <c r="M24" s="71"/>
      <c r="N24" s="71"/>
      <c r="O24" s="71"/>
      <c r="P24" s="71"/>
      <c r="Q24" s="71"/>
      <c r="R24" s="71"/>
      <c r="S24" s="64"/>
    </row>
    <row r="25" spans="2:19" x14ac:dyDescent="0.3">
      <c r="B25" s="55"/>
      <c r="C25" s="56"/>
      <c r="D25" s="56"/>
      <c r="E25" s="56"/>
      <c r="F25" s="71"/>
      <c r="G25" s="71"/>
      <c r="H25" s="71"/>
      <c r="I25" s="71"/>
      <c r="J25" s="71"/>
      <c r="K25" s="71"/>
      <c r="L25" s="64"/>
      <c r="M25" s="71"/>
      <c r="N25" s="71"/>
      <c r="O25" s="71"/>
      <c r="P25" s="71"/>
      <c r="Q25" s="71"/>
      <c r="R25" s="71"/>
      <c r="S25" s="64"/>
    </row>
    <row r="26" spans="2:19" x14ac:dyDescent="0.3">
      <c r="B26" s="110" t="s">
        <v>14</v>
      </c>
      <c r="C26" s="56"/>
      <c r="D26" s="56"/>
      <c r="E26" s="56"/>
      <c r="F26" s="71">
        <f>'Historical FS'!D19</f>
        <v>1950</v>
      </c>
      <c r="G26" s="71">
        <f>'Historical FS'!E19</f>
        <v>2273</v>
      </c>
      <c r="H26" s="71">
        <f>'Historical FS'!F19</f>
        <v>2954</v>
      </c>
      <c r="I26" s="71">
        <f>'Historical FS'!G19</f>
        <v>3759</v>
      </c>
      <c r="J26" s="71">
        <f>'Historical FS'!H19</f>
        <v>3702</v>
      </c>
      <c r="K26" s="71">
        <f>'Historical FS'!I19</f>
        <v>4146</v>
      </c>
      <c r="L26" s="64">
        <f>'Historical FS'!J19</f>
        <v>4377</v>
      </c>
      <c r="M26" s="71"/>
      <c r="N26" s="71"/>
      <c r="O26" s="71"/>
      <c r="P26" s="71"/>
      <c r="Q26" s="71"/>
      <c r="R26" s="71"/>
      <c r="S26" s="64"/>
    </row>
    <row r="27" spans="2:19" x14ac:dyDescent="0.3">
      <c r="B27" s="110" t="s">
        <v>26</v>
      </c>
      <c r="C27" s="56"/>
      <c r="D27" s="56"/>
      <c r="E27" s="56"/>
      <c r="F27" s="71">
        <f>'Historical FS'!D31</f>
        <v>70</v>
      </c>
      <c r="G27" s="71">
        <f>'Historical FS'!E31</f>
        <v>443</v>
      </c>
      <c r="H27" s="71">
        <f>'Historical FS'!F31</f>
        <v>570</v>
      </c>
      <c r="I27" s="71">
        <f>'Historical FS'!G31</f>
        <v>325</v>
      </c>
      <c r="J27" s="71">
        <f>'Historical FS'!H31</f>
        <v>531</v>
      </c>
      <c r="K27" s="71">
        <f>'Historical FS'!I31</f>
        <v>363</v>
      </c>
      <c r="L27" s="64">
        <f>'Historical FS'!J31</f>
        <v>323</v>
      </c>
      <c r="M27" s="71"/>
      <c r="N27" s="71"/>
      <c r="O27" s="71"/>
      <c r="P27" s="71"/>
      <c r="Q27" s="71"/>
      <c r="R27" s="71"/>
      <c r="S27" s="64"/>
    </row>
    <row r="28" spans="2:19" x14ac:dyDescent="0.3">
      <c r="B28" s="108" t="s">
        <v>71</v>
      </c>
      <c r="C28" s="52"/>
      <c r="D28" s="52"/>
      <c r="E28" s="52"/>
      <c r="F28" s="68">
        <f>SUM(F26:F27)</f>
        <v>2020</v>
      </c>
      <c r="G28" s="68">
        <f t="shared" ref="G28:L28" si="26">SUM(G26:G27)</f>
        <v>2716</v>
      </c>
      <c r="H28" s="68">
        <f t="shared" si="26"/>
        <v>3524</v>
      </c>
      <c r="I28" s="68">
        <f t="shared" si="26"/>
        <v>4084</v>
      </c>
      <c r="J28" s="68">
        <f t="shared" si="26"/>
        <v>4233</v>
      </c>
      <c r="K28" s="68">
        <f t="shared" si="26"/>
        <v>4509</v>
      </c>
      <c r="L28" s="69">
        <f t="shared" si="26"/>
        <v>4700</v>
      </c>
      <c r="M28" s="68">
        <f>'Supporting Schedules'!M8</f>
        <v>5420.9801721708691</v>
      </c>
      <c r="N28" s="68">
        <f>'Supporting Schedules'!N8</f>
        <v>6225.24408950201</v>
      </c>
      <c r="O28" s="68">
        <f>'Supporting Schedules'!O8</f>
        <v>7111.1284348127501</v>
      </c>
      <c r="P28" s="68">
        <f>'Supporting Schedules'!P8</f>
        <v>8071.8461946047155</v>
      </c>
      <c r="Q28" s="68">
        <f>'Supporting Schedules'!Q8</f>
        <v>9067.273487305185</v>
      </c>
      <c r="R28" s="68">
        <f>'Supporting Schedules'!R8</f>
        <v>10081.983878068673</v>
      </c>
      <c r="S28" s="69">
        <f>'Supporting Schedules'!S8</f>
        <v>11161.830450402731</v>
      </c>
    </row>
    <row r="29" spans="2:19" x14ac:dyDescent="0.3">
      <c r="B29" s="110" t="s">
        <v>27</v>
      </c>
      <c r="C29" s="56"/>
      <c r="D29" s="56"/>
      <c r="E29" s="56"/>
      <c r="F29" s="71">
        <f>'Historical FS'!D32</f>
        <v>52</v>
      </c>
      <c r="G29" s="71">
        <f>'Historical FS'!E32</f>
        <v>53</v>
      </c>
      <c r="H29" s="71">
        <f>'Historical FS'!F32</f>
        <v>54</v>
      </c>
      <c r="I29" s="71">
        <f>'Historical FS'!G32</f>
        <v>55</v>
      </c>
      <c r="J29" s="71">
        <f>'Historical FS'!H32</f>
        <v>106</v>
      </c>
      <c r="K29" s="71">
        <f>'Historical FS'!I32</f>
        <v>286</v>
      </c>
      <c r="L29" s="64">
        <f>'Historical FS'!J32</f>
        <v>288</v>
      </c>
      <c r="M29" s="71">
        <f>Assumptions!M19*'P&amp;L'!M4</f>
        <v>132.47063944630654</v>
      </c>
      <c r="N29" s="71">
        <f>Assumptions!N19*'P&amp;L'!N4</f>
        <v>148.80554190944648</v>
      </c>
      <c r="O29" s="71">
        <f>Assumptions!O19*'P&amp;L'!O4</f>
        <v>166.25871897533659</v>
      </c>
      <c r="P29" s="71">
        <f>Assumptions!P19*'P&amp;L'!P4</f>
        <v>183.32382328907084</v>
      </c>
      <c r="Q29" s="71">
        <f>Assumptions!Q19*'P&amp;L'!Q4</f>
        <v>196.53203357551379</v>
      </c>
      <c r="R29" s="71">
        <f>Assumptions!R19*'P&amp;L'!R4</f>
        <v>207.89921723580554</v>
      </c>
      <c r="S29" s="64">
        <f>Assumptions!S19*'P&amp;L'!S4</f>
        <v>224.49352362763452</v>
      </c>
    </row>
    <row r="30" spans="2:19" x14ac:dyDescent="0.3">
      <c r="B30" s="55"/>
      <c r="C30" s="56"/>
      <c r="D30" s="56"/>
      <c r="E30" s="56"/>
      <c r="F30" s="71"/>
      <c r="G30" s="71"/>
      <c r="H30" s="71"/>
      <c r="I30" s="71"/>
      <c r="J30" s="71"/>
      <c r="K30" s="71"/>
      <c r="L30" s="64"/>
      <c r="M30" s="71"/>
      <c r="N30" s="71"/>
      <c r="O30" s="71"/>
      <c r="P30" s="71"/>
      <c r="Q30" s="71"/>
      <c r="R30" s="71"/>
      <c r="S30" s="64"/>
    </row>
    <row r="31" spans="2:19" x14ac:dyDescent="0.3">
      <c r="B31" s="113" t="s">
        <v>72</v>
      </c>
      <c r="C31" s="56"/>
      <c r="D31" s="56"/>
      <c r="E31" s="56"/>
      <c r="F31" s="71"/>
      <c r="G31" s="71"/>
      <c r="H31" s="71"/>
      <c r="I31" s="71"/>
      <c r="J31" s="71"/>
      <c r="K31" s="71"/>
      <c r="L31" s="64"/>
      <c r="M31" s="71"/>
      <c r="N31" s="71"/>
      <c r="O31" s="71"/>
      <c r="P31" s="71"/>
      <c r="Q31" s="71"/>
      <c r="R31" s="71"/>
      <c r="S31" s="64"/>
    </row>
    <row r="32" spans="2:19" x14ac:dyDescent="0.3">
      <c r="B32" s="110" t="s">
        <v>29</v>
      </c>
      <c r="C32" s="56"/>
      <c r="D32" s="56"/>
      <c r="E32" s="56"/>
      <c r="F32" s="71">
        <f>'Historical FS'!D34</f>
        <v>2896</v>
      </c>
      <c r="G32" s="71">
        <f>'Historical FS'!E34</f>
        <v>3748</v>
      </c>
      <c r="H32" s="71">
        <f>'Historical FS'!F34</f>
        <v>4042</v>
      </c>
      <c r="I32" s="71">
        <f>'Historical FS'!G34</f>
        <v>3826</v>
      </c>
      <c r="J32" s="71">
        <f>'Historical FS'!H34</f>
        <v>4778</v>
      </c>
      <c r="K32" s="71">
        <f>'Historical FS'!I34</f>
        <v>7376</v>
      </c>
      <c r="L32" s="64">
        <f>'Historical FS'!J34</f>
        <v>7096</v>
      </c>
      <c r="M32" s="71">
        <f>Assumptions!M16*'P&amp;L'!M4/365</f>
        <v>7823.1607670334179</v>
      </c>
      <c r="N32" s="71">
        <f>Assumptions!N16*'P&amp;L'!N4/365</f>
        <v>8859.3327335824506</v>
      </c>
      <c r="O32" s="71">
        <f>Assumptions!O16*'P&amp;L'!O4/365</f>
        <v>9820.2000131735622</v>
      </c>
      <c r="P32" s="71">
        <f>Assumptions!P16*'P&amp;L'!P4/365</f>
        <v>10751.332516332504</v>
      </c>
      <c r="Q32" s="71">
        <f>Assumptions!Q16*'P&amp;L'!Q4/365</f>
        <v>11572.339628079457</v>
      </c>
      <c r="R32" s="71">
        <f>Assumptions!R16*'P&amp;L'!R4/365</f>
        <v>12300.200908754319</v>
      </c>
      <c r="S32" s="64">
        <f>Assumptions!S16*'P&amp;L'!S4/365</f>
        <v>13183.543793712875</v>
      </c>
    </row>
    <row r="33" spans="2:19" x14ac:dyDescent="0.3">
      <c r="B33" s="110" t="s">
        <v>30</v>
      </c>
      <c r="C33" s="56"/>
      <c r="D33" s="56"/>
      <c r="E33" s="56"/>
      <c r="F33" s="71">
        <f>'Historical FS'!D35</f>
        <v>842</v>
      </c>
      <c r="G33" s="71">
        <f>'Historical FS'!E35</f>
        <v>1212</v>
      </c>
      <c r="H33" s="71">
        <f>'Historical FS'!F35</f>
        <v>1262</v>
      </c>
      <c r="I33" s="71">
        <f>'Historical FS'!G35</f>
        <v>921</v>
      </c>
      <c r="J33" s="71">
        <f>'Historical FS'!H35</f>
        <v>1515</v>
      </c>
      <c r="K33" s="71">
        <f>'Historical FS'!I35</f>
        <v>2142</v>
      </c>
      <c r="L33" s="64">
        <f>'Historical FS'!J35</f>
        <v>1937</v>
      </c>
      <c r="M33" s="71">
        <f>Assumptions!M17*'P&amp;L'!M4/365</f>
        <v>2293.4595752194045</v>
      </c>
      <c r="N33" s="71">
        <f>Assumptions!N17*'P&amp;L'!N4/365</f>
        <v>2600.0880383368813</v>
      </c>
      <c r="O33" s="71">
        <f>Assumptions!O17*'P&amp;L'!O4/365</f>
        <v>2837.4892225628264</v>
      </c>
      <c r="P33" s="71">
        <f>Assumptions!P17*'P&amp;L'!P4/365</f>
        <v>3068.7384965879778</v>
      </c>
      <c r="Q33" s="71">
        <f>Assumptions!Q17*'P&amp;L'!Q4/365</f>
        <v>3374.6169331462938</v>
      </c>
      <c r="R33" s="71">
        <f>Assumptions!R17*'P&amp;L'!R4/365</f>
        <v>3543.8215175518835</v>
      </c>
      <c r="S33" s="64">
        <f>Assumptions!S17*'P&amp;L'!S4/365</f>
        <v>3793.7507761343518</v>
      </c>
    </row>
    <row r="34" spans="2:19" x14ac:dyDescent="0.3">
      <c r="B34" s="110" t="s">
        <v>31</v>
      </c>
      <c r="C34" s="56"/>
      <c r="D34" s="56"/>
      <c r="E34" s="56"/>
      <c r="F34" s="71">
        <f>'Historical FS'!D36</f>
        <v>894</v>
      </c>
      <c r="G34" s="71">
        <f>'Historical FS'!E36</f>
        <v>1060</v>
      </c>
      <c r="H34" s="71">
        <f>'Historical FS'!F36</f>
        <v>1189</v>
      </c>
      <c r="I34" s="71">
        <f>'Historical FS'!G36</f>
        <v>1416</v>
      </c>
      <c r="J34" s="71">
        <f>'Historical FS'!H36</f>
        <v>1188</v>
      </c>
      <c r="K34" s="71">
        <f>'Historical FS'!I36</f>
        <v>4446</v>
      </c>
      <c r="L34" s="64">
        <f>'Historical FS'!J36</f>
        <v>3534</v>
      </c>
      <c r="M34" s="71">
        <f>'Cash Flow Statement'!M35</f>
        <v>5444.1128380225882</v>
      </c>
      <c r="N34" s="71">
        <f>'Cash Flow Statement'!N35</f>
        <v>6167.4705562123745</v>
      </c>
      <c r="O34" s="71">
        <f>'Cash Flow Statement'!O35</f>
        <v>6759.7328556445345</v>
      </c>
      <c r="P34" s="71">
        <f>'Cash Flow Statement'!P35</f>
        <v>7092.1821411708197</v>
      </c>
      <c r="Q34" s="71">
        <f>'Cash Flow Statement'!Q35</f>
        <v>7315.7441209975905</v>
      </c>
      <c r="R34" s="71">
        <f>'Cash Flow Statement'!R35</f>
        <v>8044.3222915701517</v>
      </c>
      <c r="S34" s="64">
        <f>'Cash Flow Statement'!S35</f>
        <v>8866.9640952284281</v>
      </c>
    </row>
    <row r="35" spans="2:19" x14ac:dyDescent="0.3">
      <c r="B35" s="110" t="s">
        <v>32</v>
      </c>
      <c r="C35" s="56"/>
      <c r="D35" s="56"/>
      <c r="E35" s="56"/>
      <c r="F35" s="71">
        <f>'Historical FS'!D37</f>
        <v>54</v>
      </c>
      <c r="G35" s="71">
        <f>'Historical FS'!E37</f>
        <v>50</v>
      </c>
      <c r="H35" s="71">
        <f>'Historical FS'!F37</f>
        <v>0</v>
      </c>
      <c r="I35" s="71">
        <f>'Historical FS'!G37</f>
        <v>55</v>
      </c>
      <c r="J35" s="71">
        <f>'Historical FS'!H37</f>
        <v>55</v>
      </c>
      <c r="K35" s="71">
        <f>'Historical FS'!I37</f>
        <v>55</v>
      </c>
      <c r="L35" s="64">
        <f>'Historical FS'!J37</f>
        <v>3</v>
      </c>
      <c r="M35" s="71">
        <v>0</v>
      </c>
      <c r="N35" s="71">
        <v>0</v>
      </c>
      <c r="O35" s="71">
        <v>0</v>
      </c>
      <c r="P35" s="71">
        <v>0</v>
      </c>
      <c r="Q35" s="71">
        <v>0</v>
      </c>
      <c r="R35" s="71">
        <v>0</v>
      </c>
      <c r="S35" s="64">
        <v>0</v>
      </c>
    </row>
    <row r="36" spans="2:19" x14ac:dyDescent="0.3">
      <c r="B36" s="110" t="s">
        <v>33</v>
      </c>
      <c r="C36" s="56"/>
      <c r="D36" s="56"/>
      <c r="E36" s="56"/>
      <c r="F36" s="71">
        <f>'Historical FS'!D38</f>
        <v>608</v>
      </c>
      <c r="G36" s="71">
        <f>'Historical FS'!E38</f>
        <v>810</v>
      </c>
      <c r="H36" s="71">
        <f>'Historical FS'!F38</f>
        <v>1320</v>
      </c>
      <c r="I36" s="71">
        <f>'Historical FS'!G38</f>
        <v>1268</v>
      </c>
      <c r="J36" s="71">
        <f>'Historical FS'!H38</f>
        <v>1201</v>
      </c>
      <c r="K36" s="71">
        <f>'Historical FS'!I38</f>
        <v>1437</v>
      </c>
      <c r="L36" s="64">
        <f>'Historical FS'!J38</f>
        <v>2061</v>
      </c>
      <c r="M36" s="71">
        <f>Assumptions!M18*'P&amp;L'!M4/365</f>
        <v>2030.8390796030658</v>
      </c>
      <c r="N36" s="71">
        <f>Assumptions!N18*'P&amp;L'!N4/365</f>
        <v>2358.6011716565595</v>
      </c>
      <c r="O36" s="71">
        <f>Assumptions!O18*'P&amp;L'!O4/365</f>
        <v>2689.1934328025113</v>
      </c>
      <c r="P36" s="71">
        <f>Assumptions!P18*'P&amp;L'!P4/365</f>
        <v>2858.5625816706711</v>
      </c>
      <c r="Q36" s="71">
        <f>Assumptions!Q18*'P&amp;L'!Q4/365</f>
        <v>2971.9815155091305</v>
      </c>
      <c r="R36" s="71">
        <f>Assumptions!R18*'P&amp;L'!R4/365</f>
        <v>3168.1335066591851</v>
      </c>
      <c r="S36" s="64">
        <f>Assumptions!S18*'P&amp;L'!S4/365</f>
        <v>3520.8883043168225</v>
      </c>
    </row>
    <row r="37" spans="2:19" x14ac:dyDescent="0.3">
      <c r="B37" s="112" t="s">
        <v>73</v>
      </c>
      <c r="C37" s="51"/>
      <c r="D37" s="51"/>
      <c r="E37" s="51"/>
      <c r="F37" s="65">
        <f>SUM(F32:F36)</f>
        <v>5294</v>
      </c>
      <c r="G37" s="65">
        <f t="shared" ref="G37:L37" si="27">SUM(G32:G36)</f>
        <v>6880</v>
      </c>
      <c r="H37" s="65">
        <f t="shared" si="27"/>
        <v>7813</v>
      </c>
      <c r="I37" s="65">
        <f t="shared" si="27"/>
        <v>7486</v>
      </c>
      <c r="J37" s="65">
        <f t="shared" si="27"/>
        <v>8737</v>
      </c>
      <c r="K37" s="65">
        <f t="shared" si="27"/>
        <v>15456</v>
      </c>
      <c r="L37" s="66">
        <f t="shared" si="27"/>
        <v>14631</v>
      </c>
      <c r="M37" s="65">
        <f t="shared" ref="M37" si="28">SUM(M32:M36)</f>
        <v>17591.572259878478</v>
      </c>
      <c r="N37" s="65">
        <f t="shared" ref="N37" si="29">SUM(N32:N36)</f>
        <v>19985.492499788266</v>
      </c>
      <c r="O37" s="65">
        <f t="shared" ref="O37" si="30">SUM(O32:O36)</f>
        <v>22106.615524183435</v>
      </c>
      <c r="P37" s="65">
        <f t="shared" ref="P37" si="31">SUM(P32:P36)</f>
        <v>23770.815735761971</v>
      </c>
      <c r="Q37" s="65">
        <f t="shared" ref="Q37" si="32">SUM(Q32:Q36)</f>
        <v>25234.682197732473</v>
      </c>
      <c r="R37" s="65">
        <f t="shared" ref="R37" si="33">SUM(R32:R36)</f>
        <v>27056.478224535538</v>
      </c>
      <c r="S37" s="66">
        <f t="shared" ref="S37" si="34">SUM(S32:S36)</f>
        <v>29365.146969392481</v>
      </c>
    </row>
    <row r="38" spans="2:19" x14ac:dyDescent="0.3">
      <c r="B38" s="55"/>
      <c r="C38" s="56"/>
      <c r="D38" s="56"/>
      <c r="E38" s="56"/>
      <c r="F38" s="71"/>
      <c r="G38" s="71"/>
      <c r="H38" s="71"/>
      <c r="I38" s="71"/>
      <c r="J38" s="71"/>
      <c r="K38" s="71"/>
      <c r="L38" s="64"/>
      <c r="M38" s="71"/>
      <c r="N38" s="71"/>
      <c r="O38" s="71"/>
      <c r="P38" s="71"/>
      <c r="Q38" s="71"/>
      <c r="R38" s="71"/>
      <c r="S38" s="64"/>
    </row>
    <row r="39" spans="2:19" x14ac:dyDescent="0.3">
      <c r="B39" s="112" t="s">
        <v>34</v>
      </c>
      <c r="C39" s="51"/>
      <c r="D39" s="51"/>
      <c r="E39" s="51"/>
      <c r="F39" s="68">
        <f>F37+F29+F28</f>
        <v>7366</v>
      </c>
      <c r="G39" s="68">
        <f t="shared" ref="G39:S39" si="35">G37+G29+G28</f>
        <v>9649</v>
      </c>
      <c r="H39" s="68">
        <f t="shared" si="35"/>
        <v>11391</v>
      </c>
      <c r="I39" s="68">
        <f t="shared" si="35"/>
        <v>11625</v>
      </c>
      <c r="J39" s="68">
        <f t="shared" si="35"/>
        <v>13076</v>
      </c>
      <c r="K39" s="68">
        <f t="shared" si="35"/>
        <v>20251</v>
      </c>
      <c r="L39" s="69">
        <f t="shared" si="35"/>
        <v>19619</v>
      </c>
      <c r="M39" s="68">
        <f t="shared" si="35"/>
        <v>23145.023071495652</v>
      </c>
      <c r="N39" s="68">
        <f t="shared" si="35"/>
        <v>26359.54213119972</v>
      </c>
      <c r="O39" s="68">
        <f t="shared" si="35"/>
        <v>29384.002677971519</v>
      </c>
      <c r="P39" s="68">
        <f t="shared" si="35"/>
        <v>32025.985753655761</v>
      </c>
      <c r="Q39" s="68">
        <f t="shared" si="35"/>
        <v>34498.487718613171</v>
      </c>
      <c r="R39" s="68">
        <f t="shared" si="35"/>
        <v>37346.361319840013</v>
      </c>
      <c r="S39" s="69">
        <f t="shared" si="35"/>
        <v>40751.47094342285</v>
      </c>
    </row>
    <row r="40" spans="2:19" x14ac:dyDescent="0.3">
      <c r="B40" s="55"/>
      <c r="C40" s="56"/>
      <c r="D40" s="56"/>
      <c r="E40" s="56"/>
      <c r="F40" s="71"/>
      <c r="G40" s="71"/>
      <c r="H40" s="71"/>
      <c r="I40" s="71"/>
      <c r="J40" s="71"/>
      <c r="K40" s="71"/>
      <c r="L40" s="64"/>
      <c r="M40" s="71"/>
      <c r="N40" s="71"/>
      <c r="O40" s="71"/>
      <c r="P40" s="71"/>
      <c r="Q40" s="71"/>
      <c r="R40" s="71"/>
      <c r="S40" s="64"/>
    </row>
    <row r="41" spans="2:19" x14ac:dyDescent="0.3">
      <c r="B41" s="95" t="s">
        <v>74</v>
      </c>
      <c r="C41" s="53"/>
      <c r="D41" s="53"/>
      <c r="E41" s="53"/>
      <c r="F41" s="114">
        <f>F39-F22-F7</f>
        <v>-1</v>
      </c>
      <c r="G41" s="114">
        <f t="shared" ref="G41:S41" si="36">G39-G22-G7</f>
        <v>1</v>
      </c>
      <c r="H41" s="114">
        <f t="shared" si="36"/>
        <v>0</v>
      </c>
      <c r="I41" s="114">
        <f t="shared" si="36"/>
        <v>-1</v>
      </c>
      <c r="J41" s="114">
        <f t="shared" si="36"/>
        <v>1</v>
      </c>
      <c r="K41" s="114">
        <f t="shared" si="36"/>
        <v>0</v>
      </c>
      <c r="L41" s="115">
        <f t="shared" si="36"/>
        <v>0</v>
      </c>
      <c r="M41" s="114">
        <f t="shared" si="36"/>
        <v>0</v>
      </c>
      <c r="N41" s="114">
        <f t="shared" si="36"/>
        <v>0</v>
      </c>
      <c r="O41" s="114">
        <f t="shared" si="36"/>
        <v>0</v>
      </c>
      <c r="P41" s="114">
        <f t="shared" si="36"/>
        <v>0</v>
      </c>
      <c r="Q41" s="114">
        <f t="shared" si="36"/>
        <v>0</v>
      </c>
      <c r="R41" s="114">
        <f t="shared" si="36"/>
        <v>0</v>
      </c>
      <c r="S41" s="115">
        <f t="shared" si="36"/>
        <v>0</v>
      </c>
    </row>
  </sheetData>
  <sheetProtection password="C58F" sheet="1" objects="1" scenarios="1"/>
  <customSheetViews>
    <customSheetView guid="{0D1F9D0C-3063-4A9B-A68D-79FADEF997F9}" showGridLines="0">
      <pane ySplit="2" topLeftCell="A15" activePane="bottomLeft" state="frozen"/>
      <selection pane="bottomLeft" activeCell="U21" sqref="U21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37"/>
  <sheetViews>
    <sheetView showGridLines="0" workbookViewId="0">
      <pane ySplit="2" topLeftCell="A14" activePane="bottomLeft" state="frozen"/>
      <selection pane="bottomLeft" activeCell="F42" sqref="F42"/>
    </sheetView>
  </sheetViews>
  <sheetFormatPr defaultRowHeight="14.4" x14ac:dyDescent="0.3"/>
  <cols>
    <col min="1" max="1" width="1.88671875" customWidth="1"/>
  </cols>
  <sheetData>
    <row r="2" spans="2:19" x14ac:dyDescent="0.3">
      <c r="B2" s="123" t="s">
        <v>105</v>
      </c>
      <c r="C2" s="133"/>
      <c r="D2" s="133"/>
      <c r="E2" s="133"/>
      <c r="F2" s="125">
        <f>'Supporting Schedules'!F2</f>
        <v>42795</v>
      </c>
      <c r="G2" s="125">
        <f>'Supporting Schedules'!G2</f>
        <v>43160</v>
      </c>
      <c r="H2" s="125">
        <f>'Supporting Schedules'!H2</f>
        <v>43525</v>
      </c>
      <c r="I2" s="125">
        <f>'Supporting Schedules'!I2</f>
        <v>43891</v>
      </c>
      <c r="J2" s="125">
        <f>'Supporting Schedules'!J2</f>
        <v>44256</v>
      </c>
      <c r="K2" s="125">
        <f>'Supporting Schedules'!K2</f>
        <v>44621</v>
      </c>
      <c r="L2" s="126">
        <f>'Supporting Schedules'!L2</f>
        <v>44986</v>
      </c>
      <c r="M2" s="125">
        <f>'Supporting Schedules'!M2</f>
        <v>45352</v>
      </c>
      <c r="N2" s="125">
        <f>'Supporting Schedules'!N2</f>
        <v>45718</v>
      </c>
      <c r="O2" s="125">
        <f>'Supporting Schedules'!O2</f>
        <v>46084</v>
      </c>
      <c r="P2" s="125">
        <f>'Supporting Schedules'!P2</f>
        <v>46450</v>
      </c>
      <c r="Q2" s="125">
        <f>'Supporting Schedules'!Q2</f>
        <v>46816</v>
      </c>
      <c r="R2" s="125">
        <f>'Supporting Schedules'!R2</f>
        <v>47182</v>
      </c>
      <c r="S2" s="126">
        <f>'Supporting Schedules'!S2</f>
        <v>47548</v>
      </c>
    </row>
    <row r="3" spans="2:19" x14ac:dyDescent="0.3">
      <c r="B3" s="134" t="s">
        <v>451</v>
      </c>
      <c r="C3" s="56"/>
      <c r="D3" s="56"/>
      <c r="E3" s="56"/>
      <c r="F3" s="56"/>
      <c r="G3" s="56"/>
      <c r="H3" s="56"/>
      <c r="I3" s="56"/>
      <c r="J3" s="56"/>
      <c r="K3" s="56"/>
      <c r="L3" s="62"/>
      <c r="M3" s="56"/>
      <c r="N3" s="56"/>
      <c r="O3" s="56"/>
      <c r="P3" s="56"/>
      <c r="Q3" s="56"/>
      <c r="R3" s="56"/>
      <c r="S3" s="62"/>
    </row>
    <row r="4" spans="2:19" x14ac:dyDescent="0.3">
      <c r="B4" s="138" t="s">
        <v>106</v>
      </c>
      <c r="C4" s="139"/>
      <c r="D4" s="139"/>
      <c r="E4" s="139"/>
      <c r="F4" s="56"/>
      <c r="G4" s="56"/>
      <c r="H4" s="56"/>
      <c r="I4" s="56"/>
      <c r="J4" s="56"/>
      <c r="K4" s="56"/>
      <c r="L4" s="62"/>
      <c r="M4" s="56"/>
      <c r="N4" s="56"/>
      <c r="O4" s="56"/>
      <c r="P4" s="56"/>
      <c r="Q4" s="56"/>
      <c r="R4" s="56"/>
      <c r="S4" s="62"/>
    </row>
    <row r="5" spans="2:19" x14ac:dyDescent="0.3">
      <c r="B5" s="55"/>
      <c r="C5" s="56"/>
      <c r="D5" s="56"/>
      <c r="E5" s="56"/>
      <c r="F5" s="56"/>
      <c r="G5" s="56"/>
      <c r="H5" s="56"/>
      <c r="I5" s="56"/>
      <c r="J5" s="56"/>
      <c r="K5" s="56"/>
      <c r="L5" s="62"/>
      <c r="M5" s="56"/>
      <c r="N5" s="56"/>
      <c r="O5" s="56"/>
      <c r="P5" s="56"/>
      <c r="Q5" s="56"/>
      <c r="R5" s="56"/>
      <c r="S5" s="62"/>
    </row>
    <row r="6" spans="2:19" x14ac:dyDescent="0.3">
      <c r="B6" s="106" t="s">
        <v>54</v>
      </c>
      <c r="C6" s="116"/>
      <c r="D6" s="116"/>
      <c r="E6" s="116"/>
      <c r="F6" s="140">
        <f>'P&amp;L'!F15</f>
        <v>348</v>
      </c>
      <c r="G6" s="140">
        <f>'P&amp;L'!G15</f>
        <v>565</v>
      </c>
      <c r="H6" s="140">
        <f>'P&amp;L'!H15</f>
        <v>569</v>
      </c>
      <c r="I6" s="140">
        <f>'P&amp;L'!I15</f>
        <v>609</v>
      </c>
      <c r="J6" s="140">
        <f>'P&amp;L'!J15</f>
        <v>756</v>
      </c>
      <c r="K6" s="140">
        <f>'P&amp;L'!K15</f>
        <v>1085</v>
      </c>
      <c r="L6" s="34">
        <f>'P&amp;L'!L15</f>
        <v>825</v>
      </c>
      <c r="M6" s="140">
        <f>'P&amp;L'!M15</f>
        <v>1398.6992686506396</v>
      </c>
      <c r="N6" s="140">
        <f>'P&amp;L'!N15</f>
        <v>1628.296000046603</v>
      </c>
      <c r="O6" s="140">
        <f>'P&amp;L'!O15</f>
        <v>1860.1994492850852</v>
      </c>
      <c r="P6" s="140">
        <f>'P&amp;L'!P15</f>
        <v>2066.7709123925015</v>
      </c>
      <c r="Q6" s="140">
        <f>'P&amp;L'!Q15</f>
        <v>2064.7992259075049</v>
      </c>
      <c r="R6" s="140">
        <f>'P&amp;L'!R15</f>
        <v>2113.6542526404382</v>
      </c>
      <c r="S6" s="34">
        <f>'P&amp;L'!S15</f>
        <v>2325.2660770237562</v>
      </c>
    </row>
    <row r="7" spans="2:19" x14ac:dyDescent="0.3">
      <c r="B7" s="55" t="s">
        <v>42</v>
      </c>
      <c r="C7" s="56"/>
      <c r="D7" s="56"/>
      <c r="E7" s="56"/>
      <c r="F7" s="56">
        <f>'P&amp;L'!F10</f>
        <v>119</v>
      </c>
      <c r="G7" s="56">
        <f>'P&amp;L'!G10</f>
        <v>146</v>
      </c>
      <c r="H7" s="56">
        <f>'P&amp;L'!H10</f>
        <v>182</v>
      </c>
      <c r="I7" s="56">
        <f>'P&amp;L'!I10</f>
        <v>242</v>
      </c>
      <c r="J7" s="56">
        <f>'P&amp;L'!J10</f>
        <v>268</v>
      </c>
      <c r="K7" s="56">
        <f>'P&amp;L'!K10</f>
        <v>285</v>
      </c>
      <c r="L7" s="62">
        <f>'P&amp;L'!L10</f>
        <v>319</v>
      </c>
      <c r="M7" s="111">
        <f>'P&amp;L'!M10</f>
        <v>399.32843436297219</v>
      </c>
      <c r="N7" s="111">
        <f>'P&amp;L'!N10</f>
        <v>454.1895029730299</v>
      </c>
      <c r="O7" s="111">
        <f>'P&amp;L'!O10</f>
        <v>520.17117429635493</v>
      </c>
      <c r="P7" s="111">
        <f>'P&amp;L'!P10</f>
        <v>589.65791493767949</v>
      </c>
      <c r="Q7" s="111">
        <f>'P&amp;L'!Q10</f>
        <v>666.65065600218179</v>
      </c>
      <c r="R7" s="111">
        <f>'P&amp;L'!R10</f>
        <v>743.50020846386644</v>
      </c>
      <c r="S7" s="23">
        <f>'P&amp;L'!S10</f>
        <v>818.7026283217366</v>
      </c>
    </row>
    <row r="8" spans="2:19" x14ac:dyDescent="0.3">
      <c r="B8" s="55"/>
      <c r="C8" s="56"/>
      <c r="D8" s="56"/>
      <c r="E8" s="56"/>
      <c r="F8" s="56"/>
      <c r="G8" s="56"/>
      <c r="H8" s="56"/>
      <c r="I8" s="56"/>
      <c r="J8" s="56"/>
      <c r="K8" s="56"/>
      <c r="L8" s="62"/>
      <c r="M8" s="56"/>
      <c r="N8" s="56"/>
      <c r="O8" s="56"/>
      <c r="P8" s="56"/>
      <c r="Q8" s="56"/>
      <c r="R8" s="56"/>
      <c r="S8" s="62"/>
    </row>
    <row r="9" spans="2:19" x14ac:dyDescent="0.3">
      <c r="B9" s="106" t="s">
        <v>107</v>
      </c>
      <c r="C9" s="56"/>
      <c r="D9" s="56"/>
      <c r="E9" s="56"/>
      <c r="F9" s="56"/>
      <c r="G9" s="56"/>
      <c r="H9" s="56"/>
      <c r="I9" s="56"/>
      <c r="J9" s="56"/>
      <c r="K9" s="56"/>
      <c r="L9" s="62"/>
      <c r="M9" s="56"/>
      <c r="N9" s="56"/>
      <c r="O9" s="56"/>
      <c r="P9" s="56"/>
      <c r="Q9" s="56"/>
      <c r="R9" s="56"/>
      <c r="S9" s="62"/>
    </row>
    <row r="10" spans="2:19" x14ac:dyDescent="0.3">
      <c r="B10" s="55" t="s">
        <v>108</v>
      </c>
      <c r="C10" s="56"/>
      <c r="D10" s="56"/>
      <c r="E10" s="56"/>
      <c r="F10" s="71"/>
      <c r="G10" s="71">
        <f>BS!F32-BS!G32</f>
        <v>-852</v>
      </c>
      <c r="H10" s="71">
        <f>BS!G32-BS!H32</f>
        <v>-294</v>
      </c>
      <c r="I10" s="71">
        <f>BS!H32-BS!I32</f>
        <v>216</v>
      </c>
      <c r="J10" s="71">
        <f>BS!I32-BS!J32</f>
        <v>-952</v>
      </c>
      <c r="K10" s="71">
        <f>BS!J32-BS!K32</f>
        <v>-2598</v>
      </c>
      <c r="L10" s="64">
        <f>BS!K32-BS!L32</f>
        <v>280</v>
      </c>
      <c r="M10" s="71">
        <f>BS!L32-BS!M32</f>
        <v>-727.16076703341787</v>
      </c>
      <c r="N10" s="71">
        <f>BS!M32-BS!N32</f>
        <v>-1036.1719665490327</v>
      </c>
      <c r="O10" s="71">
        <f>BS!N32-BS!O32</f>
        <v>-960.86727959111158</v>
      </c>
      <c r="P10" s="71">
        <f>BS!O32-BS!P32</f>
        <v>-931.1325031589422</v>
      </c>
      <c r="Q10" s="71">
        <f>BS!P32-BS!Q32</f>
        <v>-821.00711174695243</v>
      </c>
      <c r="R10" s="71">
        <f>BS!Q32-BS!R32</f>
        <v>-727.86128067486243</v>
      </c>
      <c r="S10" s="64">
        <f>BS!R32-BS!S32</f>
        <v>-883.34288495855617</v>
      </c>
    </row>
    <row r="11" spans="2:19" x14ac:dyDescent="0.3">
      <c r="B11" s="55" t="s">
        <v>109</v>
      </c>
      <c r="C11" s="56"/>
      <c r="D11" s="56"/>
      <c r="E11" s="56"/>
      <c r="F11" s="71"/>
      <c r="G11" s="71">
        <f>BS!F33-BS!G33</f>
        <v>-370</v>
      </c>
      <c r="H11" s="71">
        <f>BS!G33-BS!H33</f>
        <v>-50</v>
      </c>
      <c r="I11" s="71">
        <f>BS!H33-BS!I33</f>
        <v>341</v>
      </c>
      <c r="J11" s="71">
        <f>BS!I33-BS!J33</f>
        <v>-594</v>
      </c>
      <c r="K11" s="71">
        <f>BS!J33-BS!K33</f>
        <v>-627</v>
      </c>
      <c r="L11" s="64">
        <f>BS!K33-BS!L33</f>
        <v>205</v>
      </c>
      <c r="M11" s="71">
        <f>BS!L33-BS!M33</f>
        <v>-356.45957521940454</v>
      </c>
      <c r="N11" s="71">
        <f>BS!M33-BS!N33</f>
        <v>-306.62846311747671</v>
      </c>
      <c r="O11" s="71">
        <f>BS!N33-BS!O33</f>
        <v>-237.40118422594514</v>
      </c>
      <c r="P11" s="71">
        <f>BS!O33-BS!P33</f>
        <v>-231.24927402515141</v>
      </c>
      <c r="Q11" s="71">
        <f>BS!P33-BS!Q33</f>
        <v>-305.87843655831603</v>
      </c>
      <c r="R11" s="71">
        <f>BS!Q33-BS!R33</f>
        <v>-169.20458440558969</v>
      </c>
      <c r="S11" s="64">
        <f>BS!R33-BS!S33</f>
        <v>-249.92925858246826</v>
      </c>
    </row>
    <row r="12" spans="2:19" x14ac:dyDescent="0.3">
      <c r="B12" s="55" t="s">
        <v>454</v>
      </c>
      <c r="C12" s="56"/>
      <c r="D12" s="56"/>
      <c r="E12" s="56"/>
      <c r="F12" s="71"/>
      <c r="G12" s="71">
        <f>BS!F36-BS!G36</f>
        <v>-202</v>
      </c>
      <c r="H12" s="71">
        <f>BS!G36-BS!H36</f>
        <v>-510</v>
      </c>
      <c r="I12" s="71">
        <f>BS!H36-BS!I36</f>
        <v>52</v>
      </c>
      <c r="J12" s="71">
        <f>BS!I36-BS!J36</f>
        <v>67</v>
      </c>
      <c r="K12" s="71">
        <f>BS!J36-BS!K36</f>
        <v>-236</v>
      </c>
      <c r="L12" s="64">
        <f>BS!K36-BS!L36</f>
        <v>-624</v>
      </c>
      <c r="M12" s="71">
        <f>BS!L36-BS!M36</f>
        <v>30.160920396934216</v>
      </c>
      <c r="N12" s="71">
        <f>BS!M36-BS!N36</f>
        <v>-327.76209205349369</v>
      </c>
      <c r="O12" s="71">
        <f>BS!N36-BS!O36</f>
        <v>-330.59226114595185</v>
      </c>
      <c r="P12" s="71">
        <f>BS!O36-BS!P36</f>
        <v>-169.36914886815975</v>
      </c>
      <c r="Q12" s="71">
        <f>BS!P36-BS!Q36</f>
        <v>-113.41893383845945</v>
      </c>
      <c r="R12" s="71">
        <f>BS!Q36-BS!R36</f>
        <v>-196.15199115005453</v>
      </c>
      <c r="S12" s="64">
        <f>BS!R36-BS!S36</f>
        <v>-352.75479765763748</v>
      </c>
    </row>
    <row r="13" spans="2:19" x14ac:dyDescent="0.3">
      <c r="B13" s="55" t="s">
        <v>113</v>
      </c>
      <c r="C13" s="56"/>
      <c r="D13" s="56"/>
      <c r="E13" s="56"/>
      <c r="F13" s="71"/>
      <c r="G13" s="71">
        <f>BS!F35-BS!G35</f>
        <v>4</v>
      </c>
      <c r="H13" s="71">
        <f>BS!G35-BS!H35</f>
        <v>50</v>
      </c>
      <c r="I13" s="71">
        <f>BS!H35-BS!I35</f>
        <v>-55</v>
      </c>
      <c r="J13" s="71">
        <f>BS!I35-BS!J35</f>
        <v>0</v>
      </c>
      <c r="K13" s="71">
        <f>BS!J35-BS!K35</f>
        <v>0</v>
      </c>
      <c r="L13" s="64">
        <f>BS!K35-BS!L35</f>
        <v>52</v>
      </c>
      <c r="M13" s="71">
        <f>BS!L35-BS!M35</f>
        <v>3</v>
      </c>
      <c r="N13" s="71">
        <f>BS!M35-BS!N35</f>
        <v>0</v>
      </c>
      <c r="O13" s="71">
        <f>BS!N35-BS!O35</f>
        <v>0</v>
      </c>
      <c r="P13" s="71">
        <f>BS!O35-BS!P35</f>
        <v>0</v>
      </c>
      <c r="Q13" s="71">
        <f>BS!P35-BS!Q35</f>
        <v>0</v>
      </c>
      <c r="R13" s="71">
        <f>BS!Q35-BS!R35</f>
        <v>0</v>
      </c>
      <c r="S13" s="64">
        <f>BS!R35-BS!S35</f>
        <v>0</v>
      </c>
    </row>
    <row r="14" spans="2:19" x14ac:dyDescent="0.3">
      <c r="B14" s="55" t="s">
        <v>110</v>
      </c>
      <c r="C14" s="56"/>
      <c r="D14" s="56"/>
      <c r="E14" s="56"/>
      <c r="F14" s="71"/>
      <c r="G14" s="71">
        <f>BS!G18-BS!F18</f>
        <v>2148</v>
      </c>
      <c r="H14" s="71">
        <f>BS!H18-BS!G18</f>
        <v>1474</v>
      </c>
      <c r="I14" s="71">
        <f>BS!I18-BS!H18</f>
        <v>-918</v>
      </c>
      <c r="J14" s="71">
        <f>BS!J18-BS!I18</f>
        <v>-505</v>
      </c>
      <c r="K14" s="71">
        <f>BS!K18-BS!J18</f>
        <v>3428</v>
      </c>
      <c r="L14" s="64">
        <f>BS!L18-BS!K18</f>
        <v>-1003</v>
      </c>
      <c r="M14" s="71">
        <f>BS!M18-BS!L18</f>
        <v>2336.0619570785093</v>
      </c>
      <c r="N14" s="71">
        <f>BS!N18-BS!M18</f>
        <v>1597.8828574953368</v>
      </c>
      <c r="O14" s="71">
        <f>BS!O18-BS!N18</f>
        <v>1151.731409647371</v>
      </c>
      <c r="P14" s="71">
        <f>BS!P18-BS!O18</f>
        <v>645.62203977618628</v>
      </c>
      <c r="Q14" s="71">
        <f>BS!Q18-BS!P18</f>
        <v>619.59111563829174</v>
      </c>
      <c r="R14" s="71">
        <f>BS!R18-BS!Q18</f>
        <v>1082.4616632395573</v>
      </c>
      <c r="S14" s="64">
        <f>BS!S18-BS!R18</f>
        <v>1190.4910355966986</v>
      </c>
    </row>
    <row r="15" spans="2:19" x14ac:dyDescent="0.3">
      <c r="B15" s="55" t="s">
        <v>11</v>
      </c>
      <c r="C15" s="56"/>
      <c r="D15" s="56"/>
      <c r="E15" s="56"/>
      <c r="F15" s="71"/>
      <c r="G15" s="71">
        <f>BS!G19-BS!F19</f>
        <v>1</v>
      </c>
      <c r="H15" s="71">
        <f>BS!H19-BS!G19</f>
        <v>-3</v>
      </c>
      <c r="I15" s="71">
        <f>BS!I19-BS!H19</f>
        <v>42</v>
      </c>
      <c r="J15" s="71">
        <f>BS!J19-BS!I19</f>
        <v>-20</v>
      </c>
      <c r="K15" s="71">
        <f>BS!K19-BS!J19</f>
        <v>4</v>
      </c>
      <c r="L15" s="64">
        <f>BS!L19-BS!K19</f>
        <v>-62</v>
      </c>
      <c r="M15" s="71">
        <f>BS!M19-BS!L19</f>
        <v>81.614241562567656</v>
      </c>
      <c r="N15" s="71">
        <f>BS!N19-BS!M19</f>
        <v>7.6260414943441788</v>
      </c>
      <c r="O15" s="71">
        <f>BS!O19-BS!N19</f>
        <v>9.1826171184078049</v>
      </c>
      <c r="P15" s="71">
        <f>BS!P19-BS!O19</f>
        <v>11.144352835625654</v>
      </c>
      <c r="Q15" s="71">
        <f>BS!Q19-BS!P19</f>
        <v>-7.9481265268506291</v>
      </c>
      <c r="R15" s="71">
        <f>BS!R19-BS!Q19</f>
        <v>0.71594601165126903</v>
      </c>
      <c r="S15" s="64">
        <f>BS!S19-BS!R19</f>
        <v>7.1778779402211939</v>
      </c>
    </row>
    <row r="16" spans="2:19" x14ac:dyDescent="0.3">
      <c r="B16" s="55" t="s">
        <v>111</v>
      </c>
      <c r="C16" s="56"/>
      <c r="D16" s="56"/>
      <c r="E16" s="56"/>
      <c r="F16" s="71"/>
      <c r="G16" s="71">
        <f>BS!G20-BS!F20</f>
        <v>136</v>
      </c>
      <c r="H16" s="71">
        <f>BS!H20-BS!G20</f>
        <v>321</v>
      </c>
      <c r="I16" s="71">
        <f>BS!I20-BS!H20</f>
        <v>248</v>
      </c>
      <c r="J16" s="71">
        <f>BS!J20-BS!I20</f>
        <v>569</v>
      </c>
      <c r="K16" s="71">
        <f>BS!K20-BS!J20</f>
        <v>-143</v>
      </c>
      <c r="L16" s="64">
        <f>BS!L20-BS!K20</f>
        <v>190</v>
      </c>
      <c r="M16" s="71">
        <f>BS!M20-BS!L20</f>
        <v>65.376767509764477</v>
      </c>
      <c r="N16" s="71">
        <f>BS!N20-BS!M20</f>
        <v>338.23958428055425</v>
      </c>
      <c r="O16" s="71">
        <f>BS!O20-BS!N20</f>
        <v>370.66508870565212</v>
      </c>
      <c r="P16" s="71">
        <f>BS!P20-BS!O20</f>
        <v>300.20860055982666</v>
      </c>
      <c r="Q16" s="71">
        <f>BS!Q20-BS!P20</f>
        <v>160.33407849474952</v>
      </c>
      <c r="R16" s="71">
        <f>BS!R20-BS!Q20</f>
        <v>20.246945231210248</v>
      </c>
      <c r="S16" s="64">
        <f>BS!S20-BS!R20</f>
        <v>281.06740844278011</v>
      </c>
    </row>
    <row r="17" spans="2:19" x14ac:dyDescent="0.3">
      <c r="B17" s="106" t="s">
        <v>112</v>
      </c>
      <c r="C17" s="56"/>
      <c r="D17" s="56"/>
      <c r="E17" s="56"/>
      <c r="F17" s="117"/>
      <c r="G17" s="117">
        <f>SUM(G10:G16)</f>
        <v>865</v>
      </c>
      <c r="H17" s="117">
        <f t="shared" ref="H17:L17" si="0">SUM(H10:H16)</f>
        <v>988</v>
      </c>
      <c r="I17" s="117">
        <f t="shared" si="0"/>
        <v>-74</v>
      </c>
      <c r="J17" s="117">
        <f t="shared" si="0"/>
        <v>-1435</v>
      </c>
      <c r="K17" s="117">
        <f t="shared" si="0"/>
        <v>-172</v>
      </c>
      <c r="L17" s="72">
        <f t="shared" si="0"/>
        <v>-962</v>
      </c>
      <c r="M17" s="117">
        <f t="shared" ref="M17" si="1">SUM(M10:M16)</f>
        <v>1432.5935442949533</v>
      </c>
      <c r="N17" s="117">
        <f t="shared" ref="N17" si="2">SUM(N10:N16)</f>
        <v>273.18596155023209</v>
      </c>
      <c r="O17" s="117">
        <f t="shared" ref="O17" si="3">SUM(O10:O16)</f>
        <v>2.7183905084223738</v>
      </c>
      <c r="P17" s="117">
        <f t="shared" ref="P17" si="4">SUM(P10:P16)</f>
        <v>-374.77593288061473</v>
      </c>
      <c r="Q17" s="117">
        <f t="shared" ref="Q17" si="5">SUM(Q10:Q16)</f>
        <v>-468.32741453753727</v>
      </c>
      <c r="R17" s="117">
        <f t="shared" ref="R17" si="6">SUM(R10:R16)</f>
        <v>10.206698251912186</v>
      </c>
      <c r="S17" s="72">
        <f t="shared" ref="S17" si="7">SUM(S10:S16)</f>
        <v>-7.2906192189620356</v>
      </c>
    </row>
    <row r="18" spans="2:19" x14ac:dyDescent="0.3">
      <c r="B18" s="55"/>
      <c r="C18" s="56"/>
      <c r="D18" s="56"/>
      <c r="E18" s="56"/>
      <c r="F18" s="71"/>
      <c r="G18" s="71"/>
      <c r="H18" s="71"/>
      <c r="I18" s="71"/>
      <c r="J18" s="71"/>
      <c r="K18" s="71"/>
      <c r="L18" s="64"/>
      <c r="M18" s="71"/>
      <c r="N18" s="71"/>
      <c r="O18" s="71"/>
      <c r="P18" s="71"/>
      <c r="Q18" s="71"/>
      <c r="R18" s="71"/>
      <c r="S18" s="64"/>
    </row>
    <row r="19" spans="2:19" x14ac:dyDescent="0.3">
      <c r="B19" s="55" t="s">
        <v>114</v>
      </c>
      <c r="C19" s="56"/>
      <c r="D19" s="56"/>
      <c r="E19" s="56"/>
      <c r="F19" s="71"/>
      <c r="G19" s="71">
        <f>-'P&amp;L'!G17</f>
        <v>-192.10000000000002</v>
      </c>
      <c r="H19" s="71">
        <f>-'P&amp;L'!H17</f>
        <v>-204.84</v>
      </c>
      <c r="I19" s="71">
        <f>-'P&amp;L'!I17</f>
        <v>-213.14999999999998</v>
      </c>
      <c r="J19" s="71">
        <f>-'P&amp;L'!J17</f>
        <v>-105.84</v>
      </c>
      <c r="K19" s="71">
        <f>-'P&amp;L'!K17</f>
        <v>-271.25</v>
      </c>
      <c r="L19" s="64">
        <f>-'P&amp;L'!L17</f>
        <v>-214.5</v>
      </c>
      <c r="M19" s="71">
        <f>-'P&amp;L'!M17</f>
        <v>-352.05260591936599</v>
      </c>
      <c r="N19" s="71">
        <f>-'P&amp;L'!N17</f>
        <v>-409.84210321172992</v>
      </c>
      <c r="O19" s="71">
        <f>-'P&amp;L'!O17</f>
        <v>-468.21220138505589</v>
      </c>
      <c r="P19" s="71">
        <f>-'P&amp;L'!P17</f>
        <v>-520.20623864919253</v>
      </c>
      <c r="Q19" s="71">
        <f>-'P&amp;L'!Q17</f>
        <v>-519.70996516091896</v>
      </c>
      <c r="R19" s="71">
        <f>-'P&amp;L'!R17</f>
        <v>-532.00677538959826</v>
      </c>
      <c r="S19" s="64">
        <f>-'P&amp;L'!S17</f>
        <v>-585.26947158687938</v>
      </c>
    </row>
    <row r="20" spans="2:19" x14ac:dyDescent="0.3">
      <c r="B20" s="108" t="s">
        <v>450</v>
      </c>
      <c r="C20" s="52"/>
      <c r="D20" s="52"/>
      <c r="E20" s="52"/>
      <c r="F20" s="68"/>
      <c r="G20" s="68">
        <f>G6+G7+G17+G19</f>
        <v>1383.9</v>
      </c>
      <c r="H20" s="68">
        <f t="shared" ref="H20:L20" si="8">H6+H7+H17+H19</f>
        <v>1534.16</v>
      </c>
      <c r="I20" s="68">
        <f t="shared" si="8"/>
        <v>563.85</v>
      </c>
      <c r="J20" s="68">
        <f t="shared" si="8"/>
        <v>-516.84</v>
      </c>
      <c r="K20" s="68">
        <f t="shared" si="8"/>
        <v>926.75</v>
      </c>
      <c r="L20" s="69">
        <f t="shared" si="8"/>
        <v>-32.5</v>
      </c>
      <c r="M20" s="68">
        <f t="shared" ref="M20" si="9">M6+M7+M17+M19</f>
        <v>2878.568641389199</v>
      </c>
      <c r="N20" s="68">
        <f t="shared" ref="N20" si="10">N6+N7+N17+N19</f>
        <v>1945.8293613581354</v>
      </c>
      <c r="O20" s="68">
        <f t="shared" ref="O20" si="11">O6+O7+O17+O19</f>
        <v>1914.876812704807</v>
      </c>
      <c r="P20" s="68">
        <f t="shared" ref="P20" si="12">P6+P7+P17+P19</f>
        <v>1761.4466558003737</v>
      </c>
      <c r="Q20" s="68">
        <f t="shared" ref="Q20" si="13">Q6+Q7+Q17+Q19</f>
        <v>1743.4125022112305</v>
      </c>
      <c r="R20" s="68">
        <f t="shared" ref="R20" si="14">R6+R7+R17+R19</f>
        <v>2335.3543839666186</v>
      </c>
      <c r="S20" s="69">
        <f t="shared" ref="S20" si="15">S6+S7+S17+S19</f>
        <v>2551.4086145396514</v>
      </c>
    </row>
    <row r="21" spans="2:19" x14ac:dyDescent="0.3">
      <c r="B21" s="55"/>
      <c r="C21" s="56"/>
      <c r="D21" s="56"/>
      <c r="E21" s="56"/>
      <c r="F21" s="71"/>
      <c r="G21" s="71"/>
      <c r="H21" s="71"/>
      <c r="I21" s="71"/>
      <c r="J21" s="71"/>
      <c r="K21" s="71"/>
      <c r="L21" s="64"/>
      <c r="M21" s="71"/>
      <c r="N21" s="71"/>
      <c r="O21" s="71"/>
      <c r="P21" s="71"/>
      <c r="Q21" s="71"/>
      <c r="R21" s="71"/>
      <c r="S21" s="64"/>
    </row>
    <row r="22" spans="2:19" x14ac:dyDescent="0.3">
      <c r="B22" s="138" t="s">
        <v>115</v>
      </c>
      <c r="C22" s="139"/>
      <c r="D22" s="139"/>
      <c r="E22" s="139"/>
      <c r="F22" s="71"/>
      <c r="G22" s="71"/>
      <c r="H22" s="71"/>
      <c r="I22" s="71"/>
      <c r="J22" s="71"/>
      <c r="K22" s="71"/>
      <c r="L22" s="64"/>
      <c r="M22" s="71"/>
      <c r="N22" s="71"/>
      <c r="O22" s="71"/>
      <c r="P22" s="71"/>
      <c r="Q22" s="71"/>
      <c r="R22" s="71"/>
      <c r="S22" s="64"/>
    </row>
    <row r="23" spans="2:19" x14ac:dyDescent="0.3">
      <c r="B23" s="55"/>
      <c r="C23" s="56"/>
      <c r="D23" s="56"/>
      <c r="E23" s="56"/>
      <c r="F23" s="71"/>
      <c r="G23" s="71"/>
      <c r="H23" s="71"/>
      <c r="I23" s="71"/>
      <c r="J23" s="71"/>
      <c r="K23" s="71"/>
      <c r="L23" s="64"/>
      <c r="M23" s="71"/>
      <c r="N23" s="71"/>
      <c r="O23" s="71"/>
      <c r="P23" s="71"/>
      <c r="Q23" s="71"/>
      <c r="R23" s="71"/>
      <c r="S23" s="64"/>
    </row>
    <row r="24" spans="2:19" x14ac:dyDescent="0.3">
      <c r="B24" s="109" t="s">
        <v>116</v>
      </c>
      <c r="C24" s="56"/>
      <c r="D24" s="56"/>
      <c r="E24" s="56"/>
      <c r="F24" s="71"/>
      <c r="G24" s="71">
        <f>-'Supporting Schedules'!G5</f>
        <v>-842</v>
      </c>
      <c r="H24" s="71">
        <f>-'Supporting Schedules'!H5</f>
        <v>-990</v>
      </c>
      <c r="I24" s="71">
        <f>-'Supporting Schedules'!I5</f>
        <v>-802</v>
      </c>
      <c r="J24" s="71">
        <f>-'Supporting Schedules'!J5</f>
        <v>-417</v>
      </c>
      <c r="K24" s="71">
        <f>-'Supporting Schedules'!K5</f>
        <v>-561</v>
      </c>
      <c r="L24" s="64">
        <f>-'Supporting Schedules'!L5</f>
        <v>-510</v>
      </c>
      <c r="M24" s="71">
        <f>-'Supporting Schedules'!M5</f>
        <v>-1120.3086065338407</v>
      </c>
      <c r="N24" s="71">
        <f>-'Supporting Schedules'!N5</f>
        <v>-1258.4534203041703</v>
      </c>
      <c r="O24" s="71">
        <f>-'Supporting Schedules'!O5</f>
        <v>-1406.0555196070957</v>
      </c>
      <c r="P24" s="71">
        <f>-'Supporting Schedules'!P5</f>
        <v>-1550.3756747296452</v>
      </c>
      <c r="Q24" s="71">
        <f>-'Supporting Schedules'!Q5</f>
        <v>-1662.0779487026527</v>
      </c>
      <c r="R24" s="71">
        <f>-'Supporting Schedules'!R5</f>
        <v>-1758.2105992273555</v>
      </c>
      <c r="S24" s="64">
        <f>-'Supporting Schedules'!S5</f>
        <v>-1898.5492006557934</v>
      </c>
    </row>
    <row r="25" spans="2:19" x14ac:dyDescent="0.3">
      <c r="B25" s="109" t="s">
        <v>27</v>
      </c>
      <c r="C25" s="56"/>
      <c r="D25" s="56"/>
      <c r="E25" s="56"/>
      <c r="F25" s="71"/>
      <c r="G25" s="71">
        <f>BS!F29-BS!G29</f>
        <v>-1</v>
      </c>
      <c r="H25" s="71">
        <f>BS!G29-BS!H29</f>
        <v>-1</v>
      </c>
      <c r="I25" s="71">
        <f>BS!H29-BS!I29</f>
        <v>-1</v>
      </c>
      <c r="J25" s="71">
        <f>BS!I29-BS!J29</f>
        <v>-51</v>
      </c>
      <c r="K25" s="71">
        <f>BS!J29-BS!K29</f>
        <v>-180</v>
      </c>
      <c r="L25" s="64">
        <f>BS!K29-BS!L29</f>
        <v>-2</v>
      </c>
      <c r="M25" s="71">
        <f>BS!L29-BS!M29</f>
        <v>155.52936055369346</v>
      </c>
      <c r="N25" s="71">
        <f>BS!M29-BS!N29</f>
        <v>-16.33490246313994</v>
      </c>
      <c r="O25" s="71">
        <f>BS!N29-BS!O29</f>
        <v>-17.453177065890117</v>
      </c>
      <c r="P25" s="71">
        <f>BS!O29-BS!P29</f>
        <v>-17.065104313734253</v>
      </c>
      <c r="Q25" s="71">
        <f>BS!P29-BS!Q29</f>
        <v>-13.208210286442949</v>
      </c>
      <c r="R25" s="71">
        <f>BS!Q29-BS!R29</f>
        <v>-11.367183660291744</v>
      </c>
      <c r="S25" s="64">
        <f>BS!R29-BS!S29</f>
        <v>-16.594306391828979</v>
      </c>
    </row>
    <row r="26" spans="2:19" x14ac:dyDescent="0.3">
      <c r="B26" s="108" t="s">
        <v>117</v>
      </c>
      <c r="C26" s="52"/>
      <c r="D26" s="52"/>
      <c r="E26" s="52"/>
      <c r="F26" s="68"/>
      <c r="G26" s="68">
        <f>SUM(G24:G25)</f>
        <v>-843</v>
      </c>
      <c r="H26" s="68">
        <f t="shared" ref="H26:L26" si="16">SUM(H24:H25)</f>
        <v>-991</v>
      </c>
      <c r="I26" s="68">
        <f t="shared" si="16"/>
        <v>-803</v>
      </c>
      <c r="J26" s="68">
        <f t="shared" si="16"/>
        <v>-468</v>
      </c>
      <c r="K26" s="68">
        <f t="shared" si="16"/>
        <v>-741</v>
      </c>
      <c r="L26" s="69">
        <f t="shared" si="16"/>
        <v>-512</v>
      </c>
      <c r="M26" s="68">
        <f t="shared" ref="M26" si="17">SUM(M24:M25)</f>
        <v>-964.77924598014727</v>
      </c>
      <c r="N26" s="68">
        <f t="shared" ref="N26" si="18">SUM(N24:N25)</f>
        <v>-1274.7883227673103</v>
      </c>
      <c r="O26" s="68">
        <f t="shared" ref="O26" si="19">SUM(O24:O25)</f>
        <v>-1423.5086966729857</v>
      </c>
      <c r="P26" s="68">
        <f t="shared" ref="P26" si="20">SUM(P24:P25)</f>
        <v>-1567.4407790433795</v>
      </c>
      <c r="Q26" s="68">
        <f t="shared" ref="Q26" si="21">SUM(Q24:Q25)</f>
        <v>-1675.2861589890956</v>
      </c>
      <c r="R26" s="68">
        <f t="shared" ref="R26" si="22">SUM(R24:R25)</f>
        <v>-1769.5777828876471</v>
      </c>
      <c r="S26" s="69">
        <f t="shared" ref="S26" si="23">SUM(S24:S25)</f>
        <v>-1915.1435070476223</v>
      </c>
    </row>
    <row r="27" spans="2:19" x14ac:dyDescent="0.3">
      <c r="B27" s="55"/>
      <c r="C27" s="56"/>
      <c r="D27" s="56"/>
      <c r="E27" s="56"/>
      <c r="F27" s="71"/>
      <c r="G27" s="71"/>
      <c r="H27" s="71"/>
      <c r="I27" s="71"/>
      <c r="J27" s="71"/>
      <c r="K27" s="71"/>
      <c r="L27" s="64"/>
      <c r="M27" s="71"/>
      <c r="N27" s="71"/>
      <c r="O27" s="71"/>
      <c r="P27" s="71"/>
      <c r="Q27" s="71"/>
      <c r="R27" s="71"/>
      <c r="S27" s="64"/>
    </row>
    <row r="28" spans="2:19" x14ac:dyDescent="0.3">
      <c r="B28" s="138" t="s">
        <v>118</v>
      </c>
      <c r="C28" s="139"/>
      <c r="D28" s="139"/>
      <c r="E28" s="139"/>
      <c r="F28" s="71"/>
      <c r="G28" s="71"/>
      <c r="H28" s="71"/>
      <c r="I28" s="71"/>
      <c r="J28" s="71"/>
      <c r="K28" s="71"/>
      <c r="L28" s="64"/>
      <c r="M28" s="71"/>
      <c r="N28" s="71"/>
      <c r="O28" s="71"/>
      <c r="P28" s="71"/>
      <c r="Q28" s="71"/>
      <c r="R28" s="71"/>
      <c r="S28" s="64"/>
    </row>
    <row r="29" spans="2:19" x14ac:dyDescent="0.3">
      <c r="B29" s="55" t="s">
        <v>119</v>
      </c>
      <c r="C29" s="56"/>
      <c r="D29" s="56"/>
      <c r="E29" s="56"/>
      <c r="F29" s="71"/>
      <c r="G29" s="71">
        <f>'Supporting Schedules'!G16-'Supporting Schedules'!G17</f>
        <v>-378</v>
      </c>
      <c r="H29" s="71">
        <f>'Supporting Schedules'!H16-'Supporting Schedules'!H17</f>
        <v>-414</v>
      </c>
      <c r="I29" s="71">
        <f>'Supporting Schedules'!I16-'Supporting Schedules'!I17</f>
        <v>470</v>
      </c>
      <c r="J29" s="71">
        <f>'Supporting Schedules'!J16-'Supporting Schedules'!J17</f>
        <v>751</v>
      </c>
      <c r="K29" s="71">
        <f>'Supporting Schedules'!K16-'Supporting Schedules'!K17</f>
        <v>-425</v>
      </c>
      <c r="L29" s="64">
        <f>'Supporting Schedules'!L16-'Supporting Schedules'!L17</f>
        <v>-367</v>
      </c>
      <c r="M29" s="71">
        <f>'Supporting Schedules'!M16-'Supporting Schedules'!M17</f>
        <v>-3.6765573864637418</v>
      </c>
      <c r="N29" s="71">
        <f>'Supporting Schedules'!N16-'Supporting Schedules'!N17</f>
        <v>52.316679598960832</v>
      </c>
      <c r="O29" s="71">
        <f>'Supporting Schedules'!O16-'Supporting Schedules'!O17</f>
        <v>100.89418340033876</v>
      </c>
      <c r="P29" s="71">
        <f>'Supporting Schedules'!P16-'Supporting Schedules'!P17</f>
        <v>138.44340876929095</v>
      </c>
      <c r="Q29" s="71">
        <f>'Supporting Schedules'!Q16-'Supporting Schedules'!Q17</f>
        <v>155.43563660463576</v>
      </c>
      <c r="R29" s="71">
        <f>'Supporting Schedules'!R16-'Supporting Schedules'!R17</f>
        <v>162.80156949358968</v>
      </c>
      <c r="S29" s="64">
        <f>'Supporting Schedules'!S16-'Supporting Schedules'!S17</f>
        <v>186.3766961662468</v>
      </c>
    </row>
    <row r="30" spans="2:19" x14ac:dyDescent="0.3">
      <c r="B30" s="109" t="s">
        <v>120</v>
      </c>
      <c r="C30" s="56"/>
      <c r="D30" s="56"/>
      <c r="E30" s="56"/>
      <c r="F30" s="71"/>
      <c r="G30" s="71">
        <f>BS!G5-BS!F5</f>
        <v>0</v>
      </c>
      <c r="H30" s="71">
        <f>BS!H5-BS!G5</f>
        <v>0</v>
      </c>
      <c r="I30" s="71">
        <f>BS!I5-BS!H5</f>
        <v>0</v>
      </c>
      <c r="J30" s="71">
        <f>BS!J5-BS!I5</f>
        <v>0</v>
      </c>
      <c r="K30" s="71">
        <f>BS!K5-BS!J5</f>
        <v>16</v>
      </c>
      <c r="L30" s="64">
        <f>BS!L5-BS!K5</f>
        <v>0</v>
      </c>
      <c r="M30" s="71">
        <f>BS!M5-BS!L5</f>
        <v>0</v>
      </c>
      <c r="N30" s="71">
        <f>BS!N5-BS!M5</f>
        <v>0</v>
      </c>
      <c r="O30" s="71">
        <f>BS!O5-BS!N5</f>
        <v>0</v>
      </c>
      <c r="P30" s="71">
        <f>BS!P5-BS!O5</f>
        <v>0</v>
      </c>
      <c r="Q30" s="71">
        <f>BS!Q5-BS!P5</f>
        <v>0</v>
      </c>
      <c r="R30" s="71">
        <f>BS!R5-BS!Q5</f>
        <v>0</v>
      </c>
      <c r="S30" s="64">
        <f>BS!S5-BS!R5</f>
        <v>0</v>
      </c>
    </row>
    <row r="31" spans="2:19" x14ac:dyDescent="0.3">
      <c r="B31" s="108" t="s">
        <v>121</v>
      </c>
      <c r="C31" s="52"/>
      <c r="D31" s="52"/>
      <c r="E31" s="52"/>
      <c r="F31" s="68"/>
      <c r="G31" s="68">
        <f>SUM(G29:G30)</f>
        <v>-378</v>
      </c>
      <c r="H31" s="68">
        <f t="shared" ref="H31:L31" si="24">SUM(H29:H30)</f>
        <v>-414</v>
      </c>
      <c r="I31" s="68">
        <f t="shared" si="24"/>
        <v>470</v>
      </c>
      <c r="J31" s="68">
        <f t="shared" si="24"/>
        <v>751</v>
      </c>
      <c r="K31" s="68">
        <f t="shared" si="24"/>
        <v>-409</v>
      </c>
      <c r="L31" s="69">
        <f t="shared" si="24"/>
        <v>-367</v>
      </c>
      <c r="M31" s="68">
        <f t="shared" ref="M31" si="25">SUM(M29:M30)</f>
        <v>-3.6765573864637418</v>
      </c>
      <c r="N31" s="68">
        <f t="shared" ref="N31" si="26">SUM(N29:N30)</f>
        <v>52.316679598960832</v>
      </c>
      <c r="O31" s="68">
        <f t="shared" ref="O31" si="27">SUM(O29:O30)</f>
        <v>100.89418340033876</v>
      </c>
      <c r="P31" s="68">
        <f t="shared" ref="P31" si="28">SUM(P29:P30)</f>
        <v>138.44340876929095</v>
      </c>
      <c r="Q31" s="68">
        <f t="shared" ref="Q31" si="29">SUM(Q29:Q30)</f>
        <v>155.43563660463576</v>
      </c>
      <c r="R31" s="68">
        <f t="shared" ref="R31" si="30">SUM(R29:R30)</f>
        <v>162.80156949358968</v>
      </c>
      <c r="S31" s="69">
        <f t="shared" ref="S31" si="31">SUM(S29:S30)</f>
        <v>186.3766961662468</v>
      </c>
    </row>
    <row r="32" spans="2:19" x14ac:dyDescent="0.3">
      <c r="B32" s="55"/>
      <c r="C32" s="56"/>
      <c r="D32" s="56"/>
      <c r="E32" s="56"/>
      <c r="F32" s="71"/>
      <c r="G32" s="71"/>
      <c r="H32" s="71"/>
      <c r="I32" s="71"/>
      <c r="J32" s="71"/>
      <c r="K32" s="71"/>
      <c r="L32" s="64"/>
      <c r="M32" s="71"/>
      <c r="N32" s="71"/>
      <c r="O32" s="71"/>
      <c r="P32" s="71"/>
      <c r="Q32" s="71"/>
      <c r="R32" s="71"/>
      <c r="S32" s="64"/>
    </row>
    <row r="33" spans="2:19" x14ac:dyDescent="0.3">
      <c r="B33" s="138" t="s">
        <v>122</v>
      </c>
      <c r="C33" s="139"/>
      <c r="D33" s="139"/>
      <c r="E33" s="139"/>
      <c r="F33" s="65"/>
      <c r="G33" s="68">
        <f>SUM(G20,G26,G31)</f>
        <v>162.90000000000009</v>
      </c>
      <c r="H33" s="68">
        <f t="shared" ref="H33:S33" si="32">SUM(H20,H26,H31)</f>
        <v>129.16000000000008</v>
      </c>
      <c r="I33" s="68">
        <f t="shared" si="32"/>
        <v>230.85000000000002</v>
      </c>
      <c r="J33" s="68">
        <f t="shared" si="32"/>
        <v>-233.84000000000003</v>
      </c>
      <c r="K33" s="68">
        <f t="shared" si="32"/>
        <v>-223.25</v>
      </c>
      <c r="L33" s="69">
        <f t="shared" si="32"/>
        <v>-911.5</v>
      </c>
      <c r="M33" s="68">
        <f t="shared" si="32"/>
        <v>1910.1128380225882</v>
      </c>
      <c r="N33" s="68">
        <f t="shared" si="32"/>
        <v>723.35771818978594</v>
      </c>
      <c r="O33" s="68">
        <f t="shared" si="32"/>
        <v>592.26229943216003</v>
      </c>
      <c r="P33" s="68">
        <f t="shared" si="32"/>
        <v>332.44928552628517</v>
      </c>
      <c r="Q33" s="68">
        <f t="shared" si="32"/>
        <v>223.56197982677065</v>
      </c>
      <c r="R33" s="68">
        <f t="shared" si="32"/>
        <v>728.57817057256113</v>
      </c>
      <c r="S33" s="69">
        <f t="shared" si="32"/>
        <v>822.64180365827588</v>
      </c>
    </row>
    <row r="34" spans="2:19" x14ac:dyDescent="0.3">
      <c r="B34" s="55" t="s">
        <v>92</v>
      </c>
      <c r="C34" s="56"/>
      <c r="D34" s="56"/>
      <c r="E34" s="56"/>
      <c r="F34" s="71"/>
      <c r="G34" s="71">
        <f>F35</f>
        <v>894</v>
      </c>
      <c r="H34" s="71">
        <f t="shared" ref="H34:S34" si="33">G35</f>
        <v>1060</v>
      </c>
      <c r="I34" s="71">
        <f t="shared" si="33"/>
        <v>1189</v>
      </c>
      <c r="J34" s="71">
        <f t="shared" si="33"/>
        <v>1416</v>
      </c>
      <c r="K34" s="71">
        <f t="shared" si="33"/>
        <v>1188</v>
      </c>
      <c r="L34" s="64">
        <f t="shared" si="33"/>
        <v>4446</v>
      </c>
      <c r="M34" s="71">
        <f t="shared" si="33"/>
        <v>3534</v>
      </c>
      <c r="N34" s="71">
        <f t="shared" si="33"/>
        <v>5444.1128380225882</v>
      </c>
      <c r="O34" s="71">
        <f t="shared" si="33"/>
        <v>6167.4705562123745</v>
      </c>
      <c r="P34" s="71">
        <f t="shared" si="33"/>
        <v>6759.7328556445345</v>
      </c>
      <c r="Q34" s="71">
        <f t="shared" si="33"/>
        <v>7092.1821411708197</v>
      </c>
      <c r="R34" s="71">
        <f t="shared" si="33"/>
        <v>7315.7441209975905</v>
      </c>
      <c r="S34" s="64">
        <f t="shared" si="33"/>
        <v>8044.3222915701517</v>
      </c>
    </row>
    <row r="35" spans="2:19" x14ac:dyDescent="0.3">
      <c r="B35" s="138" t="s">
        <v>96</v>
      </c>
      <c r="C35" s="139"/>
      <c r="D35" s="139"/>
      <c r="E35" s="139"/>
      <c r="F35" s="65">
        <f>BS!F34</f>
        <v>894</v>
      </c>
      <c r="G35" s="65">
        <f>BS!G34</f>
        <v>1060</v>
      </c>
      <c r="H35" s="65">
        <f>BS!H34</f>
        <v>1189</v>
      </c>
      <c r="I35" s="65">
        <f>BS!I34</f>
        <v>1416</v>
      </c>
      <c r="J35" s="65">
        <f>BS!J34</f>
        <v>1188</v>
      </c>
      <c r="K35" s="65">
        <f>BS!K34</f>
        <v>4446</v>
      </c>
      <c r="L35" s="66">
        <f>BS!L34</f>
        <v>3534</v>
      </c>
      <c r="M35" s="65">
        <f>SUM(M33:M34)</f>
        <v>5444.1128380225882</v>
      </c>
      <c r="N35" s="65">
        <f t="shared" ref="N35:S35" si="34">SUM(N33:N34)</f>
        <v>6167.4705562123745</v>
      </c>
      <c r="O35" s="65">
        <f t="shared" si="34"/>
        <v>6759.7328556445345</v>
      </c>
      <c r="P35" s="65">
        <f t="shared" si="34"/>
        <v>7092.1821411708197</v>
      </c>
      <c r="Q35" s="65">
        <f t="shared" si="34"/>
        <v>7315.7441209975905</v>
      </c>
      <c r="R35" s="65">
        <f t="shared" si="34"/>
        <v>8044.3222915701517</v>
      </c>
      <c r="S35" s="66">
        <f t="shared" si="34"/>
        <v>8866.9640952284281</v>
      </c>
    </row>
    <row r="36" spans="2:19" x14ac:dyDescent="0.3">
      <c r="B36" s="95"/>
      <c r="C36" s="53"/>
      <c r="D36" s="53"/>
      <c r="E36" s="53"/>
      <c r="F36" s="53"/>
      <c r="G36" s="53"/>
      <c r="H36" s="53"/>
      <c r="I36" s="53"/>
      <c r="J36" s="53"/>
      <c r="K36" s="53"/>
      <c r="L36" s="98"/>
      <c r="M36" s="53"/>
      <c r="N36" s="53"/>
      <c r="O36" s="53"/>
      <c r="P36" s="53"/>
      <c r="Q36" s="53"/>
      <c r="R36" s="53"/>
      <c r="S36" s="98"/>
    </row>
    <row r="37" spans="2:19" x14ac:dyDescent="0.3">
      <c r="G37" s="15"/>
      <c r="H37" s="15"/>
      <c r="I37" s="15"/>
      <c r="J37" s="15"/>
      <c r="K37" s="15"/>
      <c r="L37" s="15"/>
    </row>
  </sheetData>
  <sheetProtection password="C58F" sheet="1" objects="1" scenarios="1"/>
  <customSheetViews>
    <customSheetView guid="{0D1F9D0C-3063-4A9B-A68D-79FADEF997F9}" showGridLines="0">
      <pane ySplit="2" topLeftCell="A14" activePane="bottomLeft" state="frozen"/>
      <selection pane="bottomLeft" activeCell="F42" sqref="F42"/>
      <pageMargins left="0.7" right="0.7" top="0.75" bottom="0.75" header="0.3" footer="0.3"/>
      <pageSetup paperSize="9" orientation="portrait" r:id="rId1"/>
    </customSheetView>
  </customSheetViews>
  <pageMargins left="0.7" right="0.7" top="0.75" bottom="0.75" header="0.3" footer="0.3"/>
  <pageSetup paperSize="9"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245"/>
  <sheetViews>
    <sheetView showGridLines="0" workbookViewId="0">
      <selection activeCell="H25" sqref="H25"/>
    </sheetView>
  </sheetViews>
  <sheetFormatPr defaultRowHeight="14.4" x14ac:dyDescent="0.3"/>
  <cols>
    <col min="1" max="1" width="1.88671875" customWidth="1"/>
    <col min="2" max="2" width="15.77734375" customWidth="1"/>
    <col min="3" max="3" width="10.44140625" bestFit="1" customWidth="1"/>
    <col min="6" max="6" width="13.5546875" bestFit="1" customWidth="1"/>
    <col min="7" max="7" width="10.88671875" customWidth="1"/>
    <col min="11" max="11" width="17.44140625" bestFit="1" customWidth="1"/>
    <col min="12" max="12" width="12" customWidth="1"/>
    <col min="13" max="13" width="13.44140625" bestFit="1" customWidth="1"/>
    <col min="14" max="15" width="12" bestFit="1" customWidth="1"/>
    <col min="16" max="16" width="12.44140625" bestFit="1" customWidth="1"/>
    <col min="17" max="17" width="12" bestFit="1" customWidth="1"/>
    <col min="18" max="19" width="12.109375" bestFit="1" customWidth="1"/>
  </cols>
  <sheetData>
    <row r="2" spans="2:19" x14ac:dyDescent="0.3">
      <c r="B2" s="17" t="s">
        <v>130</v>
      </c>
      <c r="C2" s="16"/>
      <c r="D2" s="16"/>
      <c r="E2" s="16"/>
      <c r="F2" s="16"/>
      <c r="G2" s="16"/>
      <c r="H2" s="16"/>
      <c r="K2" s="91" t="s">
        <v>416</v>
      </c>
      <c r="L2" s="92"/>
      <c r="M2" s="92"/>
      <c r="N2" s="28"/>
    </row>
    <row r="3" spans="2:19" x14ac:dyDescent="0.3">
      <c r="B3" s="13" t="s">
        <v>132</v>
      </c>
      <c r="G3" s="13" t="s">
        <v>131</v>
      </c>
      <c r="K3" s="55" t="s">
        <v>380</v>
      </c>
      <c r="L3" s="93">
        <f>E5</f>
        <v>1.2085644241443214</v>
      </c>
      <c r="M3" s="94" t="s">
        <v>381</v>
      </c>
      <c r="N3" s="62"/>
    </row>
    <row r="4" spans="2:19" x14ac:dyDescent="0.3">
      <c r="E4" s="103" t="s">
        <v>283</v>
      </c>
      <c r="K4" s="55" t="s">
        <v>382</v>
      </c>
      <c r="L4" s="93">
        <f>_xlfn.COVARIANCE.S(H6:H245,D6:D245)/_xlfn.VAR.S(D6:D245)</f>
        <v>1.2085644241443221</v>
      </c>
      <c r="M4" s="94" t="s">
        <v>383</v>
      </c>
      <c r="N4" s="62"/>
    </row>
    <row r="5" spans="2:19" ht="15" thickBot="1" x14ac:dyDescent="0.35">
      <c r="B5" s="35" t="s">
        <v>133</v>
      </c>
      <c r="C5" s="36" t="s">
        <v>134</v>
      </c>
      <c r="D5" s="36" t="s">
        <v>135</v>
      </c>
      <c r="E5" s="104">
        <f>SLOPE(H6:H245,D6:D245)</f>
        <v>1.2085644241443214</v>
      </c>
      <c r="F5" s="35" t="s">
        <v>133</v>
      </c>
      <c r="G5" s="36" t="s">
        <v>134</v>
      </c>
      <c r="H5" s="36" t="s">
        <v>135</v>
      </c>
      <c r="K5" s="95" t="s">
        <v>384</v>
      </c>
      <c r="L5" s="96">
        <f>L25</f>
        <v>1.2085644241443199</v>
      </c>
      <c r="M5" s="97" t="s">
        <v>385</v>
      </c>
      <c r="N5" s="98"/>
    </row>
    <row r="6" spans="2:19" ht="15" thickBot="1" x14ac:dyDescent="0.35">
      <c r="B6" s="37" t="s">
        <v>136</v>
      </c>
      <c r="C6" s="38">
        <v>17891.95</v>
      </c>
      <c r="D6" s="39">
        <v>-1.2500000000000001E-2</v>
      </c>
      <c r="F6" s="37" t="s">
        <v>136</v>
      </c>
      <c r="G6" s="44">
        <v>544.04999999999995</v>
      </c>
      <c r="H6" s="39">
        <v>-4.99E-2</v>
      </c>
    </row>
    <row r="7" spans="2:19" ht="15" thickBot="1" x14ac:dyDescent="0.35">
      <c r="B7" s="37" t="s">
        <v>137</v>
      </c>
      <c r="C7" s="38">
        <v>18118.3</v>
      </c>
      <c r="D7" s="39">
        <v>0</v>
      </c>
      <c r="F7" s="37" t="s">
        <v>137</v>
      </c>
      <c r="G7" s="45">
        <v>572.65</v>
      </c>
      <c r="H7" s="41">
        <v>4.9000000000000002E-2</v>
      </c>
    </row>
    <row r="8" spans="2:19" ht="15" thickBot="1" x14ac:dyDescent="0.35">
      <c r="B8" s="37" t="s">
        <v>138</v>
      </c>
      <c r="C8" s="40">
        <v>18118.55</v>
      </c>
      <c r="D8" s="41">
        <v>5.0000000000000001E-3</v>
      </c>
      <c r="F8" s="37" t="s">
        <v>138</v>
      </c>
      <c r="G8" s="44">
        <v>545.9</v>
      </c>
      <c r="H8" s="39">
        <v>-1.54E-2</v>
      </c>
      <c r="K8" s="79" t="s">
        <v>386</v>
      </c>
      <c r="L8" s="80"/>
      <c r="M8" s="80"/>
      <c r="N8" s="80"/>
      <c r="O8" s="80"/>
      <c r="P8" s="80"/>
      <c r="Q8" s="80"/>
      <c r="R8" s="80"/>
      <c r="S8" s="81"/>
    </row>
    <row r="9" spans="2:19" ht="15" thickBot="1" x14ac:dyDescent="0.35">
      <c r="B9" s="37" t="s">
        <v>139</v>
      </c>
      <c r="C9" s="38">
        <v>18027.650000000001</v>
      </c>
      <c r="D9" s="39">
        <v>-4.4000000000000003E-3</v>
      </c>
      <c r="F9" s="37" t="s">
        <v>139</v>
      </c>
      <c r="G9" s="44">
        <v>554.45000000000005</v>
      </c>
      <c r="H9" s="39">
        <v>-7.0000000000000001E-3</v>
      </c>
      <c r="K9" s="82"/>
      <c r="L9" s="56"/>
      <c r="M9" s="56"/>
      <c r="N9" s="56"/>
      <c r="O9" s="56"/>
      <c r="P9" s="56"/>
      <c r="Q9" s="56"/>
      <c r="R9" s="56"/>
      <c r="S9" s="83"/>
    </row>
    <row r="10" spans="2:19" ht="15" thickBot="1" x14ac:dyDescent="0.35">
      <c r="B10" s="37" t="s">
        <v>140</v>
      </c>
      <c r="C10" s="38">
        <v>18107.849999999999</v>
      </c>
      <c r="D10" s="39">
        <v>-3.2000000000000002E-3</v>
      </c>
      <c r="F10" s="37" t="s">
        <v>140</v>
      </c>
      <c r="G10" s="44">
        <v>558.35</v>
      </c>
      <c r="H10" s="39">
        <v>-1.35E-2</v>
      </c>
      <c r="K10" s="84" t="s">
        <v>387</v>
      </c>
      <c r="L10" s="50"/>
      <c r="M10" s="55"/>
      <c r="N10" s="56"/>
      <c r="O10" s="56"/>
      <c r="P10" s="56"/>
      <c r="Q10" s="56"/>
      <c r="R10" s="56"/>
      <c r="S10" s="83"/>
    </row>
    <row r="11" spans="2:19" ht="15" thickBot="1" x14ac:dyDescent="0.35">
      <c r="B11" s="37" t="s">
        <v>141</v>
      </c>
      <c r="C11" s="40">
        <v>18165.349999999999</v>
      </c>
      <c r="D11" s="41">
        <v>6.1999999999999998E-3</v>
      </c>
      <c r="F11" s="37" t="s">
        <v>141</v>
      </c>
      <c r="G11" s="44">
        <v>566</v>
      </c>
      <c r="H11" s="39">
        <v>-1.09E-2</v>
      </c>
      <c r="K11" s="85" t="s">
        <v>388</v>
      </c>
      <c r="L11" s="47">
        <v>0.34194765337701993</v>
      </c>
      <c r="M11" s="55"/>
      <c r="N11" s="56"/>
      <c r="O11" s="56"/>
      <c r="P11" s="56"/>
      <c r="Q11" s="56"/>
      <c r="R11" s="56"/>
      <c r="S11" s="83"/>
    </row>
    <row r="12" spans="2:19" ht="15" thickBot="1" x14ac:dyDescent="0.35">
      <c r="B12" s="37" t="s">
        <v>142</v>
      </c>
      <c r="C12" s="40">
        <v>18053.3</v>
      </c>
      <c r="D12" s="41">
        <v>8.8999999999999999E-3</v>
      </c>
      <c r="F12" s="37" t="s">
        <v>142</v>
      </c>
      <c r="G12" s="45">
        <v>572.25</v>
      </c>
      <c r="H12" s="41">
        <v>7.0000000000000001E-3</v>
      </c>
      <c r="K12" s="85" t="s">
        <v>389</v>
      </c>
      <c r="L12" s="47">
        <v>0.11692819765005057</v>
      </c>
      <c r="M12" s="55"/>
      <c r="N12" s="56"/>
      <c r="O12" s="56"/>
      <c r="P12" s="56"/>
      <c r="Q12" s="56"/>
      <c r="R12" s="56"/>
      <c r="S12" s="83"/>
    </row>
    <row r="13" spans="2:19" ht="15" thickBot="1" x14ac:dyDescent="0.35">
      <c r="B13" s="37" t="s">
        <v>143</v>
      </c>
      <c r="C13" s="38">
        <v>17894.849999999999</v>
      </c>
      <c r="D13" s="39">
        <v>-3.3999999999999998E-3</v>
      </c>
      <c r="F13" s="37" t="s">
        <v>143</v>
      </c>
      <c r="G13" s="44">
        <v>568.29999999999995</v>
      </c>
      <c r="H13" s="39">
        <v>-8.6999999999999994E-3</v>
      </c>
      <c r="K13" s="85" t="s">
        <v>390</v>
      </c>
      <c r="L13" s="47">
        <v>0.11321781192589112</v>
      </c>
      <c r="M13" s="55"/>
      <c r="N13" s="56"/>
      <c r="O13" s="56"/>
      <c r="P13" s="56"/>
      <c r="Q13" s="56"/>
      <c r="R13" s="56"/>
      <c r="S13" s="83"/>
    </row>
    <row r="14" spans="2:19" ht="15" thickBot="1" x14ac:dyDescent="0.35">
      <c r="B14" s="37" t="s">
        <v>144</v>
      </c>
      <c r="C14" s="40">
        <v>17956.599999999999</v>
      </c>
      <c r="D14" s="41">
        <v>5.4999999999999997E-3</v>
      </c>
      <c r="F14" s="37" t="s">
        <v>144</v>
      </c>
      <c r="G14" s="45">
        <v>573.29999999999995</v>
      </c>
      <c r="H14" s="41">
        <v>3.3E-3</v>
      </c>
      <c r="K14" s="85" t="s">
        <v>391</v>
      </c>
      <c r="L14" s="47">
        <v>3.5615855120130158E-2</v>
      </c>
      <c r="M14" s="55"/>
      <c r="N14" s="56"/>
      <c r="O14" s="56"/>
      <c r="P14" s="56"/>
      <c r="Q14" s="56"/>
      <c r="R14" s="56"/>
      <c r="S14" s="83"/>
    </row>
    <row r="15" spans="2:19" ht="15" thickBot="1" x14ac:dyDescent="0.35">
      <c r="B15" s="37" t="s">
        <v>145</v>
      </c>
      <c r="C15" s="38">
        <v>17858.2</v>
      </c>
      <c r="D15" s="39">
        <v>-2.0999999999999999E-3</v>
      </c>
      <c r="F15" s="37" t="s">
        <v>145</v>
      </c>
      <c r="G15" s="44">
        <v>571.4</v>
      </c>
      <c r="H15" s="39">
        <v>-1.52E-2</v>
      </c>
      <c r="K15" s="86" t="s">
        <v>392</v>
      </c>
      <c r="L15" s="48">
        <v>240</v>
      </c>
      <c r="M15" s="55"/>
      <c r="N15" s="56"/>
      <c r="O15" s="56"/>
      <c r="P15" s="56"/>
      <c r="Q15" s="56"/>
      <c r="R15" s="56"/>
      <c r="S15" s="83"/>
    </row>
    <row r="16" spans="2:19" ht="15" thickBot="1" x14ac:dyDescent="0.35">
      <c r="B16" s="37" t="s">
        <v>146</v>
      </c>
      <c r="C16" s="38">
        <v>17895.7</v>
      </c>
      <c r="D16" s="39">
        <v>-1E-3</v>
      </c>
      <c r="F16" s="37" t="s">
        <v>146</v>
      </c>
      <c r="G16" s="45">
        <v>580.20000000000005</v>
      </c>
      <c r="H16" s="41">
        <v>1.5299999999999999E-2</v>
      </c>
      <c r="K16" s="82"/>
      <c r="L16" s="56"/>
      <c r="M16" s="56"/>
      <c r="N16" s="56"/>
      <c r="O16" s="56"/>
      <c r="P16" s="56"/>
      <c r="Q16" s="56"/>
      <c r="R16" s="56"/>
      <c r="S16" s="83"/>
    </row>
    <row r="17" spans="2:19" ht="15" thickBot="1" x14ac:dyDescent="0.35">
      <c r="B17" s="37" t="s">
        <v>147</v>
      </c>
      <c r="C17" s="38">
        <v>17914.150000000001</v>
      </c>
      <c r="D17" s="39">
        <v>-1.03E-2</v>
      </c>
      <c r="F17" s="37" t="s">
        <v>147</v>
      </c>
      <c r="G17" s="44">
        <v>571.45000000000005</v>
      </c>
      <c r="H17" s="39">
        <v>-2.41E-2</v>
      </c>
      <c r="K17" s="82" t="s">
        <v>393</v>
      </c>
      <c r="L17" s="56"/>
      <c r="M17" s="56"/>
      <c r="N17" s="56"/>
      <c r="O17" s="56"/>
      <c r="P17" s="56"/>
      <c r="Q17" s="56"/>
      <c r="R17" s="56"/>
      <c r="S17" s="83"/>
    </row>
    <row r="18" spans="2:19" ht="15" thickBot="1" x14ac:dyDescent="0.35">
      <c r="B18" s="37" t="s">
        <v>148</v>
      </c>
      <c r="C18" s="40">
        <v>18101.2</v>
      </c>
      <c r="D18" s="41">
        <v>1.35E-2</v>
      </c>
      <c r="F18" s="37" t="s">
        <v>148</v>
      </c>
      <c r="G18" s="45">
        <v>585.54999999999995</v>
      </c>
      <c r="H18" s="41">
        <v>3.0300000000000001E-2</v>
      </c>
      <c r="K18" s="87"/>
      <c r="L18" s="49" t="s">
        <v>398</v>
      </c>
      <c r="M18" s="49" t="s">
        <v>399</v>
      </c>
      <c r="N18" s="49" t="s">
        <v>400</v>
      </c>
      <c r="O18" s="49" t="s">
        <v>401</v>
      </c>
      <c r="P18" s="49" t="s">
        <v>402</v>
      </c>
      <c r="Q18" s="101"/>
      <c r="R18" s="101"/>
      <c r="S18" s="102"/>
    </row>
    <row r="19" spans="2:19" ht="15" thickBot="1" x14ac:dyDescent="0.35">
      <c r="B19" s="37" t="s">
        <v>149</v>
      </c>
      <c r="C19" s="38">
        <v>17859.45</v>
      </c>
      <c r="D19" s="39">
        <v>-7.4000000000000003E-3</v>
      </c>
      <c r="F19" s="37" t="s">
        <v>149</v>
      </c>
      <c r="G19" s="44">
        <v>568.35</v>
      </c>
      <c r="H19" s="39">
        <v>-9.7999999999999997E-3</v>
      </c>
      <c r="K19" s="85" t="s">
        <v>394</v>
      </c>
      <c r="L19" s="47">
        <v>1</v>
      </c>
      <c r="M19" s="47">
        <v>3.9974859605065194E-2</v>
      </c>
      <c r="N19" s="47">
        <v>3.9974859605065194E-2</v>
      </c>
      <c r="O19" s="47">
        <v>31.513757960175262</v>
      </c>
      <c r="P19" s="47">
        <v>5.4957353437879569E-8</v>
      </c>
      <c r="Q19" s="56"/>
      <c r="R19" s="56"/>
      <c r="S19" s="83"/>
    </row>
    <row r="20" spans="2:19" ht="15" thickBot="1" x14ac:dyDescent="0.35">
      <c r="B20" s="37" t="s">
        <v>150</v>
      </c>
      <c r="C20" s="38">
        <v>17992.150000000001</v>
      </c>
      <c r="D20" s="39">
        <v>-2.8E-3</v>
      </c>
      <c r="F20" s="37" t="s">
        <v>150</v>
      </c>
      <c r="G20" s="44">
        <v>573.95000000000005</v>
      </c>
      <c r="H20" s="39">
        <v>-1.78E-2</v>
      </c>
      <c r="K20" s="85" t="s">
        <v>395</v>
      </c>
      <c r="L20" s="47">
        <v>238</v>
      </c>
      <c r="M20" s="47">
        <v>0.3019004143532682</v>
      </c>
      <c r="N20" s="47">
        <v>1.2684891359381017E-3</v>
      </c>
      <c r="O20" s="47"/>
      <c r="P20" s="47"/>
      <c r="Q20" s="56"/>
      <c r="R20" s="56"/>
      <c r="S20" s="83"/>
    </row>
    <row r="21" spans="2:19" ht="15" thickBot="1" x14ac:dyDescent="0.35">
      <c r="B21" s="37" t="s">
        <v>151</v>
      </c>
      <c r="C21" s="38">
        <v>18042.95</v>
      </c>
      <c r="D21" s="39">
        <v>-1.04E-2</v>
      </c>
      <c r="F21" s="37" t="s">
        <v>151</v>
      </c>
      <c r="G21" s="44">
        <v>584.35</v>
      </c>
      <c r="H21" s="39">
        <v>-2.6599999999999999E-2</v>
      </c>
      <c r="K21" s="86" t="s">
        <v>396</v>
      </c>
      <c r="L21" s="48">
        <v>239</v>
      </c>
      <c r="M21" s="48">
        <v>0.34187527395833339</v>
      </c>
      <c r="N21" s="48"/>
      <c r="O21" s="48"/>
      <c r="P21" s="48"/>
      <c r="Q21" s="56"/>
      <c r="R21" s="56"/>
      <c r="S21" s="83"/>
    </row>
    <row r="22" spans="2:19" ht="15" thickBot="1" x14ac:dyDescent="0.35">
      <c r="B22" s="37" t="s">
        <v>152</v>
      </c>
      <c r="C22" s="40">
        <v>18232.55</v>
      </c>
      <c r="D22" s="41">
        <v>1.9E-3</v>
      </c>
      <c r="F22" s="37" t="s">
        <v>152</v>
      </c>
      <c r="G22" s="44">
        <v>600.29999999999995</v>
      </c>
      <c r="H22" s="39">
        <v>-6.0000000000000001E-3</v>
      </c>
      <c r="K22" s="82"/>
      <c r="L22" s="56"/>
      <c r="M22" s="56"/>
      <c r="N22" s="56"/>
      <c r="O22" s="56"/>
      <c r="P22" s="56"/>
      <c r="Q22" s="99"/>
      <c r="R22" s="99"/>
      <c r="S22" s="100"/>
    </row>
    <row r="23" spans="2:19" ht="15" thickBot="1" x14ac:dyDescent="0.35">
      <c r="B23" s="37" t="s">
        <v>153</v>
      </c>
      <c r="C23" s="40">
        <v>18197.45</v>
      </c>
      <c r="D23" s="41">
        <v>5.1000000000000004E-3</v>
      </c>
      <c r="F23" s="37" t="s">
        <v>153</v>
      </c>
      <c r="G23" s="44">
        <v>603.95000000000005</v>
      </c>
      <c r="H23" s="39">
        <v>-2.2200000000000001E-2</v>
      </c>
      <c r="K23" s="87"/>
      <c r="L23" s="49" t="s">
        <v>403</v>
      </c>
      <c r="M23" s="49" t="s">
        <v>391</v>
      </c>
      <c r="N23" s="49" t="s">
        <v>404</v>
      </c>
      <c r="O23" s="49" t="s">
        <v>405</v>
      </c>
      <c r="P23" s="49" t="s">
        <v>406</v>
      </c>
      <c r="Q23" s="49" t="s">
        <v>407</v>
      </c>
      <c r="R23" s="49" t="s">
        <v>408</v>
      </c>
      <c r="S23" s="88" t="s">
        <v>409</v>
      </c>
    </row>
    <row r="24" spans="2:19" ht="15" thickBot="1" x14ac:dyDescent="0.35">
      <c r="B24" s="37" t="s">
        <v>154</v>
      </c>
      <c r="C24" s="38">
        <v>18105.3</v>
      </c>
      <c r="D24" s="39">
        <v>-4.7000000000000002E-3</v>
      </c>
      <c r="F24" s="37" t="s">
        <v>154</v>
      </c>
      <c r="G24" s="45">
        <v>617.65</v>
      </c>
      <c r="H24" s="41">
        <v>2.06E-2</v>
      </c>
      <c r="K24" s="85" t="s">
        <v>397</v>
      </c>
      <c r="L24" s="47">
        <v>3.3898133523435061E-3</v>
      </c>
      <c r="M24" s="47">
        <v>2.2994240610843051E-3</v>
      </c>
      <c r="N24" s="47">
        <v>1.4742010443889251</v>
      </c>
      <c r="O24" s="47">
        <v>0.14174894530367102</v>
      </c>
      <c r="P24" s="47">
        <v>-1.1400095765492927E-3</v>
      </c>
      <c r="Q24" s="47">
        <v>7.9196362812363058E-3</v>
      </c>
      <c r="R24" s="47">
        <v>-1.1400095765492927E-3</v>
      </c>
      <c r="S24" s="89">
        <v>7.9196362812363058E-3</v>
      </c>
    </row>
    <row r="25" spans="2:19" ht="15" thickBot="1" x14ac:dyDescent="0.35">
      <c r="B25" s="37" t="s">
        <v>155</v>
      </c>
      <c r="C25" s="40">
        <v>18191</v>
      </c>
      <c r="D25" s="41">
        <v>3.8E-3</v>
      </c>
      <c r="F25" s="37" t="s">
        <v>155</v>
      </c>
      <c r="G25" s="45">
        <v>605.20000000000005</v>
      </c>
      <c r="H25" s="41">
        <v>4.65E-2</v>
      </c>
      <c r="K25" s="86" t="s">
        <v>410</v>
      </c>
      <c r="L25" s="48">
        <v>1.2085644241443199</v>
      </c>
      <c r="M25" s="48">
        <v>0.21528794310111443</v>
      </c>
      <c r="N25" s="48">
        <v>5.6137116028680367</v>
      </c>
      <c r="O25" s="48">
        <v>5.4957353437880283E-8</v>
      </c>
      <c r="P25" s="48">
        <v>0.78445115270463228</v>
      </c>
      <c r="Q25" s="48">
        <v>1.6326776955840074</v>
      </c>
      <c r="R25" s="48">
        <v>0.78445115270463228</v>
      </c>
      <c r="S25" s="90">
        <v>1.6326776955840074</v>
      </c>
    </row>
    <row r="26" spans="2:19" ht="15" thickBot="1" x14ac:dyDescent="0.35">
      <c r="B26" s="37" t="s">
        <v>156</v>
      </c>
      <c r="C26" s="38">
        <v>18122.5</v>
      </c>
      <c r="D26" s="39">
        <v>-5.0000000000000001E-4</v>
      </c>
      <c r="F26" s="37" t="s">
        <v>156</v>
      </c>
      <c r="G26" s="45">
        <v>578.29999999999995</v>
      </c>
      <c r="H26" s="41">
        <v>4.99E-2</v>
      </c>
    </row>
    <row r="27" spans="2:19" ht="15" thickBot="1" x14ac:dyDescent="0.35">
      <c r="B27" s="37" t="s">
        <v>157</v>
      </c>
      <c r="C27" s="40">
        <v>18132.3</v>
      </c>
      <c r="D27" s="41">
        <v>6.4999999999999997E-3</v>
      </c>
      <c r="F27" s="37" t="s">
        <v>157</v>
      </c>
      <c r="G27" s="45">
        <v>550.79999999999995</v>
      </c>
      <c r="H27" s="41">
        <v>4.99E-2</v>
      </c>
    </row>
    <row r="28" spans="2:19" ht="15" thickBot="1" x14ac:dyDescent="0.35">
      <c r="B28" s="37" t="s">
        <v>158</v>
      </c>
      <c r="C28" s="40">
        <v>18014.599999999999</v>
      </c>
      <c r="D28" s="41">
        <v>1.17E-2</v>
      </c>
      <c r="F28" s="37" t="s">
        <v>158</v>
      </c>
      <c r="G28" s="45">
        <v>524.6</v>
      </c>
      <c r="H28" s="41">
        <v>4.99E-2</v>
      </c>
    </row>
    <row r="29" spans="2:19" ht="15" thickBot="1" x14ac:dyDescent="0.35">
      <c r="B29" s="37" t="s">
        <v>159</v>
      </c>
      <c r="C29" s="38">
        <v>17806.8</v>
      </c>
      <c r="D29" s="39">
        <v>-1.77E-2</v>
      </c>
      <c r="F29" s="37" t="s">
        <v>159</v>
      </c>
      <c r="G29" s="44">
        <v>499.65</v>
      </c>
      <c r="H29" s="39">
        <v>-9.5799999999999996E-2</v>
      </c>
    </row>
    <row r="30" spans="2:19" ht="15" thickBot="1" x14ac:dyDescent="0.35">
      <c r="B30" s="37" t="s">
        <v>160</v>
      </c>
      <c r="C30" s="38">
        <v>18127.349999999999</v>
      </c>
      <c r="D30" s="39">
        <v>-3.8999999999999998E-3</v>
      </c>
      <c r="F30" s="37" t="s">
        <v>160</v>
      </c>
      <c r="G30" s="44">
        <v>552.6</v>
      </c>
      <c r="H30" s="39">
        <v>-6.0400000000000002E-2</v>
      </c>
    </row>
    <row r="31" spans="2:19" ht="15" thickBot="1" x14ac:dyDescent="0.35">
      <c r="B31" s="37" t="s">
        <v>161</v>
      </c>
      <c r="C31" s="38">
        <v>18199.099999999999</v>
      </c>
      <c r="D31" s="39">
        <v>-1.01E-2</v>
      </c>
      <c r="F31" s="37" t="s">
        <v>161</v>
      </c>
      <c r="G31" s="44">
        <v>588.1</v>
      </c>
      <c r="H31" s="39">
        <v>-5.5399999999999998E-2</v>
      </c>
    </row>
    <row r="32" spans="2:19" ht="15" thickBot="1" x14ac:dyDescent="0.35">
      <c r="B32" s="37" t="s">
        <v>162</v>
      </c>
      <c r="C32" s="38">
        <v>18385.3</v>
      </c>
      <c r="D32" s="39">
        <v>-1.9E-3</v>
      </c>
      <c r="F32" s="37" t="s">
        <v>162</v>
      </c>
      <c r="G32" s="44">
        <v>622.6</v>
      </c>
      <c r="H32" s="39">
        <v>-1.0800000000000001E-2</v>
      </c>
    </row>
    <row r="33" spans="2:8" ht="15" thickBot="1" x14ac:dyDescent="0.35">
      <c r="B33" s="37" t="s">
        <v>163</v>
      </c>
      <c r="C33" s="40">
        <v>18420.45</v>
      </c>
      <c r="D33" s="41">
        <v>8.3000000000000001E-3</v>
      </c>
      <c r="F33" s="37" t="s">
        <v>163</v>
      </c>
      <c r="G33" s="44">
        <v>629.4</v>
      </c>
      <c r="H33" s="39">
        <v>-1.0800000000000001E-2</v>
      </c>
    </row>
    <row r="34" spans="2:8" ht="15" thickBot="1" x14ac:dyDescent="0.35">
      <c r="B34" s="37" t="s">
        <v>164</v>
      </c>
      <c r="C34" s="38">
        <v>18269</v>
      </c>
      <c r="D34" s="39">
        <v>-7.9000000000000008E-3</v>
      </c>
      <c r="F34" s="37" t="s">
        <v>164</v>
      </c>
      <c r="G34" s="44">
        <v>636.25</v>
      </c>
      <c r="H34" s="39">
        <v>-8.3999999999999995E-3</v>
      </c>
    </row>
    <row r="35" spans="2:8" ht="15" thickBot="1" x14ac:dyDescent="0.35">
      <c r="B35" s="37" t="s">
        <v>165</v>
      </c>
      <c r="C35" s="38">
        <v>18414.900000000001</v>
      </c>
      <c r="D35" s="39">
        <v>-1.32E-2</v>
      </c>
      <c r="F35" s="37" t="s">
        <v>165</v>
      </c>
      <c r="G35" s="44">
        <v>641.65</v>
      </c>
      <c r="H35" s="39">
        <v>-7.7000000000000002E-3</v>
      </c>
    </row>
    <row r="36" spans="2:8" ht="15" thickBot="1" x14ac:dyDescent="0.35">
      <c r="B36" s="37" t="s">
        <v>166</v>
      </c>
      <c r="C36" s="40">
        <v>18660.3</v>
      </c>
      <c r="D36" s="41">
        <v>2.8E-3</v>
      </c>
      <c r="F36" s="37" t="s">
        <v>166</v>
      </c>
      <c r="G36" s="44">
        <v>646.65</v>
      </c>
      <c r="H36" s="39">
        <v>-7.1000000000000004E-3</v>
      </c>
    </row>
    <row r="37" spans="2:8" ht="15" thickBot="1" x14ac:dyDescent="0.35">
      <c r="B37" s="37" t="s">
        <v>167</v>
      </c>
      <c r="C37" s="40">
        <v>18608</v>
      </c>
      <c r="D37" s="41">
        <v>6.0000000000000001E-3</v>
      </c>
      <c r="F37" s="37" t="s">
        <v>167</v>
      </c>
      <c r="G37" s="45">
        <v>651.25</v>
      </c>
      <c r="H37" s="41">
        <v>1.9800000000000002E-2</v>
      </c>
    </row>
    <row r="38" spans="2:8" ht="15" thickBot="1" x14ac:dyDescent="0.35">
      <c r="B38" s="37" t="s">
        <v>168</v>
      </c>
      <c r="C38" s="40">
        <v>18497.150000000001</v>
      </c>
      <c r="D38" s="41">
        <v>0</v>
      </c>
      <c r="F38" s="37" t="s">
        <v>168</v>
      </c>
      <c r="G38" s="44">
        <v>638.6</v>
      </c>
      <c r="H38" s="39">
        <v>-8.0000000000000004E-4</v>
      </c>
    </row>
    <row r="39" spans="2:8" ht="15" thickBot="1" x14ac:dyDescent="0.35">
      <c r="B39" s="37" t="s">
        <v>169</v>
      </c>
      <c r="C39" s="38">
        <v>18496.599999999999</v>
      </c>
      <c r="D39" s="39">
        <v>-6.1000000000000004E-3</v>
      </c>
      <c r="F39" s="37" t="s">
        <v>169</v>
      </c>
      <c r="G39" s="44">
        <v>639.1</v>
      </c>
      <c r="H39" s="39">
        <v>-2.0799999999999999E-2</v>
      </c>
    </row>
    <row r="40" spans="2:8" ht="15" thickBot="1" x14ac:dyDescent="0.35">
      <c r="B40" s="37" t="s">
        <v>170</v>
      </c>
      <c r="C40" s="40">
        <v>18609.349999999999</v>
      </c>
      <c r="D40" s="41">
        <v>2.5999999999999999E-3</v>
      </c>
      <c r="F40" s="37" t="s">
        <v>170</v>
      </c>
      <c r="G40" s="45">
        <v>652.70000000000005</v>
      </c>
      <c r="H40" s="41">
        <v>1.5E-3</v>
      </c>
    </row>
    <row r="41" spans="2:8" ht="15" thickBot="1" x14ac:dyDescent="0.35">
      <c r="B41" s="37" t="s">
        <v>171</v>
      </c>
      <c r="C41" s="38">
        <v>18560.5</v>
      </c>
      <c r="D41" s="39">
        <v>-4.4000000000000003E-3</v>
      </c>
      <c r="F41" s="37" t="s">
        <v>171</v>
      </c>
      <c r="G41" s="45">
        <v>651.70000000000005</v>
      </c>
      <c r="H41" s="41">
        <v>5.4999999999999997E-3</v>
      </c>
    </row>
    <row r="42" spans="2:8" ht="15" thickBot="1" x14ac:dyDescent="0.35">
      <c r="B42" s="37" t="s">
        <v>172</v>
      </c>
      <c r="C42" s="38">
        <v>18642.75</v>
      </c>
      <c r="D42" s="39">
        <v>-3.0999999999999999E-3</v>
      </c>
      <c r="F42" s="37" t="s">
        <v>172</v>
      </c>
      <c r="G42" s="45">
        <v>648.15</v>
      </c>
      <c r="H42" s="41">
        <v>1.32E-2</v>
      </c>
    </row>
    <row r="43" spans="2:8" ht="15" thickBot="1" x14ac:dyDescent="0.35">
      <c r="B43" s="37" t="s">
        <v>173</v>
      </c>
      <c r="C43" s="40">
        <v>18701.05</v>
      </c>
      <c r="D43" s="41">
        <v>2.9999999999999997E-4</v>
      </c>
      <c r="F43" s="37" t="s">
        <v>173</v>
      </c>
      <c r="G43" s="44">
        <v>639.70000000000005</v>
      </c>
      <c r="H43" s="39">
        <v>-2.7000000000000001E-3</v>
      </c>
    </row>
    <row r="44" spans="2:8" ht="15" thickBot="1" x14ac:dyDescent="0.35">
      <c r="B44" s="37" t="s">
        <v>174</v>
      </c>
      <c r="C44" s="38">
        <v>18696.099999999999</v>
      </c>
      <c r="D44" s="39">
        <v>-6.1999999999999998E-3</v>
      </c>
      <c r="F44" s="37" t="s">
        <v>174</v>
      </c>
      <c r="G44" s="44">
        <v>641.4</v>
      </c>
      <c r="H44" s="39">
        <v>-9.2999999999999992E-3</v>
      </c>
    </row>
    <row r="45" spans="2:8" ht="15" thickBot="1" x14ac:dyDescent="0.35">
      <c r="B45" s="37" t="s">
        <v>175</v>
      </c>
      <c r="C45" s="40">
        <v>18812.5</v>
      </c>
      <c r="D45" s="41">
        <v>2.8999999999999998E-3</v>
      </c>
      <c r="F45" s="37" t="s">
        <v>175</v>
      </c>
      <c r="G45" s="45">
        <v>647.4</v>
      </c>
      <c r="H45" s="41">
        <v>2.7E-2</v>
      </c>
    </row>
    <row r="46" spans="2:8" ht="15" thickBot="1" x14ac:dyDescent="0.35">
      <c r="B46" s="37" t="s">
        <v>176</v>
      </c>
      <c r="C46" s="40">
        <v>18758.349999999999</v>
      </c>
      <c r="D46" s="41">
        <v>7.4999999999999997E-3</v>
      </c>
      <c r="F46" s="37" t="s">
        <v>284</v>
      </c>
      <c r="G46" s="45">
        <v>630.35</v>
      </c>
      <c r="H46" s="41">
        <v>1.2200000000000001E-2</v>
      </c>
    </row>
    <row r="47" spans="2:8" ht="15" thickBot="1" x14ac:dyDescent="0.35">
      <c r="B47" s="37" t="s">
        <v>177</v>
      </c>
      <c r="C47" s="40">
        <v>18618.05</v>
      </c>
      <c r="D47" s="41">
        <v>3.0000000000000001E-3</v>
      </c>
      <c r="F47" s="37" t="s">
        <v>177</v>
      </c>
      <c r="G47" s="44">
        <v>622.75</v>
      </c>
      <c r="H47" s="39">
        <v>-1.24E-2</v>
      </c>
    </row>
    <row r="48" spans="2:8" ht="15" thickBot="1" x14ac:dyDescent="0.35">
      <c r="B48" s="37" t="s">
        <v>178</v>
      </c>
      <c r="C48" s="40">
        <v>18562.75</v>
      </c>
      <c r="D48" s="41">
        <v>2.7000000000000001E-3</v>
      </c>
      <c r="F48" s="37" t="s">
        <v>178</v>
      </c>
      <c r="G48" s="44">
        <v>630.6</v>
      </c>
      <c r="H48" s="39">
        <v>-1.4E-3</v>
      </c>
    </row>
    <row r="49" spans="2:8" ht="15" thickBot="1" x14ac:dyDescent="0.35">
      <c r="B49" s="37" t="s">
        <v>179</v>
      </c>
      <c r="C49" s="40">
        <v>18512.75</v>
      </c>
      <c r="D49" s="41">
        <v>1.6000000000000001E-3</v>
      </c>
      <c r="F49" s="37" t="s">
        <v>179</v>
      </c>
      <c r="G49" s="44">
        <v>631.5</v>
      </c>
      <c r="H49" s="39">
        <v>-1.5E-3</v>
      </c>
    </row>
    <row r="50" spans="2:8" ht="15" thickBot="1" x14ac:dyDescent="0.35">
      <c r="B50" s="37" t="s">
        <v>180</v>
      </c>
      <c r="C50" s="40">
        <v>18484.099999999999</v>
      </c>
      <c r="D50" s="41">
        <v>1.1900000000000001E-2</v>
      </c>
      <c r="F50" s="37" t="s">
        <v>180</v>
      </c>
      <c r="G50" s="44">
        <v>632.45000000000005</v>
      </c>
      <c r="H50" s="39">
        <v>-1.26E-2</v>
      </c>
    </row>
    <row r="51" spans="2:8" ht="15" thickBot="1" x14ac:dyDescent="0.35">
      <c r="B51" s="37" t="s">
        <v>181</v>
      </c>
      <c r="C51" s="40">
        <v>18267.25</v>
      </c>
      <c r="D51" s="41">
        <v>1.2999999999999999E-3</v>
      </c>
      <c r="F51" s="37" t="s">
        <v>181</v>
      </c>
      <c r="G51" s="45">
        <v>640.54999999999995</v>
      </c>
      <c r="H51" s="41">
        <v>5.1999999999999998E-3</v>
      </c>
    </row>
    <row r="52" spans="2:8" ht="15" thickBot="1" x14ac:dyDescent="0.35">
      <c r="B52" s="37" t="s">
        <v>182</v>
      </c>
      <c r="C52" s="40">
        <v>18244.2</v>
      </c>
      <c r="D52" s="41">
        <v>4.5999999999999999E-3</v>
      </c>
      <c r="F52" s="37" t="s">
        <v>182</v>
      </c>
      <c r="G52" s="45">
        <v>637.25</v>
      </c>
      <c r="H52" s="41">
        <v>2.58E-2</v>
      </c>
    </row>
    <row r="53" spans="2:8" ht="15" thickBot="1" x14ac:dyDescent="0.35">
      <c r="B53" s="37" t="s">
        <v>183</v>
      </c>
      <c r="C53" s="38">
        <v>18159.95</v>
      </c>
      <c r="D53" s="39">
        <v>-8.0999999999999996E-3</v>
      </c>
      <c r="F53" s="37" t="s">
        <v>183</v>
      </c>
      <c r="G53" s="44">
        <v>621.20000000000005</v>
      </c>
      <c r="H53" s="39">
        <v>-2.4199999999999999E-2</v>
      </c>
    </row>
    <row r="54" spans="2:8" ht="15" thickBot="1" x14ac:dyDescent="0.35">
      <c r="B54" s="37" t="s">
        <v>184</v>
      </c>
      <c r="C54" s="38">
        <v>18307.650000000001</v>
      </c>
      <c r="D54" s="39">
        <v>-2E-3</v>
      </c>
      <c r="F54" s="37" t="s">
        <v>184</v>
      </c>
      <c r="G54" s="44">
        <v>636.6</v>
      </c>
      <c r="H54" s="39">
        <v>-1.6899999999999998E-2</v>
      </c>
    </row>
    <row r="55" spans="2:8" ht="15" thickBot="1" x14ac:dyDescent="0.35">
      <c r="B55" s="37" t="s">
        <v>185</v>
      </c>
      <c r="C55" s="38">
        <v>18343.900000000001</v>
      </c>
      <c r="D55" s="39">
        <v>-3.5999999999999999E-3</v>
      </c>
      <c r="F55" s="37" t="s">
        <v>185</v>
      </c>
      <c r="G55" s="44">
        <v>647.54999999999995</v>
      </c>
      <c r="H55" s="39">
        <v>-8.5000000000000006E-3</v>
      </c>
    </row>
    <row r="56" spans="2:8" ht="15" thickBot="1" x14ac:dyDescent="0.35">
      <c r="B56" s="37" t="s">
        <v>186</v>
      </c>
      <c r="C56" s="40">
        <v>18409.650000000001</v>
      </c>
      <c r="D56" s="41">
        <v>2.9999999999999997E-4</v>
      </c>
      <c r="F56" s="37" t="s">
        <v>186</v>
      </c>
      <c r="G56" s="44">
        <v>653.1</v>
      </c>
      <c r="H56" s="39">
        <v>-2.24E-2</v>
      </c>
    </row>
    <row r="57" spans="2:8" ht="15" thickBot="1" x14ac:dyDescent="0.35">
      <c r="B57" s="37" t="s">
        <v>187</v>
      </c>
      <c r="C57" s="40">
        <v>18403.400000000001</v>
      </c>
      <c r="D57" s="41">
        <v>4.1000000000000003E-3</v>
      </c>
      <c r="F57" s="37" t="s">
        <v>187</v>
      </c>
      <c r="G57" s="45">
        <v>668.05</v>
      </c>
      <c r="H57" s="41">
        <v>4.0000000000000002E-4</v>
      </c>
    </row>
    <row r="58" spans="2:8" ht="15" thickBot="1" x14ac:dyDescent="0.35">
      <c r="B58" s="37" t="s">
        <v>188</v>
      </c>
      <c r="C58" s="38">
        <v>18329.150000000001</v>
      </c>
      <c r="D58" s="39">
        <v>-1.1000000000000001E-3</v>
      </c>
      <c r="F58" s="37" t="s">
        <v>188</v>
      </c>
      <c r="G58" s="44">
        <v>667.75</v>
      </c>
      <c r="H58" s="39">
        <v>-1.12E-2</v>
      </c>
    </row>
    <row r="59" spans="2:8" ht="15" thickBot="1" x14ac:dyDescent="0.35">
      <c r="B59" s="37" t="s">
        <v>189</v>
      </c>
      <c r="C59" s="40">
        <v>18349.7</v>
      </c>
      <c r="D59" s="41">
        <v>1.78E-2</v>
      </c>
      <c r="F59" s="37" t="s">
        <v>189</v>
      </c>
      <c r="G59" s="44">
        <v>675.3</v>
      </c>
      <c r="H59" s="39">
        <v>-6.4999999999999997E-3</v>
      </c>
    </row>
    <row r="60" spans="2:8" ht="15" thickBot="1" x14ac:dyDescent="0.35">
      <c r="B60" s="37" t="s">
        <v>190</v>
      </c>
      <c r="C60" s="38">
        <v>18028.2</v>
      </c>
      <c r="D60" s="39">
        <v>-7.1000000000000004E-3</v>
      </c>
      <c r="F60" s="37" t="s">
        <v>190</v>
      </c>
      <c r="G60" s="44">
        <v>679.75</v>
      </c>
      <c r="H60" s="39">
        <v>-1.2999999999999999E-2</v>
      </c>
    </row>
    <row r="61" spans="2:8" ht="15" thickBot="1" x14ac:dyDescent="0.35">
      <c r="B61" s="37" t="s">
        <v>191</v>
      </c>
      <c r="C61" s="38">
        <v>18157</v>
      </c>
      <c r="D61" s="39">
        <v>-2.5000000000000001E-3</v>
      </c>
      <c r="F61" s="37" t="s">
        <v>191</v>
      </c>
      <c r="G61" s="45">
        <v>688.7</v>
      </c>
      <c r="H61" s="41">
        <v>6.8999999999999999E-3</v>
      </c>
    </row>
    <row r="62" spans="2:8" ht="15" thickBot="1" x14ac:dyDescent="0.35">
      <c r="B62" s="37" t="s">
        <v>192</v>
      </c>
      <c r="C62" s="40">
        <v>18202.8</v>
      </c>
      <c r="D62" s="41">
        <v>4.7000000000000002E-3</v>
      </c>
      <c r="F62" s="37" t="s">
        <v>192</v>
      </c>
      <c r="G62" s="44">
        <v>684</v>
      </c>
      <c r="H62" s="39">
        <v>-8.0000000000000004E-4</v>
      </c>
    </row>
    <row r="63" spans="2:8" ht="15" thickBot="1" x14ac:dyDescent="0.35">
      <c r="B63" s="37" t="s">
        <v>193</v>
      </c>
      <c r="C63" s="40">
        <v>18117.150000000001</v>
      </c>
      <c r="D63" s="41">
        <v>3.5999999999999999E-3</v>
      </c>
      <c r="F63" s="37" t="s">
        <v>193</v>
      </c>
      <c r="G63" s="45">
        <v>684.55</v>
      </c>
      <c r="H63" s="41">
        <v>3.3E-3</v>
      </c>
    </row>
    <row r="64" spans="2:8" ht="15" thickBot="1" x14ac:dyDescent="0.35">
      <c r="B64" s="37" t="s">
        <v>194</v>
      </c>
      <c r="C64" s="38">
        <v>18052.7</v>
      </c>
      <c r="D64" s="39">
        <v>-1.6999999999999999E-3</v>
      </c>
      <c r="F64" s="37" t="s">
        <v>194</v>
      </c>
      <c r="G64" s="44">
        <v>682.3</v>
      </c>
      <c r="H64" s="39">
        <v>-2.35E-2</v>
      </c>
    </row>
    <row r="65" spans="2:8" ht="15" thickBot="1" x14ac:dyDescent="0.35">
      <c r="B65" s="37" t="s">
        <v>195</v>
      </c>
      <c r="C65" s="38">
        <v>18082.849999999999</v>
      </c>
      <c r="D65" s="39">
        <v>-3.3999999999999998E-3</v>
      </c>
      <c r="F65" s="37" t="s">
        <v>195</v>
      </c>
      <c r="G65" s="44">
        <v>698.75</v>
      </c>
      <c r="H65" s="39">
        <v>-2.47E-2</v>
      </c>
    </row>
    <row r="66" spans="2:8" ht="15" thickBot="1" x14ac:dyDescent="0.35">
      <c r="B66" s="37" t="s">
        <v>196</v>
      </c>
      <c r="C66" s="40">
        <v>18145.400000000001</v>
      </c>
      <c r="D66" s="41">
        <v>7.4000000000000003E-3</v>
      </c>
      <c r="F66" s="37" t="s">
        <v>196</v>
      </c>
      <c r="G66" s="45">
        <v>716.45</v>
      </c>
      <c r="H66" s="41">
        <v>6.5500000000000003E-2</v>
      </c>
    </row>
    <row r="67" spans="2:8" ht="15" thickBot="1" x14ac:dyDescent="0.35">
      <c r="B67" s="37" t="s">
        <v>197</v>
      </c>
      <c r="C67" s="40">
        <v>18012.2</v>
      </c>
      <c r="D67" s="41">
        <v>1.2699999999999999E-2</v>
      </c>
      <c r="F67" s="37" t="s">
        <v>197</v>
      </c>
      <c r="G67" s="45">
        <v>672.4</v>
      </c>
      <c r="H67" s="41">
        <v>2E-3</v>
      </c>
    </row>
    <row r="68" spans="2:8" ht="15" thickBot="1" x14ac:dyDescent="0.35">
      <c r="B68" s="37" t="s">
        <v>198</v>
      </c>
      <c r="C68" s="40">
        <v>17786.8</v>
      </c>
      <c r="D68" s="41">
        <v>2.8E-3</v>
      </c>
      <c r="F68" s="37" t="s">
        <v>198</v>
      </c>
      <c r="G68" s="45">
        <v>671.05</v>
      </c>
      <c r="H68" s="41">
        <v>6.9999999999999999E-4</v>
      </c>
    </row>
    <row r="69" spans="2:8" ht="15" thickBot="1" x14ac:dyDescent="0.35">
      <c r="B69" s="37" t="s">
        <v>199</v>
      </c>
      <c r="C69" s="40">
        <v>17736.95</v>
      </c>
      <c r="D69" s="41">
        <v>4.5999999999999999E-3</v>
      </c>
      <c r="F69" s="37" t="s">
        <v>199</v>
      </c>
      <c r="G69" s="44">
        <v>670.55</v>
      </c>
      <c r="H69" s="39">
        <v>-1.1599999999999999E-2</v>
      </c>
    </row>
    <row r="70" spans="2:8" ht="15" thickBot="1" x14ac:dyDescent="0.35">
      <c r="B70" s="37" t="s">
        <v>200</v>
      </c>
      <c r="C70" s="38">
        <v>17656.349999999999</v>
      </c>
      <c r="D70" s="39">
        <v>-4.1999999999999997E-3</v>
      </c>
      <c r="F70" s="37" t="s">
        <v>200</v>
      </c>
      <c r="G70" s="44">
        <v>678.4</v>
      </c>
      <c r="H70" s="39">
        <v>-1.4500000000000001E-2</v>
      </c>
    </row>
    <row r="71" spans="2:8" ht="15" thickBot="1" x14ac:dyDescent="0.35">
      <c r="B71" s="37" t="s">
        <v>201</v>
      </c>
      <c r="C71" s="40">
        <v>17730.75</v>
      </c>
      <c r="D71" s="41">
        <v>8.8000000000000005E-3</v>
      </c>
      <c r="F71" s="37" t="s">
        <v>201</v>
      </c>
      <c r="G71" s="45">
        <v>688.4</v>
      </c>
      <c r="H71" s="41">
        <v>8.8999999999999999E-3</v>
      </c>
    </row>
    <row r="72" spans="2:8" ht="15" thickBot="1" x14ac:dyDescent="0.35">
      <c r="B72" s="37" t="s">
        <v>202</v>
      </c>
      <c r="C72" s="40">
        <v>17576.3</v>
      </c>
      <c r="D72" s="41">
        <v>6.9999999999999999E-4</v>
      </c>
      <c r="F72" s="37" t="s">
        <v>202</v>
      </c>
      <c r="G72" s="44">
        <v>682.3</v>
      </c>
      <c r="H72" s="39">
        <v>-1.61E-2</v>
      </c>
    </row>
    <row r="73" spans="2:8" ht="15" thickBot="1" x14ac:dyDescent="0.35">
      <c r="B73" s="37" t="s">
        <v>203</v>
      </c>
      <c r="C73" s="40">
        <v>17563.95</v>
      </c>
      <c r="D73" s="41">
        <v>3.0000000000000001E-3</v>
      </c>
      <c r="F73" s="37" t="s">
        <v>203</v>
      </c>
      <c r="G73" s="44">
        <v>693.5</v>
      </c>
      <c r="H73" s="39">
        <v>-3.8999999999999998E-3</v>
      </c>
    </row>
    <row r="74" spans="2:8" ht="15" thickBot="1" x14ac:dyDescent="0.35">
      <c r="B74" s="37" t="s">
        <v>204</v>
      </c>
      <c r="C74" s="40">
        <v>17512.25</v>
      </c>
      <c r="D74" s="41">
        <v>1.4E-3</v>
      </c>
      <c r="F74" s="37" t="s">
        <v>204</v>
      </c>
      <c r="G74" s="45">
        <v>696.2</v>
      </c>
      <c r="H74" s="41">
        <v>5.1000000000000004E-3</v>
      </c>
    </row>
    <row r="75" spans="2:8" ht="15" thickBot="1" x14ac:dyDescent="0.35">
      <c r="B75" s="37" t="s">
        <v>205</v>
      </c>
      <c r="C75" s="40">
        <v>17486.95</v>
      </c>
      <c r="D75" s="41">
        <v>1.01E-2</v>
      </c>
      <c r="F75" s="37" t="s">
        <v>205</v>
      </c>
      <c r="G75" s="45">
        <v>692.7</v>
      </c>
      <c r="H75" s="41">
        <v>4.7600000000000003E-2</v>
      </c>
    </row>
    <row r="76" spans="2:8" ht="15" thickBot="1" x14ac:dyDescent="0.35">
      <c r="B76" s="37" t="s">
        <v>206</v>
      </c>
      <c r="C76" s="40">
        <v>17311.8</v>
      </c>
      <c r="D76" s="41">
        <v>7.3000000000000001E-3</v>
      </c>
      <c r="F76" s="37" t="s">
        <v>206</v>
      </c>
      <c r="G76" s="45">
        <v>661.25</v>
      </c>
      <c r="H76" s="41">
        <v>9.7999999999999997E-3</v>
      </c>
    </row>
    <row r="77" spans="2:8" ht="15" thickBot="1" x14ac:dyDescent="0.35">
      <c r="B77" s="37" t="s">
        <v>207</v>
      </c>
      <c r="C77" s="40">
        <v>17185.7</v>
      </c>
      <c r="D77" s="41">
        <v>1.01E-2</v>
      </c>
      <c r="F77" s="37" t="s">
        <v>207</v>
      </c>
      <c r="G77" s="44">
        <v>654.85</v>
      </c>
      <c r="H77" s="39">
        <v>-4.2299999999999997E-2</v>
      </c>
    </row>
    <row r="78" spans="2:8" ht="15" thickBot="1" x14ac:dyDescent="0.35">
      <c r="B78" s="37" t="s">
        <v>208</v>
      </c>
      <c r="C78" s="38">
        <v>17014.349999999999</v>
      </c>
      <c r="D78" s="39">
        <v>-6.4000000000000003E-3</v>
      </c>
      <c r="F78" s="37" t="s">
        <v>208</v>
      </c>
      <c r="G78" s="44">
        <v>683.8</v>
      </c>
      <c r="H78" s="39">
        <v>-3.4700000000000002E-2</v>
      </c>
    </row>
    <row r="79" spans="2:8" ht="15" thickBot="1" x14ac:dyDescent="0.35">
      <c r="B79" s="37" t="s">
        <v>209</v>
      </c>
      <c r="C79" s="40">
        <v>17123.599999999999</v>
      </c>
      <c r="D79" s="41">
        <v>8.2000000000000007E-3</v>
      </c>
      <c r="F79" s="37" t="s">
        <v>209</v>
      </c>
      <c r="G79" s="44">
        <v>708.35</v>
      </c>
      <c r="H79" s="39">
        <v>-1.47E-2</v>
      </c>
    </row>
    <row r="80" spans="2:8" ht="15" thickBot="1" x14ac:dyDescent="0.35">
      <c r="B80" s="37" t="s">
        <v>210</v>
      </c>
      <c r="C80" s="38">
        <v>16983.55</v>
      </c>
      <c r="D80" s="39">
        <v>-1.49E-2</v>
      </c>
      <c r="F80" s="37" t="s">
        <v>210</v>
      </c>
      <c r="G80" s="44">
        <v>718.9</v>
      </c>
      <c r="H80" s="39">
        <v>-2.8799999999999999E-2</v>
      </c>
    </row>
    <row r="81" spans="2:8" ht="15" thickBot="1" x14ac:dyDescent="0.35">
      <c r="B81" s="37" t="s">
        <v>211</v>
      </c>
      <c r="C81" s="38">
        <v>17241</v>
      </c>
      <c r="D81" s="39">
        <v>-4.3E-3</v>
      </c>
      <c r="F81" s="37" t="s">
        <v>211</v>
      </c>
      <c r="G81" s="44">
        <v>740.25</v>
      </c>
      <c r="H81" s="39">
        <v>-1.4200000000000001E-2</v>
      </c>
    </row>
    <row r="82" spans="2:8" ht="15" thickBot="1" x14ac:dyDescent="0.35">
      <c r="B82" s="37" t="s">
        <v>212</v>
      </c>
      <c r="C82" s="38">
        <v>17314.650000000001</v>
      </c>
      <c r="D82" s="39">
        <v>-1E-3</v>
      </c>
      <c r="F82" s="37" t="s">
        <v>212</v>
      </c>
      <c r="G82" s="45">
        <v>750.95</v>
      </c>
      <c r="H82" s="41">
        <v>5.7999999999999996E-3</v>
      </c>
    </row>
    <row r="83" spans="2:8" ht="15" thickBot="1" x14ac:dyDescent="0.35">
      <c r="B83" s="37" t="s">
        <v>213</v>
      </c>
      <c r="C83" s="40">
        <v>17331.8</v>
      </c>
      <c r="D83" s="41">
        <v>3.3E-3</v>
      </c>
      <c r="F83" s="37" t="s">
        <v>213</v>
      </c>
      <c r="G83" s="45">
        <v>746.6</v>
      </c>
      <c r="H83" s="41">
        <v>0.05</v>
      </c>
    </row>
    <row r="84" spans="2:8" ht="15" thickBot="1" x14ac:dyDescent="0.35">
      <c r="B84" s="37" t="s">
        <v>214</v>
      </c>
      <c r="C84" s="40">
        <v>17274.3</v>
      </c>
      <c r="D84" s="41">
        <v>2.29E-2</v>
      </c>
      <c r="F84" s="37" t="s">
        <v>214</v>
      </c>
      <c r="G84" s="44">
        <v>711.05</v>
      </c>
      <c r="H84" s="39">
        <v>-9.2999999999999992E-3</v>
      </c>
    </row>
    <row r="85" spans="2:8" ht="15" thickBot="1" x14ac:dyDescent="0.35">
      <c r="B85" s="37" t="s">
        <v>215</v>
      </c>
      <c r="C85" s="38">
        <v>16887.349999999999</v>
      </c>
      <c r="D85" s="39">
        <v>-1.21E-2</v>
      </c>
      <c r="F85" s="37" t="s">
        <v>215</v>
      </c>
      <c r="G85" s="44">
        <v>717.75</v>
      </c>
      <c r="H85" s="39">
        <v>-0.05</v>
      </c>
    </row>
    <row r="86" spans="2:8" ht="15" thickBot="1" x14ac:dyDescent="0.35">
      <c r="B86" s="37" t="s">
        <v>216</v>
      </c>
      <c r="C86" s="40">
        <v>17094.349999999999</v>
      </c>
      <c r="D86" s="41">
        <v>1.6400000000000001E-2</v>
      </c>
      <c r="F86" s="37" t="s">
        <v>216</v>
      </c>
      <c r="G86" s="45">
        <v>755.5</v>
      </c>
      <c r="H86" s="41">
        <v>1.29E-2</v>
      </c>
    </row>
    <row r="87" spans="2:8" ht="15" thickBot="1" x14ac:dyDescent="0.35">
      <c r="B87" s="37" t="s">
        <v>217</v>
      </c>
      <c r="C87" s="38">
        <v>16818.099999999999</v>
      </c>
      <c r="D87" s="39">
        <v>-2.3999999999999998E-3</v>
      </c>
      <c r="F87" s="37" t="s">
        <v>217</v>
      </c>
      <c r="G87" s="45">
        <v>745.85</v>
      </c>
      <c r="H87" s="41">
        <v>1.5699999999999999E-2</v>
      </c>
    </row>
    <row r="88" spans="2:8" ht="15" thickBot="1" x14ac:dyDescent="0.35">
      <c r="B88" s="37" t="s">
        <v>218</v>
      </c>
      <c r="C88" s="38">
        <v>16858.599999999999</v>
      </c>
      <c r="D88" s="39">
        <v>-8.6999999999999994E-3</v>
      </c>
      <c r="F88" s="37" t="s">
        <v>218</v>
      </c>
      <c r="G88" s="44">
        <v>734.3</v>
      </c>
      <c r="H88" s="39">
        <v>-2.3E-2</v>
      </c>
    </row>
    <row r="89" spans="2:8" ht="15" thickBot="1" x14ac:dyDescent="0.35">
      <c r="B89" s="37" t="s">
        <v>219</v>
      </c>
      <c r="C89" s="38">
        <v>17007.400000000001</v>
      </c>
      <c r="D89" s="39">
        <v>-5.0000000000000001E-4</v>
      </c>
      <c r="F89" s="37" t="s">
        <v>219</v>
      </c>
      <c r="G89" s="44">
        <v>751.55</v>
      </c>
      <c r="H89" s="39">
        <v>-2.3300000000000001E-2</v>
      </c>
    </row>
    <row r="90" spans="2:8" ht="15" thickBot="1" x14ac:dyDescent="0.35">
      <c r="B90" s="37" t="s">
        <v>220</v>
      </c>
      <c r="C90" s="38">
        <v>17016.3</v>
      </c>
      <c r="D90" s="39">
        <v>-1.7999999999999999E-2</v>
      </c>
      <c r="F90" s="37" t="s">
        <v>220</v>
      </c>
      <c r="G90" s="44">
        <v>769.5</v>
      </c>
      <c r="H90" s="39">
        <v>-4.99E-2</v>
      </c>
    </row>
    <row r="91" spans="2:8" ht="15" thickBot="1" x14ac:dyDescent="0.35">
      <c r="B91" s="37" t="s">
        <v>221</v>
      </c>
      <c r="C91" s="38">
        <v>17327.349999999999</v>
      </c>
      <c r="D91" s="39">
        <v>-1.72E-2</v>
      </c>
      <c r="F91" s="37" t="s">
        <v>221</v>
      </c>
      <c r="G91" s="44">
        <v>809.95</v>
      </c>
      <c r="H91" s="39">
        <v>-7.4000000000000003E-3</v>
      </c>
    </row>
    <row r="92" spans="2:8" ht="15" thickBot="1" x14ac:dyDescent="0.35">
      <c r="B92" s="37" t="s">
        <v>222</v>
      </c>
      <c r="C92" s="38">
        <v>17629.8</v>
      </c>
      <c r="D92" s="39">
        <v>-5.0000000000000001E-3</v>
      </c>
      <c r="F92" s="37" t="s">
        <v>222</v>
      </c>
      <c r="G92" s="45">
        <v>815.95</v>
      </c>
      <c r="H92" s="41">
        <v>4.3700000000000003E-2</v>
      </c>
    </row>
    <row r="93" spans="2:8" ht="15" thickBot="1" x14ac:dyDescent="0.35">
      <c r="B93" s="37" t="s">
        <v>223</v>
      </c>
      <c r="C93" s="38">
        <v>17718.349999999999</v>
      </c>
      <c r="D93" s="39">
        <v>-5.4999999999999997E-3</v>
      </c>
      <c r="F93" s="37" t="s">
        <v>223</v>
      </c>
      <c r="G93" s="45">
        <v>781.8</v>
      </c>
      <c r="H93" s="41">
        <v>1.5800000000000002E-2</v>
      </c>
    </row>
    <row r="94" spans="2:8" ht="15" thickBot="1" x14ac:dyDescent="0.35">
      <c r="B94" s="37" t="s">
        <v>224</v>
      </c>
      <c r="C94" s="40">
        <v>17816.25</v>
      </c>
      <c r="D94" s="41">
        <v>1.0999999999999999E-2</v>
      </c>
      <c r="F94" s="37" t="s">
        <v>224</v>
      </c>
      <c r="G94" s="45">
        <v>769.65</v>
      </c>
      <c r="H94" s="41">
        <v>0.05</v>
      </c>
    </row>
    <row r="95" spans="2:8" ht="15" thickBot="1" x14ac:dyDescent="0.35">
      <c r="B95" s="37" t="s">
        <v>225</v>
      </c>
      <c r="C95" s="40">
        <v>17622.25</v>
      </c>
      <c r="D95" s="41">
        <v>5.1999999999999998E-3</v>
      </c>
      <c r="F95" s="37" t="s">
        <v>225</v>
      </c>
      <c r="G95" s="45">
        <v>733</v>
      </c>
      <c r="H95" s="41">
        <v>1.5299999999999999E-2</v>
      </c>
    </row>
    <row r="96" spans="2:8" ht="15" thickBot="1" x14ac:dyDescent="0.35">
      <c r="B96" s="37" t="s">
        <v>226</v>
      </c>
      <c r="C96" s="38">
        <v>17530.849999999999</v>
      </c>
      <c r="D96" s="39">
        <v>-1.9400000000000001E-2</v>
      </c>
      <c r="F96" s="37" t="s">
        <v>226</v>
      </c>
      <c r="G96" s="44">
        <v>721.95</v>
      </c>
      <c r="H96" s="39">
        <v>-1.1599999999999999E-2</v>
      </c>
    </row>
    <row r="97" spans="2:8" ht="15" thickBot="1" x14ac:dyDescent="0.35">
      <c r="B97" s="37" t="s">
        <v>227</v>
      </c>
      <c r="C97" s="38">
        <v>17877.400000000001</v>
      </c>
      <c r="D97" s="39">
        <v>-7.0000000000000001E-3</v>
      </c>
      <c r="F97" s="37" t="s">
        <v>227</v>
      </c>
      <c r="G97" s="45">
        <v>730.4</v>
      </c>
      <c r="H97" s="41">
        <v>3.0599999999999999E-2</v>
      </c>
    </row>
    <row r="98" spans="2:8" ht="15" thickBot="1" x14ac:dyDescent="0.35">
      <c r="B98" s="37" t="s">
        <v>228</v>
      </c>
      <c r="C98" s="38">
        <v>18003.75</v>
      </c>
      <c r="D98" s="39">
        <v>-3.7000000000000002E-3</v>
      </c>
      <c r="F98" s="37" t="s">
        <v>228</v>
      </c>
      <c r="G98" s="44">
        <v>708.7</v>
      </c>
      <c r="H98" s="39">
        <v>-1.8200000000000001E-2</v>
      </c>
    </row>
    <row r="99" spans="2:8" ht="15" thickBot="1" x14ac:dyDescent="0.35">
      <c r="B99" s="37" t="s">
        <v>229</v>
      </c>
      <c r="C99" s="40">
        <v>18070.05</v>
      </c>
      <c r="D99" s="41">
        <v>7.4999999999999997E-3</v>
      </c>
      <c r="F99" s="37" t="s">
        <v>229</v>
      </c>
      <c r="G99" s="44">
        <v>721.85</v>
      </c>
      <c r="H99" s="39">
        <v>-1.0800000000000001E-2</v>
      </c>
    </row>
    <row r="100" spans="2:8" ht="15" thickBot="1" x14ac:dyDescent="0.35">
      <c r="B100" s="37" t="s">
        <v>230</v>
      </c>
      <c r="C100" s="40">
        <v>17936.349999999999</v>
      </c>
      <c r="D100" s="41">
        <v>5.7999999999999996E-3</v>
      </c>
      <c r="F100" s="37" t="s">
        <v>230</v>
      </c>
      <c r="G100" s="45">
        <v>729.7</v>
      </c>
      <c r="H100" s="41">
        <v>3.7100000000000001E-2</v>
      </c>
    </row>
    <row r="101" spans="2:8" ht="15" thickBot="1" x14ac:dyDescent="0.35">
      <c r="B101" s="37" t="s">
        <v>231</v>
      </c>
      <c r="C101" s="40">
        <v>17833.349999999999</v>
      </c>
      <c r="D101" s="41">
        <v>1.9E-3</v>
      </c>
      <c r="F101" s="37" t="s">
        <v>231</v>
      </c>
      <c r="G101" s="45">
        <v>703.6</v>
      </c>
      <c r="H101" s="41">
        <v>9.9000000000000008E-3</v>
      </c>
    </row>
    <row r="102" spans="2:8" ht="15" thickBot="1" x14ac:dyDescent="0.35">
      <c r="B102" s="37" t="s">
        <v>232</v>
      </c>
      <c r="C102" s="40">
        <v>17798.75</v>
      </c>
      <c r="D102" s="41">
        <v>9.9000000000000008E-3</v>
      </c>
      <c r="F102" s="37" t="s">
        <v>232</v>
      </c>
      <c r="G102" s="44">
        <v>696.7</v>
      </c>
      <c r="H102" s="39">
        <v>-2.3999999999999998E-3</v>
      </c>
    </row>
    <row r="103" spans="2:8" ht="15" thickBot="1" x14ac:dyDescent="0.35">
      <c r="B103" s="37" t="s">
        <v>233</v>
      </c>
      <c r="C103" s="38">
        <v>17624.400000000001</v>
      </c>
      <c r="D103" s="39">
        <v>-1.8E-3</v>
      </c>
      <c r="F103" s="37" t="s">
        <v>233</v>
      </c>
      <c r="G103" s="45">
        <v>698.35</v>
      </c>
      <c r="H103" s="41">
        <v>9.9000000000000008E-3</v>
      </c>
    </row>
    <row r="104" spans="2:8" ht="15" thickBot="1" x14ac:dyDescent="0.35">
      <c r="B104" s="37" t="s">
        <v>234</v>
      </c>
      <c r="C104" s="38">
        <v>17655.599999999999</v>
      </c>
      <c r="D104" s="39">
        <v>-5.9999999999999995E-4</v>
      </c>
      <c r="F104" s="37" t="s">
        <v>234</v>
      </c>
      <c r="G104" s="45">
        <v>691.5</v>
      </c>
      <c r="H104" s="41">
        <v>3.0800000000000001E-2</v>
      </c>
    </row>
    <row r="105" spans="2:8" ht="15" thickBot="1" x14ac:dyDescent="0.35">
      <c r="B105" s="37" t="s">
        <v>235</v>
      </c>
      <c r="C105" s="40">
        <v>17665.8</v>
      </c>
      <c r="D105" s="41">
        <v>7.1999999999999998E-3</v>
      </c>
      <c r="F105" s="37" t="s">
        <v>235</v>
      </c>
      <c r="G105" s="44">
        <v>670.85</v>
      </c>
      <c r="H105" s="39">
        <v>-8.2000000000000007E-3</v>
      </c>
    </row>
    <row r="106" spans="2:8" ht="15" thickBot="1" x14ac:dyDescent="0.35">
      <c r="B106" s="37" t="s">
        <v>236</v>
      </c>
      <c r="C106" s="38">
        <v>17539.45</v>
      </c>
      <c r="D106" s="39">
        <v>-2.0000000000000001E-4</v>
      </c>
      <c r="F106" s="37" t="s">
        <v>236</v>
      </c>
      <c r="G106" s="44">
        <v>676.4</v>
      </c>
      <c r="H106" s="39">
        <v>-1.01E-2</v>
      </c>
    </row>
    <row r="107" spans="2:8" ht="15" thickBot="1" x14ac:dyDescent="0.35">
      <c r="B107" s="37" t="s">
        <v>237</v>
      </c>
      <c r="C107" s="38">
        <v>17542.8</v>
      </c>
      <c r="D107" s="39">
        <v>-1.2200000000000001E-2</v>
      </c>
      <c r="F107" s="37" t="s">
        <v>237</v>
      </c>
      <c r="G107" s="44">
        <v>683.3</v>
      </c>
      <c r="H107" s="39">
        <v>-1.2800000000000001E-2</v>
      </c>
    </row>
    <row r="108" spans="2:8" ht="15" thickBot="1" x14ac:dyDescent="0.35">
      <c r="B108" s="37" t="s">
        <v>238</v>
      </c>
      <c r="C108" s="40">
        <v>17759.3</v>
      </c>
      <c r="D108" s="41">
        <v>2.58E-2</v>
      </c>
      <c r="F108" s="37" t="s">
        <v>238</v>
      </c>
      <c r="G108" s="45">
        <v>692.15</v>
      </c>
      <c r="H108" s="41">
        <v>1.3100000000000001E-2</v>
      </c>
    </row>
    <row r="109" spans="2:8" ht="15" thickBot="1" x14ac:dyDescent="0.35">
      <c r="B109" s="37" t="s">
        <v>239</v>
      </c>
      <c r="C109" s="38">
        <v>17312.900000000001</v>
      </c>
      <c r="D109" s="39">
        <v>-1.4E-2</v>
      </c>
      <c r="F109" s="37" t="s">
        <v>239</v>
      </c>
      <c r="G109" s="45">
        <v>683.2</v>
      </c>
      <c r="H109" s="41">
        <v>8.0000000000000004E-4</v>
      </c>
    </row>
    <row r="110" spans="2:8" ht="15" thickBot="1" x14ac:dyDescent="0.35">
      <c r="B110" s="37" t="s">
        <v>240</v>
      </c>
      <c r="C110" s="40">
        <v>17558.900000000001</v>
      </c>
      <c r="D110" s="41">
        <v>2.0999999999999999E-3</v>
      </c>
      <c r="F110" s="37" t="s">
        <v>240</v>
      </c>
      <c r="G110" s="44">
        <v>682.65</v>
      </c>
      <c r="H110" s="39">
        <v>-5.0000000000000001E-3</v>
      </c>
    </row>
    <row r="111" spans="2:8" ht="15" thickBot="1" x14ac:dyDescent="0.35">
      <c r="B111" s="37" t="s">
        <v>241</v>
      </c>
      <c r="C111" s="38">
        <v>17522.45</v>
      </c>
      <c r="D111" s="39">
        <v>-4.7000000000000002E-3</v>
      </c>
      <c r="F111" s="37" t="s">
        <v>241</v>
      </c>
      <c r="G111" s="45">
        <v>686.05</v>
      </c>
      <c r="H111" s="41">
        <v>1.2E-2</v>
      </c>
    </row>
    <row r="112" spans="2:8" ht="15" thickBot="1" x14ac:dyDescent="0.35">
      <c r="B112" s="37" t="s">
        <v>242</v>
      </c>
      <c r="C112" s="40">
        <v>17604.95</v>
      </c>
      <c r="D112" s="41">
        <v>1.6000000000000001E-3</v>
      </c>
      <c r="F112" s="37" t="s">
        <v>242</v>
      </c>
      <c r="G112" s="44">
        <v>677.9</v>
      </c>
      <c r="H112" s="39">
        <v>-1.7600000000000001E-2</v>
      </c>
    </row>
    <row r="113" spans="2:8" ht="15" thickBot="1" x14ac:dyDescent="0.35">
      <c r="B113" s="37" t="s">
        <v>243</v>
      </c>
      <c r="C113" s="40">
        <v>17577.5</v>
      </c>
      <c r="D113" s="41">
        <v>5.0000000000000001E-3</v>
      </c>
      <c r="F113" s="37" t="s">
        <v>243</v>
      </c>
      <c r="G113" s="44">
        <v>690.05</v>
      </c>
      <c r="H113" s="39">
        <v>-4.7399999999999998E-2</v>
      </c>
    </row>
    <row r="114" spans="2:8" ht="15" thickBot="1" x14ac:dyDescent="0.35">
      <c r="B114" s="37" t="s">
        <v>244</v>
      </c>
      <c r="C114" s="38">
        <v>17490.7</v>
      </c>
      <c r="D114" s="39">
        <v>-1.5100000000000001E-2</v>
      </c>
      <c r="F114" s="37" t="s">
        <v>244</v>
      </c>
      <c r="G114" s="44">
        <v>724.4</v>
      </c>
      <c r="H114" s="39">
        <v>-1.2800000000000001E-2</v>
      </c>
    </row>
    <row r="115" spans="2:8" ht="15" thickBot="1" x14ac:dyDescent="0.35">
      <c r="B115" s="37" t="s">
        <v>245</v>
      </c>
      <c r="C115" s="38">
        <v>17758.45</v>
      </c>
      <c r="D115" s="39">
        <v>-1.0999999999999999E-2</v>
      </c>
      <c r="F115" s="37" t="s">
        <v>245</v>
      </c>
      <c r="G115" s="45">
        <v>733.8</v>
      </c>
      <c r="H115" s="41">
        <v>3.0999999999999999E-3</v>
      </c>
    </row>
    <row r="116" spans="2:8" ht="15" thickBot="1" x14ac:dyDescent="0.35">
      <c r="B116" s="37" t="s">
        <v>246</v>
      </c>
      <c r="C116" s="40">
        <v>17956.5</v>
      </c>
      <c r="D116" s="41">
        <v>6.9999999999999999E-4</v>
      </c>
      <c r="F116" s="37" t="s">
        <v>246</v>
      </c>
      <c r="G116" s="45">
        <v>731.55</v>
      </c>
      <c r="H116" s="41">
        <v>3.2000000000000001E-2</v>
      </c>
    </row>
    <row r="117" spans="2:8" ht="15" thickBot="1" x14ac:dyDescent="0.35">
      <c r="B117" s="37" t="s">
        <v>247</v>
      </c>
      <c r="C117" s="40">
        <v>17944.25</v>
      </c>
      <c r="D117" s="41">
        <v>6.7000000000000002E-3</v>
      </c>
      <c r="F117" s="37" t="s">
        <v>247</v>
      </c>
      <c r="G117" s="45">
        <v>708.9</v>
      </c>
      <c r="H117" s="41">
        <v>2.1600000000000001E-2</v>
      </c>
    </row>
    <row r="118" spans="2:8" ht="15" thickBot="1" x14ac:dyDescent="0.35">
      <c r="B118" s="37" t="s">
        <v>248</v>
      </c>
      <c r="C118" s="40">
        <v>17825.25</v>
      </c>
      <c r="D118" s="41">
        <v>7.1999999999999998E-3</v>
      </c>
      <c r="F118" s="37" t="s">
        <v>248</v>
      </c>
      <c r="G118" s="45">
        <v>693.9</v>
      </c>
      <c r="H118" s="41">
        <v>4.99E-2</v>
      </c>
    </row>
    <row r="119" spans="2:8" ht="15" thickBot="1" x14ac:dyDescent="0.35">
      <c r="B119" s="37" t="s">
        <v>249</v>
      </c>
      <c r="C119" s="40">
        <v>17698.150000000001</v>
      </c>
      <c r="D119" s="41">
        <v>2.2000000000000001E-3</v>
      </c>
      <c r="F119" s="37" t="s">
        <v>249</v>
      </c>
      <c r="G119" s="44">
        <v>660.9</v>
      </c>
      <c r="H119" s="39">
        <v>-2E-3</v>
      </c>
    </row>
    <row r="120" spans="2:8" ht="15" thickBot="1" x14ac:dyDescent="0.35">
      <c r="B120" s="37" t="s">
        <v>250</v>
      </c>
      <c r="C120" s="40">
        <v>17659</v>
      </c>
      <c r="D120" s="41">
        <v>7.1000000000000004E-3</v>
      </c>
      <c r="F120" s="37" t="s">
        <v>250</v>
      </c>
      <c r="G120" s="44">
        <v>662.2</v>
      </c>
      <c r="H120" s="39">
        <v>-7.1999999999999998E-3</v>
      </c>
    </row>
    <row r="121" spans="2:8" ht="15" thickBot="1" x14ac:dyDescent="0.35">
      <c r="B121" s="37" t="s">
        <v>251</v>
      </c>
      <c r="C121" s="40">
        <v>17534.75</v>
      </c>
      <c r="D121" s="41">
        <v>5.9999999999999995E-4</v>
      </c>
      <c r="F121" s="37" t="s">
        <v>251</v>
      </c>
      <c r="G121" s="45">
        <v>667</v>
      </c>
      <c r="H121" s="41">
        <v>2.0999999999999999E-3</v>
      </c>
    </row>
    <row r="122" spans="2:8" ht="15" thickBot="1" x14ac:dyDescent="0.35">
      <c r="B122" s="37" t="s">
        <v>252</v>
      </c>
      <c r="C122" s="40">
        <v>17525.099999999999</v>
      </c>
      <c r="D122" s="41">
        <v>7.3000000000000001E-3</v>
      </c>
      <c r="F122" s="37" t="s">
        <v>252</v>
      </c>
      <c r="G122" s="44">
        <v>665.6</v>
      </c>
      <c r="H122" s="39">
        <v>-1.32E-2</v>
      </c>
    </row>
    <row r="123" spans="2:8" ht="15" thickBot="1" x14ac:dyDescent="0.35">
      <c r="B123" s="37" t="s">
        <v>253</v>
      </c>
      <c r="C123" s="40">
        <v>17397.5</v>
      </c>
      <c r="D123" s="41">
        <v>8.9999999999999998E-4</v>
      </c>
      <c r="F123" s="37" t="s">
        <v>253</v>
      </c>
      <c r="G123" s="44">
        <v>674.5</v>
      </c>
      <c r="H123" s="39">
        <v>-2.64E-2</v>
      </c>
    </row>
    <row r="124" spans="2:8" ht="15" thickBot="1" x14ac:dyDescent="0.35">
      <c r="B124" s="37" t="s">
        <v>254</v>
      </c>
      <c r="C124" s="38">
        <v>17382</v>
      </c>
      <c r="D124" s="39">
        <v>-4.0000000000000002E-4</v>
      </c>
      <c r="F124" s="37" t="s">
        <v>254</v>
      </c>
      <c r="G124" s="44">
        <v>692.8</v>
      </c>
      <c r="H124" s="39">
        <v>-7.3000000000000001E-3</v>
      </c>
    </row>
    <row r="125" spans="2:8" ht="15" thickBot="1" x14ac:dyDescent="0.35">
      <c r="B125" s="37" t="s">
        <v>255</v>
      </c>
      <c r="C125" s="40">
        <v>17388.150000000001</v>
      </c>
      <c r="D125" s="41">
        <v>2.5000000000000001E-3</v>
      </c>
      <c r="F125" s="37" t="s">
        <v>255</v>
      </c>
      <c r="G125" s="44">
        <v>697.9</v>
      </c>
      <c r="H125" s="39">
        <v>-1.6799999999999999E-2</v>
      </c>
    </row>
    <row r="126" spans="2:8" ht="15" thickBot="1" x14ac:dyDescent="0.35">
      <c r="B126" s="37" t="s">
        <v>256</v>
      </c>
      <c r="C126" s="40">
        <v>17345.45</v>
      </c>
      <c r="D126" s="41">
        <v>2.9999999999999997E-4</v>
      </c>
      <c r="F126" s="37" t="s">
        <v>256</v>
      </c>
      <c r="G126" s="45">
        <v>709.85</v>
      </c>
      <c r="H126" s="41">
        <v>2.6200000000000001E-2</v>
      </c>
    </row>
    <row r="127" spans="2:8" ht="15" thickBot="1" x14ac:dyDescent="0.35">
      <c r="B127" s="37" t="s">
        <v>257</v>
      </c>
      <c r="C127" s="40">
        <v>17340.05</v>
      </c>
      <c r="D127" s="41">
        <v>1.06E-2</v>
      </c>
      <c r="F127" s="37" t="s">
        <v>257</v>
      </c>
      <c r="G127" s="45">
        <v>691.7</v>
      </c>
      <c r="H127" s="41">
        <v>4.99E-2</v>
      </c>
    </row>
    <row r="128" spans="2:8" ht="15" thickBot="1" x14ac:dyDescent="0.35">
      <c r="B128" s="37" t="s">
        <v>258</v>
      </c>
      <c r="C128" s="40">
        <v>17158.25</v>
      </c>
      <c r="D128" s="41">
        <v>1.35E-2</v>
      </c>
      <c r="F128" s="37" t="s">
        <v>258</v>
      </c>
      <c r="G128" s="45">
        <v>658.8</v>
      </c>
      <c r="H128" s="41">
        <v>2.07E-2</v>
      </c>
    </row>
    <row r="129" spans="2:8" ht="15" thickBot="1" x14ac:dyDescent="0.35">
      <c r="B129" s="37" t="s">
        <v>259</v>
      </c>
      <c r="C129" s="40">
        <v>16929.599999999999</v>
      </c>
      <c r="D129" s="41">
        <v>1.7299999999999999E-2</v>
      </c>
      <c r="F129" s="37" t="s">
        <v>259</v>
      </c>
      <c r="G129" s="44">
        <v>645.45000000000005</v>
      </c>
      <c r="H129" s="39">
        <v>-2.9999999999999997E-4</v>
      </c>
    </row>
    <row r="130" spans="2:8" ht="15" thickBot="1" x14ac:dyDescent="0.35">
      <c r="B130" s="37" t="s">
        <v>260</v>
      </c>
      <c r="C130" s="40">
        <v>16641.8</v>
      </c>
      <c r="D130" s="41">
        <v>9.5999999999999992E-3</v>
      </c>
      <c r="F130" s="37" t="s">
        <v>260</v>
      </c>
      <c r="G130" s="45">
        <v>645.65</v>
      </c>
      <c r="H130" s="41">
        <v>1.83E-2</v>
      </c>
    </row>
    <row r="131" spans="2:8" ht="15" thickBot="1" x14ac:dyDescent="0.35">
      <c r="B131" s="37" t="s">
        <v>261</v>
      </c>
      <c r="C131" s="38">
        <v>16483.849999999999</v>
      </c>
      <c r="D131" s="39">
        <v>-8.8000000000000005E-3</v>
      </c>
      <c r="F131" s="37" t="s">
        <v>261</v>
      </c>
      <c r="G131" s="45">
        <v>634.04999999999995</v>
      </c>
      <c r="H131" s="41">
        <v>1.89E-2</v>
      </c>
    </row>
    <row r="132" spans="2:8" ht="15" thickBot="1" x14ac:dyDescent="0.35">
      <c r="B132" s="37" t="s">
        <v>262</v>
      </c>
      <c r="C132" s="38">
        <v>16631</v>
      </c>
      <c r="D132" s="39">
        <v>-5.3E-3</v>
      </c>
      <c r="F132" s="37" t="s">
        <v>262</v>
      </c>
      <c r="G132" s="45">
        <v>622.29999999999995</v>
      </c>
      <c r="H132" s="41">
        <v>1.7600000000000001E-2</v>
      </c>
    </row>
    <row r="133" spans="2:8" ht="15" thickBot="1" x14ac:dyDescent="0.35">
      <c r="B133" s="37" t="s">
        <v>263</v>
      </c>
      <c r="C133" s="40">
        <v>16719.45</v>
      </c>
      <c r="D133" s="41">
        <v>6.8999999999999999E-3</v>
      </c>
      <c r="F133" s="37" t="s">
        <v>263</v>
      </c>
      <c r="G133" s="44">
        <v>611.54999999999995</v>
      </c>
      <c r="H133" s="39">
        <v>-5.5999999999999999E-3</v>
      </c>
    </row>
    <row r="134" spans="2:8" ht="15" thickBot="1" x14ac:dyDescent="0.35">
      <c r="B134" s="37" t="s">
        <v>264</v>
      </c>
      <c r="C134" s="40">
        <v>16605.25</v>
      </c>
      <c r="D134" s="41">
        <v>5.1000000000000004E-3</v>
      </c>
      <c r="F134" s="37" t="s">
        <v>264</v>
      </c>
      <c r="G134" s="45">
        <v>615</v>
      </c>
      <c r="H134" s="41">
        <v>1.5E-3</v>
      </c>
    </row>
    <row r="135" spans="2:8" ht="15" thickBot="1" x14ac:dyDescent="0.35">
      <c r="B135" s="37" t="s">
        <v>265</v>
      </c>
      <c r="C135" s="40">
        <v>16520.849999999999</v>
      </c>
      <c r="D135" s="41">
        <v>1.0999999999999999E-2</v>
      </c>
      <c r="F135" s="37" t="s">
        <v>265</v>
      </c>
      <c r="G135" s="44">
        <v>614.04999999999995</v>
      </c>
      <c r="H135" s="39">
        <v>-5.1999999999999998E-3</v>
      </c>
    </row>
    <row r="136" spans="2:8" ht="15" thickBot="1" x14ac:dyDescent="0.35">
      <c r="B136" s="37" t="s">
        <v>266</v>
      </c>
      <c r="C136" s="40">
        <v>16340.55</v>
      </c>
      <c r="D136" s="41">
        <v>3.8E-3</v>
      </c>
      <c r="F136" s="37" t="s">
        <v>266</v>
      </c>
      <c r="G136" s="44">
        <v>617.25</v>
      </c>
      <c r="H136" s="39">
        <v>-0.01</v>
      </c>
    </row>
    <row r="137" spans="2:8" ht="15" thickBot="1" x14ac:dyDescent="0.35">
      <c r="B137" s="37" t="s">
        <v>267</v>
      </c>
      <c r="C137" s="40">
        <v>16278.5</v>
      </c>
      <c r="D137" s="41">
        <v>1.43E-2</v>
      </c>
      <c r="F137" s="37" t="s">
        <v>267</v>
      </c>
      <c r="G137" s="44">
        <v>623.5</v>
      </c>
      <c r="H137" s="39">
        <v>-2.9999999999999997E-4</v>
      </c>
    </row>
    <row r="138" spans="2:8" ht="15" thickBot="1" x14ac:dyDescent="0.35">
      <c r="B138" s="37" t="s">
        <v>268</v>
      </c>
      <c r="C138" s="40">
        <v>16049.2</v>
      </c>
      <c r="D138" s="41">
        <v>6.8999999999999999E-3</v>
      </c>
      <c r="F138" s="37" t="s">
        <v>268</v>
      </c>
      <c r="G138" s="44">
        <v>623.70000000000005</v>
      </c>
      <c r="H138" s="39">
        <v>-6.6E-3</v>
      </c>
    </row>
    <row r="139" spans="2:8" ht="15" thickBot="1" x14ac:dyDescent="0.35">
      <c r="B139" s="37" t="s">
        <v>269</v>
      </c>
      <c r="C139" s="38">
        <v>15938.65</v>
      </c>
      <c r="D139" s="39">
        <v>-1.8E-3</v>
      </c>
      <c r="F139" s="37" t="s">
        <v>269</v>
      </c>
      <c r="G139" s="44">
        <v>627.85</v>
      </c>
      <c r="H139" s="39">
        <v>-1.7399999999999999E-2</v>
      </c>
    </row>
    <row r="140" spans="2:8" ht="15" thickBot="1" x14ac:dyDescent="0.35">
      <c r="B140" s="37" t="s">
        <v>270</v>
      </c>
      <c r="C140" s="38">
        <v>15966.65</v>
      </c>
      <c r="D140" s="39">
        <v>-5.7000000000000002E-3</v>
      </c>
      <c r="F140" s="37" t="s">
        <v>270</v>
      </c>
      <c r="G140" s="44">
        <v>639</v>
      </c>
      <c r="H140" s="39">
        <v>-1.43E-2</v>
      </c>
    </row>
    <row r="141" spans="2:8" ht="15" thickBot="1" x14ac:dyDescent="0.35">
      <c r="B141" s="37" t="s">
        <v>271</v>
      </c>
      <c r="C141" s="38">
        <v>16058.3</v>
      </c>
      <c r="D141" s="39">
        <v>-9.7000000000000003E-3</v>
      </c>
      <c r="F141" s="37" t="s">
        <v>271</v>
      </c>
      <c r="G141" s="45">
        <v>648.29999999999995</v>
      </c>
      <c r="H141" s="41">
        <v>4.9599999999999998E-2</v>
      </c>
    </row>
    <row r="142" spans="2:8" ht="15" thickBot="1" x14ac:dyDescent="0.35">
      <c r="B142" s="37" t="s">
        <v>272</v>
      </c>
      <c r="C142" s="38">
        <v>16216</v>
      </c>
      <c r="D142" s="39">
        <v>-2.9999999999999997E-4</v>
      </c>
      <c r="F142" s="37" t="s">
        <v>272</v>
      </c>
      <c r="G142" s="45">
        <v>617.65</v>
      </c>
      <c r="H142" s="41">
        <v>4.99E-2</v>
      </c>
    </row>
    <row r="143" spans="2:8" ht="15" thickBot="1" x14ac:dyDescent="0.35">
      <c r="B143" s="37" t="s">
        <v>273</v>
      </c>
      <c r="C143" s="40">
        <v>16220.6</v>
      </c>
      <c r="D143" s="41">
        <v>5.4000000000000003E-3</v>
      </c>
      <c r="F143" s="37" t="s">
        <v>273</v>
      </c>
      <c r="G143" s="44">
        <v>588.29999999999995</v>
      </c>
      <c r="H143" s="39">
        <v>-1.2800000000000001E-2</v>
      </c>
    </row>
    <row r="144" spans="2:8" ht="15" thickBot="1" x14ac:dyDescent="0.35">
      <c r="B144" s="37" t="s">
        <v>274</v>
      </c>
      <c r="C144" s="40">
        <v>16132.9</v>
      </c>
      <c r="D144" s="41">
        <v>8.8999999999999999E-3</v>
      </c>
      <c r="F144" s="37" t="s">
        <v>274</v>
      </c>
      <c r="G144" s="45">
        <v>595.9</v>
      </c>
      <c r="H144" s="41">
        <v>3.3300000000000003E-2</v>
      </c>
    </row>
    <row r="145" spans="2:8" ht="15" thickBot="1" x14ac:dyDescent="0.35">
      <c r="B145" s="37" t="s">
        <v>275</v>
      </c>
      <c r="C145" s="40">
        <v>15989.8</v>
      </c>
      <c r="D145" s="41">
        <v>1.1299999999999999E-2</v>
      </c>
      <c r="F145" s="37" t="s">
        <v>275</v>
      </c>
      <c r="G145" s="44">
        <v>576.70000000000005</v>
      </c>
      <c r="H145" s="39">
        <v>-9.1999999999999998E-3</v>
      </c>
    </row>
    <row r="146" spans="2:8" ht="15" thickBot="1" x14ac:dyDescent="0.35">
      <c r="B146" s="37" t="s">
        <v>276</v>
      </c>
      <c r="C146" s="38">
        <v>15810.85</v>
      </c>
      <c r="D146" s="39">
        <v>-1.5E-3</v>
      </c>
      <c r="F146" s="37" t="s">
        <v>276</v>
      </c>
      <c r="G146" s="45">
        <v>582.04999999999995</v>
      </c>
      <c r="H146" s="41">
        <v>2.5000000000000001E-3</v>
      </c>
    </row>
    <row r="147" spans="2:8" ht="15" thickBot="1" x14ac:dyDescent="0.35">
      <c r="B147" s="37" t="s">
        <v>277</v>
      </c>
      <c r="C147" s="40">
        <v>15835.35</v>
      </c>
      <c r="D147" s="41">
        <v>5.3E-3</v>
      </c>
      <c r="F147" s="37" t="s">
        <v>277</v>
      </c>
      <c r="G147" s="44">
        <v>580.6</v>
      </c>
      <c r="H147" s="39">
        <v>-9.1999999999999998E-3</v>
      </c>
    </row>
    <row r="148" spans="2:8" ht="15" thickBot="1" x14ac:dyDescent="0.35">
      <c r="B148" s="37" t="s">
        <v>278</v>
      </c>
      <c r="C148" s="38">
        <v>15752.05</v>
      </c>
      <c r="D148" s="39">
        <v>-1.8E-3</v>
      </c>
      <c r="F148" s="37" t="s">
        <v>278</v>
      </c>
      <c r="G148" s="45">
        <v>586</v>
      </c>
      <c r="H148" s="41">
        <v>2.06E-2</v>
      </c>
    </row>
    <row r="149" spans="2:8" ht="15" thickBot="1" x14ac:dyDescent="0.35">
      <c r="B149" s="37" t="s">
        <v>279</v>
      </c>
      <c r="C149" s="38">
        <v>15780.25</v>
      </c>
      <c r="D149" s="39">
        <v>-1.1999999999999999E-3</v>
      </c>
      <c r="F149" s="37" t="s">
        <v>279</v>
      </c>
      <c r="G149" s="44">
        <v>574.15</v>
      </c>
      <c r="H149" s="39">
        <v>-1.7600000000000001E-2</v>
      </c>
    </row>
    <row r="150" spans="2:8" ht="15" thickBot="1" x14ac:dyDescent="0.35">
      <c r="B150" s="37" t="s">
        <v>280</v>
      </c>
      <c r="C150" s="38">
        <v>15799.1</v>
      </c>
      <c r="D150" s="39">
        <v>-3.2000000000000002E-3</v>
      </c>
      <c r="F150" s="37" t="s">
        <v>280</v>
      </c>
      <c r="G150" s="44">
        <v>584.45000000000005</v>
      </c>
      <c r="H150" s="39">
        <v>-1.2800000000000001E-2</v>
      </c>
    </row>
    <row r="151" spans="2:8" ht="15" thickBot="1" x14ac:dyDescent="0.35">
      <c r="B151" s="37" t="s">
        <v>281</v>
      </c>
      <c r="C151" s="40">
        <v>15850.2</v>
      </c>
      <c r="D151" s="41">
        <v>1.1000000000000001E-3</v>
      </c>
      <c r="F151" s="37" t="s">
        <v>281</v>
      </c>
      <c r="G151" s="44">
        <v>592</v>
      </c>
      <c r="H151" s="39">
        <v>-1.0699999999999999E-2</v>
      </c>
    </row>
    <row r="152" spans="2:8" ht="15" thickBot="1" x14ac:dyDescent="0.35">
      <c r="B152" s="37" t="s">
        <v>282</v>
      </c>
      <c r="C152" s="40">
        <v>15832.05</v>
      </c>
      <c r="D152" s="41">
        <v>8.5000000000000006E-3</v>
      </c>
      <c r="F152" s="37" t="s">
        <v>282</v>
      </c>
      <c r="G152" s="45">
        <v>598.4</v>
      </c>
      <c r="H152" s="41">
        <v>2.2800000000000001E-2</v>
      </c>
    </row>
    <row r="153" spans="2:8" ht="15" thickBot="1" x14ac:dyDescent="0.35">
      <c r="B153" s="37" t="s">
        <v>285</v>
      </c>
      <c r="C153" s="40">
        <v>15699.25</v>
      </c>
      <c r="D153" s="41">
        <v>9.1999999999999998E-3</v>
      </c>
      <c r="F153" s="37" t="s">
        <v>285</v>
      </c>
      <c r="G153" s="45">
        <v>585.04999999999995</v>
      </c>
      <c r="H153" s="41">
        <v>4.6899999999999997E-2</v>
      </c>
    </row>
    <row r="154" spans="2:8" ht="15" thickBot="1" x14ac:dyDescent="0.35">
      <c r="B154" s="37" t="s">
        <v>286</v>
      </c>
      <c r="C154" s="40">
        <v>15556.65</v>
      </c>
      <c r="D154" s="41">
        <v>9.2999999999999992E-3</v>
      </c>
      <c r="F154" s="37" t="s">
        <v>286</v>
      </c>
      <c r="G154" s="44">
        <v>558.85</v>
      </c>
      <c r="H154" s="39">
        <v>-4.0000000000000002E-4</v>
      </c>
    </row>
    <row r="155" spans="2:8" ht="15" thickBot="1" x14ac:dyDescent="0.35">
      <c r="B155" s="37" t="s">
        <v>287</v>
      </c>
      <c r="C155" s="38">
        <v>15413.3</v>
      </c>
      <c r="D155" s="39">
        <v>-1.44E-2</v>
      </c>
      <c r="F155" s="37" t="s">
        <v>287</v>
      </c>
      <c r="G155" s="44">
        <v>559.04999999999995</v>
      </c>
      <c r="H155" s="39">
        <v>-2.6100000000000002E-2</v>
      </c>
    </row>
    <row r="156" spans="2:8" ht="15" thickBot="1" x14ac:dyDescent="0.35">
      <c r="B156" s="37" t="s">
        <v>288</v>
      </c>
      <c r="C156" s="40">
        <v>15638.8</v>
      </c>
      <c r="D156" s="41">
        <v>1.8800000000000001E-2</v>
      </c>
      <c r="F156" s="37" t="s">
        <v>288</v>
      </c>
      <c r="G156" s="45">
        <v>574.04999999999995</v>
      </c>
      <c r="H156" s="41">
        <v>3.3399999999999999E-2</v>
      </c>
    </row>
    <row r="157" spans="2:8" ht="15" thickBot="1" x14ac:dyDescent="0.35">
      <c r="B157" s="37" t="s">
        <v>289</v>
      </c>
      <c r="C157" s="40">
        <v>15350.15</v>
      </c>
      <c r="D157" s="41">
        <v>3.7000000000000002E-3</v>
      </c>
      <c r="F157" s="37" t="s">
        <v>289</v>
      </c>
      <c r="G157" s="44">
        <v>555.5</v>
      </c>
      <c r="H157" s="39">
        <v>-4.99E-2</v>
      </c>
    </row>
    <row r="158" spans="2:8" ht="15" thickBot="1" x14ac:dyDescent="0.35">
      <c r="B158" s="37" t="s">
        <v>290</v>
      </c>
      <c r="C158" s="38">
        <v>15293.5</v>
      </c>
      <c r="D158" s="39">
        <v>-4.4000000000000003E-3</v>
      </c>
      <c r="F158" s="37" t="s">
        <v>290</v>
      </c>
      <c r="G158" s="44">
        <v>584.70000000000005</v>
      </c>
      <c r="H158" s="39">
        <v>-2.76E-2</v>
      </c>
    </row>
    <row r="159" spans="2:8" ht="15" thickBot="1" x14ac:dyDescent="0.35">
      <c r="B159" s="37" t="s">
        <v>291</v>
      </c>
      <c r="C159" s="38">
        <v>15360.6</v>
      </c>
      <c r="D159" s="39">
        <v>-2.1100000000000001E-2</v>
      </c>
      <c r="F159" s="37" t="s">
        <v>291</v>
      </c>
      <c r="G159" s="44">
        <v>601.29999999999995</v>
      </c>
      <c r="H159" s="39">
        <v>-4.99E-2</v>
      </c>
    </row>
    <row r="160" spans="2:8" ht="15" thickBot="1" x14ac:dyDescent="0.35">
      <c r="B160" s="37" t="s">
        <v>292</v>
      </c>
      <c r="C160" s="38">
        <v>15692.15</v>
      </c>
      <c r="D160" s="39">
        <v>-2.5000000000000001E-3</v>
      </c>
      <c r="F160" s="37" t="s">
        <v>292</v>
      </c>
      <c r="G160" s="45">
        <v>632.9</v>
      </c>
      <c r="H160" s="41">
        <v>1.9199999999999998E-2</v>
      </c>
    </row>
    <row r="161" spans="2:8" ht="15" thickBot="1" x14ac:dyDescent="0.35">
      <c r="B161" s="37" t="s">
        <v>293</v>
      </c>
      <c r="C161" s="38">
        <v>15732.1</v>
      </c>
      <c r="D161" s="39">
        <v>-2.7000000000000001E-3</v>
      </c>
      <c r="F161" s="37" t="s">
        <v>293</v>
      </c>
      <c r="G161" s="45">
        <v>621</v>
      </c>
      <c r="H161" s="41">
        <v>4.99E-2</v>
      </c>
    </row>
    <row r="162" spans="2:8" ht="15" thickBot="1" x14ac:dyDescent="0.35">
      <c r="B162" s="37" t="s">
        <v>294</v>
      </c>
      <c r="C162" s="38">
        <v>15774.4</v>
      </c>
      <c r="D162" s="39">
        <v>-2.64E-2</v>
      </c>
      <c r="F162" s="37" t="s">
        <v>294</v>
      </c>
      <c r="G162" s="44">
        <v>591.5</v>
      </c>
      <c r="H162" s="39">
        <v>-0.05</v>
      </c>
    </row>
    <row r="163" spans="2:8" ht="15" thickBot="1" x14ac:dyDescent="0.35">
      <c r="B163" s="37" t="s">
        <v>295</v>
      </c>
      <c r="C163" s="38">
        <v>16201.8</v>
      </c>
      <c r="D163" s="39">
        <v>-1.6799999999999999E-2</v>
      </c>
      <c r="F163" s="37" t="s">
        <v>295</v>
      </c>
      <c r="G163" s="44">
        <v>622.6</v>
      </c>
      <c r="H163" s="39">
        <v>-3.2000000000000001E-2</v>
      </c>
    </row>
    <row r="164" spans="2:8" ht="15" thickBot="1" x14ac:dyDescent="0.35">
      <c r="B164" s="37" t="s">
        <v>296</v>
      </c>
      <c r="C164" s="40">
        <v>16478.099999999999</v>
      </c>
      <c r="D164" s="41">
        <v>7.4000000000000003E-3</v>
      </c>
      <c r="F164" s="37" t="s">
        <v>296</v>
      </c>
      <c r="G164" s="44">
        <v>643.20000000000005</v>
      </c>
      <c r="H164" s="39">
        <v>-1.2999999999999999E-2</v>
      </c>
    </row>
    <row r="165" spans="2:8" ht="15" thickBot="1" x14ac:dyDescent="0.35">
      <c r="B165" s="37" t="s">
        <v>297</v>
      </c>
      <c r="C165" s="38">
        <v>16356.25</v>
      </c>
      <c r="D165" s="39">
        <v>-3.7000000000000002E-3</v>
      </c>
      <c r="F165" s="37" t="s">
        <v>297</v>
      </c>
      <c r="G165" s="44">
        <v>651.70000000000005</v>
      </c>
      <c r="H165" s="39">
        <v>-1.6799999999999999E-2</v>
      </c>
    </row>
    <row r="166" spans="2:8" ht="15" thickBot="1" x14ac:dyDescent="0.35">
      <c r="B166" s="37" t="s">
        <v>298</v>
      </c>
      <c r="C166" s="38">
        <v>16416.349999999999</v>
      </c>
      <c r="D166" s="39">
        <v>-9.1999999999999998E-3</v>
      </c>
      <c r="F166" s="37" t="s">
        <v>298</v>
      </c>
      <c r="G166" s="44">
        <v>662.85</v>
      </c>
      <c r="H166" s="39">
        <v>-2.5000000000000001E-2</v>
      </c>
    </row>
    <row r="167" spans="2:8" ht="15" thickBot="1" x14ac:dyDescent="0.35">
      <c r="B167" s="37" t="s">
        <v>299</v>
      </c>
      <c r="C167" s="38">
        <v>16569.55</v>
      </c>
      <c r="D167" s="39">
        <v>-8.9999999999999998E-4</v>
      </c>
      <c r="F167" s="37" t="s">
        <v>299</v>
      </c>
      <c r="G167" s="45">
        <v>679.85</v>
      </c>
      <c r="H167" s="41">
        <v>2.58E-2</v>
      </c>
    </row>
    <row r="168" spans="2:8" ht="15" thickBot="1" x14ac:dyDescent="0.35">
      <c r="B168" s="37" t="s">
        <v>300</v>
      </c>
      <c r="C168" s="38">
        <v>16584.3</v>
      </c>
      <c r="D168" s="39">
        <v>-2.5999999999999999E-3</v>
      </c>
      <c r="F168" s="37" t="s">
        <v>300</v>
      </c>
      <c r="G168" s="44">
        <v>662.75</v>
      </c>
      <c r="H168" s="39">
        <v>-2.2599999999999999E-2</v>
      </c>
    </row>
    <row r="169" spans="2:8" ht="15" thickBot="1" x14ac:dyDescent="0.35">
      <c r="B169" s="37" t="s">
        <v>301</v>
      </c>
      <c r="C169" s="40">
        <v>16628</v>
      </c>
      <c r="D169" s="41">
        <v>6.4000000000000003E-3</v>
      </c>
      <c r="F169" s="37" t="s">
        <v>301</v>
      </c>
      <c r="G169" s="45">
        <v>678.1</v>
      </c>
      <c r="H169" s="41">
        <v>4.99E-2</v>
      </c>
    </row>
    <row r="170" spans="2:8" ht="15" thickBot="1" x14ac:dyDescent="0.35">
      <c r="B170" s="37" t="s">
        <v>378</v>
      </c>
      <c r="C170" s="38">
        <v>16522.75</v>
      </c>
      <c r="D170" s="39">
        <v>-3.7000000000000002E-3</v>
      </c>
      <c r="F170" s="37" t="s">
        <v>302</v>
      </c>
      <c r="G170" s="44">
        <v>645.85</v>
      </c>
      <c r="H170" s="39">
        <v>-3.4000000000000002E-2</v>
      </c>
    </row>
    <row r="171" spans="2:8" ht="15" thickBot="1" x14ac:dyDescent="0.35">
      <c r="B171" s="37" t="s">
        <v>303</v>
      </c>
      <c r="C171" s="38">
        <v>16584.55</v>
      </c>
      <c r="D171" s="39">
        <v>-4.5999999999999999E-3</v>
      </c>
      <c r="F171" s="37" t="s">
        <v>303</v>
      </c>
      <c r="G171" s="44">
        <v>668.55</v>
      </c>
      <c r="H171" s="39">
        <v>-0.04</v>
      </c>
    </row>
    <row r="172" spans="2:8" ht="15" thickBot="1" x14ac:dyDescent="0.35">
      <c r="B172" s="37" t="s">
        <v>304</v>
      </c>
      <c r="C172" s="40">
        <v>16661.400000000001</v>
      </c>
      <c r="D172" s="41">
        <v>1.89E-2</v>
      </c>
      <c r="F172" s="37" t="s">
        <v>304</v>
      </c>
      <c r="G172" s="44">
        <v>696.4</v>
      </c>
      <c r="H172" s="39">
        <v>-1.9400000000000001E-2</v>
      </c>
    </row>
    <row r="173" spans="2:8" ht="15" thickBot="1" x14ac:dyDescent="0.35">
      <c r="B173" s="37" t="s">
        <v>305</v>
      </c>
      <c r="C173" s="40">
        <v>16352.45</v>
      </c>
      <c r="D173" s="41">
        <v>1.1299999999999999E-2</v>
      </c>
      <c r="F173" s="37" t="s">
        <v>305</v>
      </c>
      <c r="G173" s="45">
        <v>710.15</v>
      </c>
      <c r="H173" s="41">
        <v>1.7299999999999999E-2</v>
      </c>
    </row>
    <row r="174" spans="2:8" ht="15" thickBot="1" x14ac:dyDescent="0.35">
      <c r="B174" s="37" t="s">
        <v>306</v>
      </c>
      <c r="C174" s="40">
        <v>16170.15</v>
      </c>
      <c r="D174" s="41">
        <v>8.9999999999999993E-3</v>
      </c>
      <c r="F174" s="37" t="s">
        <v>306</v>
      </c>
      <c r="G174" s="45">
        <v>698.05</v>
      </c>
      <c r="H174" s="41">
        <v>4.99E-2</v>
      </c>
    </row>
    <row r="175" spans="2:8" ht="15" thickBot="1" x14ac:dyDescent="0.35">
      <c r="B175" s="37" t="s">
        <v>307</v>
      </c>
      <c r="C175" s="38">
        <v>16025.8</v>
      </c>
      <c r="D175" s="39">
        <v>-6.1999999999999998E-3</v>
      </c>
      <c r="F175" s="37" t="s">
        <v>307</v>
      </c>
      <c r="G175" s="44">
        <v>664.85</v>
      </c>
      <c r="H175" s="39">
        <v>-4.99E-2</v>
      </c>
    </row>
    <row r="176" spans="2:8" ht="15" thickBot="1" x14ac:dyDescent="0.35">
      <c r="B176" s="37" t="s">
        <v>308</v>
      </c>
      <c r="C176" s="38">
        <v>16125.15</v>
      </c>
      <c r="D176" s="39">
        <v>-5.4999999999999997E-3</v>
      </c>
      <c r="F176" s="37" t="s">
        <v>308</v>
      </c>
      <c r="G176" s="44">
        <v>699.8</v>
      </c>
      <c r="H176" s="39">
        <v>-0.05</v>
      </c>
    </row>
    <row r="177" spans="2:8" ht="15" thickBot="1" x14ac:dyDescent="0.35">
      <c r="B177" s="37" t="s">
        <v>309</v>
      </c>
      <c r="C177" s="38">
        <v>16214.7</v>
      </c>
      <c r="D177" s="39">
        <v>-3.2000000000000002E-3</v>
      </c>
      <c r="F177" s="37" t="s">
        <v>309</v>
      </c>
      <c r="G177" s="45">
        <v>736.6</v>
      </c>
      <c r="H177" s="41">
        <v>0.05</v>
      </c>
    </row>
    <row r="178" spans="2:8" ht="15" thickBot="1" x14ac:dyDescent="0.35">
      <c r="B178" s="37" t="s">
        <v>310</v>
      </c>
      <c r="C178" s="40">
        <v>16266.15</v>
      </c>
      <c r="D178" s="41">
        <v>2.8899999999999999E-2</v>
      </c>
      <c r="F178" s="37" t="s">
        <v>310</v>
      </c>
      <c r="G178" s="45">
        <v>701.55</v>
      </c>
      <c r="H178" s="41">
        <v>0.05</v>
      </c>
    </row>
    <row r="179" spans="2:8" ht="15" thickBot="1" x14ac:dyDescent="0.35">
      <c r="B179" s="37" t="s">
        <v>311</v>
      </c>
      <c r="C179" s="38">
        <v>15809.4</v>
      </c>
      <c r="D179" s="39">
        <v>-2.6499999999999999E-2</v>
      </c>
      <c r="F179" s="37" t="s">
        <v>311</v>
      </c>
      <c r="G179" s="45">
        <v>668.15</v>
      </c>
      <c r="H179" s="41">
        <v>4.9599999999999998E-2</v>
      </c>
    </row>
    <row r="180" spans="2:8" ht="15" thickBot="1" x14ac:dyDescent="0.35">
      <c r="B180" s="37" t="s">
        <v>312</v>
      </c>
      <c r="C180" s="38">
        <v>16240.3</v>
      </c>
      <c r="D180" s="39">
        <v>-1.1999999999999999E-3</v>
      </c>
      <c r="F180" s="37" t="s">
        <v>312</v>
      </c>
      <c r="G180" s="45">
        <v>636.54999999999995</v>
      </c>
      <c r="H180" s="41">
        <v>0.05</v>
      </c>
    </row>
    <row r="181" spans="2:8" ht="15" thickBot="1" x14ac:dyDescent="0.35">
      <c r="B181" s="37" t="s">
        <v>313</v>
      </c>
      <c r="C181" s="40">
        <v>16259.3</v>
      </c>
      <c r="D181" s="41">
        <v>2.63E-2</v>
      </c>
      <c r="F181" s="37" t="s">
        <v>313</v>
      </c>
      <c r="G181" s="45">
        <v>606.25</v>
      </c>
      <c r="H181" s="41">
        <v>0.05</v>
      </c>
    </row>
    <row r="182" spans="2:8" ht="15" thickBot="1" x14ac:dyDescent="0.35">
      <c r="B182" s="37" t="s">
        <v>314</v>
      </c>
      <c r="C182" s="40">
        <v>15842.3</v>
      </c>
      <c r="D182" s="41">
        <v>3.8E-3</v>
      </c>
      <c r="F182" s="37" t="s">
        <v>314</v>
      </c>
      <c r="G182" s="45">
        <v>577.4</v>
      </c>
      <c r="H182" s="41">
        <v>1.55E-2</v>
      </c>
    </row>
    <row r="183" spans="2:8" ht="15" thickBot="1" x14ac:dyDescent="0.35">
      <c r="B183" s="37" t="s">
        <v>315</v>
      </c>
      <c r="C183" s="38">
        <v>15782.15</v>
      </c>
      <c r="D183" s="39">
        <v>-1.6000000000000001E-3</v>
      </c>
      <c r="F183" s="37" t="s">
        <v>315</v>
      </c>
      <c r="G183" s="44">
        <v>568.6</v>
      </c>
      <c r="H183" s="39">
        <v>-2.2700000000000001E-2</v>
      </c>
    </row>
    <row r="184" spans="2:8" ht="15" thickBot="1" x14ac:dyDescent="0.35">
      <c r="B184" s="37" t="s">
        <v>316</v>
      </c>
      <c r="C184" s="38">
        <v>15808</v>
      </c>
      <c r="D184" s="39">
        <v>-2.2200000000000001E-2</v>
      </c>
      <c r="F184" s="37" t="s">
        <v>316</v>
      </c>
      <c r="G184" s="44">
        <v>581.79999999999995</v>
      </c>
      <c r="H184" s="39">
        <v>-0.05</v>
      </c>
    </row>
    <row r="185" spans="2:8" ht="15" thickBot="1" x14ac:dyDescent="0.35">
      <c r="B185" s="37" t="s">
        <v>317</v>
      </c>
      <c r="C185" s="38">
        <v>16167.1</v>
      </c>
      <c r="D185" s="39">
        <v>-4.4999999999999997E-3</v>
      </c>
      <c r="F185" s="37" t="s">
        <v>317</v>
      </c>
      <c r="G185" s="45">
        <v>612.4</v>
      </c>
      <c r="H185" s="41">
        <v>0.05</v>
      </c>
    </row>
    <row r="186" spans="2:8" ht="15" thickBot="1" x14ac:dyDescent="0.35">
      <c r="B186" s="37" t="s">
        <v>318</v>
      </c>
      <c r="C186" s="38">
        <v>16240.05</v>
      </c>
      <c r="D186" s="39">
        <v>-3.8E-3</v>
      </c>
      <c r="F186" s="37" t="s">
        <v>318</v>
      </c>
      <c r="G186" s="44">
        <v>583.25</v>
      </c>
      <c r="H186" s="39">
        <v>-4.99E-2</v>
      </c>
    </row>
    <row r="187" spans="2:8" ht="15" thickBot="1" x14ac:dyDescent="0.35">
      <c r="B187" s="37" t="s">
        <v>319</v>
      </c>
      <c r="C187" s="38">
        <v>16301.85</v>
      </c>
      <c r="D187" s="39">
        <v>-6.7000000000000002E-3</v>
      </c>
      <c r="F187" s="37" t="s">
        <v>319</v>
      </c>
      <c r="G187" s="44">
        <v>613.9</v>
      </c>
      <c r="H187" s="39">
        <v>-0.05</v>
      </c>
    </row>
    <row r="188" spans="2:8" ht="15" thickBot="1" x14ac:dyDescent="0.35">
      <c r="B188" s="37" t="s">
        <v>320</v>
      </c>
      <c r="C188" s="38">
        <v>16411.25</v>
      </c>
      <c r="D188" s="39">
        <v>-1.6299999999999999E-2</v>
      </c>
      <c r="F188" s="37" t="s">
        <v>320</v>
      </c>
      <c r="G188" s="44">
        <v>646.20000000000005</v>
      </c>
      <c r="H188" s="39">
        <v>-0.05</v>
      </c>
    </row>
    <row r="189" spans="2:8" ht="15" thickBot="1" x14ac:dyDescent="0.35">
      <c r="B189" s="37" t="s">
        <v>321</v>
      </c>
      <c r="C189" s="40">
        <v>16682.650000000001</v>
      </c>
      <c r="D189" s="41">
        <v>2.9999999999999997E-4</v>
      </c>
      <c r="F189" s="37" t="s">
        <v>321</v>
      </c>
      <c r="G189" s="44">
        <v>680.2</v>
      </c>
      <c r="H189" s="39">
        <v>-4.99E-2</v>
      </c>
    </row>
    <row r="190" spans="2:8" ht="15" thickBot="1" x14ac:dyDescent="0.35">
      <c r="B190" s="37" t="s">
        <v>322</v>
      </c>
      <c r="C190" s="38">
        <v>16677.599999999999</v>
      </c>
      <c r="D190" s="39">
        <v>-2.29E-2</v>
      </c>
      <c r="F190" s="37" t="s">
        <v>322</v>
      </c>
      <c r="G190" s="44">
        <v>715.95</v>
      </c>
      <c r="H190" s="39">
        <v>-0.05</v>
      </c>
    </row>
    <row r="191" spans="2:8" ht="15" thickBot="1" x14ac:dyDescent="0.35">
      <c r="B191" s="37" t="s">
        <v>323</v>
      </c>
      <c r="C191" s="38">
        <v>17069.099999999999</v>
      </c>
      <c r="D191" s="39">
        <v>-2E-3</v>
      </c>
      <c r="F191" s="37" t="s">
        <v>323</v>
      </c>
      <c r="G191" s="44">
        <v>753.6</v>
      </c>
      <c r="H191" s="39">
        <v>-3.4299999999999997E-2</v>
      </c>
    </row>
    <row r="192" spans="2:8" ht="15" thickBot="1" x14ac:dyDescent="0.35">
      <c r="B192" s="37" t="s">
        <v>324</v>
      </c>
      <c r="C192" s="38">
        <v>17102.55</v>
      </c>
      <c r="D192" s="39">
        <v>-8.3000000000000001E-3</v>
      </c>
      <c r="F192" s="37" t="s">
        <v>324</v>
      </c>
      <c r="G192" s="44">
        <v>780.4</v>
      </c>
      <c r="H192" s="39">
        <v>-2.3199999999999998E-2</v>
      </c>
    </row>
    <row r="193" spans="2:8" ht="15" thickBot="1" x14ac:dyDescent="0.35">
      <c r="B193" s="37" t="s">
        <v>325</v>
      </c>
      <c r="C193" s="40">
        <v>17245.05</v>
      </c>
      <c r="D193" s="41">
        <v>1.21E-2</v>
      </c>
      <c r="F193" s="37" t="s">
        <v>325</v>
      </c>
      <c r="G193" s="44">
        <v>798.95</v>
      </c>
      <c r="H193" s="39">
        <v>-0.05</v>
      </c>
    </row>
    <row r="194" spans="2:8" ht="15" thickBot="1" x14ac:dyDescent="0.35">
      <c r="B194" s="37" t="s">
        <v>326</v>
      </c>
      <c r="C194" s="38">
        <v>17038.400000000001</v>
      </c>
      <c r="D194" s="39">
        <v>-9.4000000000000004E-3</v>
      </c>
      <c r="F194" s="37" t="s">
        <v>326</v>
      </c>
      <c r="G194" s="45">
        <v>841</v>
      </c>
      <c r="H194" s="41">
        <v>4.7100000000000003E-2</v>
      </c>
    </row>
    <row r="195" spans="2:8" ht="15" thickBot="1" x14ac:dyDescent="0.35">
      <c r="B195" s="37" t="s">
        <v>327</v>
      </c>
      <c r="C195" s="40">
        <v>17200.8</v>
      </c>
      <c r="D195" s="41">
        <v>1.46E-2</v>
      </c>
      <c r="F195" s="37" t="s">
        <v>327</v>
      </c>
      <c r="G195" s="45">
        <v>803.15</v>
      </c>
      <c r="H195" s="41">
        <v>4.99E-2</v>
      </c>
    </row>
    <row r="196" spans="2:8" ht="15" thickBot="1" x14ac:dyDescent="0.35">
      <c r="B196" s="37" t="s">
        <v>328</v>
      </c>
      <c r="C196" s="38">
        <v>16953.95</v>
      </c>
      <c r="D196" s="39">
        <v>-1.2699999999999999E-2</v>
      </c>
      <c r="F196" s="37" t="s">
        <v>328</v>
      </c>
      <c r="G196" s="45">
        <v>764.95</v>
      </c>
      <c r="H196" s="41">
        <v>0.05</v>
      </c>
    </row>
    <row r="197" spans="2:8" ht="15" thickBot="1" x14ac:dyDescent="0.35">
      <c r="B197" s="37" t="s">
        <v>329</v>
      </c>
      <c r="C197" s="38">
        <v>17171.95</v>
      </c>
      <c r="D197" s="39">
        <v>-1.2699999999999999E-2</v>
      </c>
      <c r="F197" s="37" t="s">
        <v>329</v>
      </c>
      <c r="G197" s="45">
        <v>728.55</v>
      </c>
      <c r="H197" s="41">
        <v>4.1200000000000001E-2</v>
      </c>
    </row>
    <row r="198" spans="2:8" ht="15" thickBot="1" x14ac:dyDescent="0.35">
      <c r="B198" s="37" t="s">
        <v>330</v>
      </c>
      <c r="C198" s="40">
        <v>17392.599999999999</v>
      </c>
      <c r="D198" s="41">
        <v>1.49E-2</v>
      </c>
      <c r="F198" s="37" t="s">
        <v>330</v>
      </c>
      <c r="G198" s="45">
        <v>699.7</v>
      </c>
      <c r="H198" s="41">
        <v>4.7600000000000003E-2</v>
      </c>
    </row>
    <row r="199" spans="2:8" ht="15" thickBot="1" x14ac:dyDescent="0.35">
      <c r="B199" s="37" t="s">
        <v>331</v>
      </c>
      <c r="C199" s="40">
        <v>17136.55</v>
      </c>
      <c r="D199" s="41">
        <v>1.0500000000000001E-2</v>
      </c>
      <c r="F199" s="37" t="s">
        <v>331</v>
      </c>
      <c r="G199" s="44">
        <v>667.9</v>
      </c>
      <c r="H199" s="39">
        <v>-1.4800000000000001E-2</v>
      </c>
    </row>
    <row r="200" spans="2:8" ht="15" thickBot="1" x14ac:dyDescent="0.35">
      <c r="B200" s="37" t="s">
        <v>332</v>
      </c>
      <c r="C200" s="38">
        <v>16958.650000000001</v>
      </c>
      <c r="D200" s="39">
        <v>-1.2500000000000001E-2</v>
      </c>
      <c r="F200" s="37" t="s">
        <v>332</v>
      </c>
      <c r="G200" s="45">
        <v>677.9</v>
      </c>
      <c r="H200" s="41">
        <v>1.49E-2</v>
      </c>
    </row>
    <row r="201" spans="2:8" ht="15" thickBot="1" x14ac:dyDescent="0.35">
      <c r="B201" s="37" t="s">
        <v>333</v>
      </c>
      <c r="C201" s="38">
        <v>17173.650000000001</v>
      </c>
      <c r="D201" s="39">
        <v>-1.7299999999999999E-2</v>
      </c>
      <c r="F201" s="37" t="s">
        <v>333</v>
      </c>
      <c r="G201" s="45">
        <v>667.95</v>
      </c>
      <c r="H201" s="41">
        <v>0.05</v>
      </c>
    </row>
    <row r="202" spans="2:8" ht="15" thickBot="1" x14ac:dyDescent="0.35">
      <c r="B202" s="37" t="s">
        <v>334</v>
      </c>
      <c r="C202" s="38">
        <v>17475.650000000001</v>
      </c>
      <c r="D202" s="39">
        <v>-3.0999999999999999E-3</v>
      </c>
      <c r="F202" s="37" t="s">
        <v>334</v>
      </c>
      <c r="G202" s="45">
        <v>636.15</v>
      </c>
      <c r="H202" s="41">
        <v>4.99E-2</v>
      </c>
    </row>
    <row r="203" spans="2:8" ht="15" thickBot="1" x14ac:dyDescent="0.35">
      <c r="B203" s="37" t="s">
        <v>335</v>
      </c>
      <c r="C203" s="38">
        <v>17530.3</v>
      </c>
      <c r="D203" s="39">
        <v>-8.2000000000000007E-3</v>
      </c>
      <c r="F203" s="37" t="s">
        <v>335</v>
      </c>
      <c r="G203" s="45">
        <v>605.9</v>
      </c>
      <c r="H203" s="41">
        <v>0.05</v>
      </c>
    </row>
    <row r="204" spans="2:8" ht="15" thickBot="1" x14ac:dyDescent="0.35">
      <c r="B204" s="37" t="s">
        <v>336</v>
      </c>
      <c r="C204" s="38">
        <v>17674.95</v>
      </c>
      <c r="D204" s="39">
        <v>-6.1999999999999998E-3</v>
      </c>
      <c r="F204" s="37" t="s">
        <v>336</v>
      </c>
      <c r="G204" s="45">
        <v>577.04999999999995</v>
      </c>
      <c r="H204" s="41">
        <v>4.99E-2</v>
      </c>
    </row>
    <row r="205" spans="2:8" ht="15" thickBot="1" x14ac:dyDescent="0.35">
      <c r="B205" s="37" t="s">
        <v>337</v>
      </c>
      <c r="C205" s="40">
        <v>17784.349999999999</v>
      </c>
      <c r="D205" s="41">
        <v>8.2000000000000007E-3</v>
      </c>
      <c r="F205" s="37" t="s">
        <v>337</v>
      </c>
      <c r="G205" s="44">
        <v>549.6</v>
      </c>
      <c r="H205" s="39">
        <v>-0.05</v>
      </c>
    </row>
    <row r="206" spans="2:8" ht="15" thickBot="1" x14ac:dyDescent="0.35">
      <c r="B206" s="37" t="s">
        <v>338</v>
      </c>
      <c r="C206" s="38">
        <v>17639.55</v>
      </c>
      <c r="D206" s="39">
        <v>-9.4000000000000004E-3</v>
      </c>
      <c r="F206" s="37" t="s">
        <v>338</v>
      </c>
      <c r="G206" s="44">
        <v>578.5</v>
      </c>
      <c r="H206" s="39">
        <v>-4.99E-2</v>
      </c>
    </row>
    <row r="207" spans="2:8" ht="15" thickBot="1" x14ac:dyDescent="0.35">
      <c r="B207" s="37" t="s">
        <v>339</v>
      </c>
      <c r="C207" s="38">
        <v>17807.650000000001</v>
      </c>
      <c r="D207" s="39">
        <v>-8.3000000000000001E-3</v>
      </c>
      <c r="F207" s="37" t="s">
        <v>339</v>
      </c>
      <c r="G207" s="45">
        <v>608.9</v>
      </c>
      <c r="H207" s="41">
        <v>4.99E-2</v>
      </c>
    </row>
    <row r="208" spans="2:8" ht="15" thickBot="1" x14ac:dyDescent="0.35">
      <c r="B208" s="37" t="s">
        <v>340</v>
      </c>
      <c r="C208" s="38">
        <v>17957.400000000001</v>
      </c>
      <c r="D208" s="39">
        <v>-5.3E-3</v>
      </c>
      <c r="F208" s="37" t="s">
        <v>340</v>
      </c>
      <c r="G208" s="45">
        <v>579.95000000000005</v>
      </c>
      <c r="H208" s="41">
        <v>0.05</v>
      </c>
    </row>
    <row r="209" spans="2:8" ht="15" thickBot="1" x14ac:dyDescent="0.35">
      <c r="B209" s="37" t="s">
        <v>341</v>
      </c>
      <c r="C209" s="40">
        <v>18053.400000000001</v>
      </c>
      <c r="D209" s="41">
        <v>2.1700000000000001E-2</v>
      </c>
      <c r="F209" s="37" t="s">
        <v>341</v>
      </c>
      <c r="G209" s="45">
        <v>552.35</v>
      </c>
      <c r="H209" s="41">
        <v>1.78E-2</v>
      </c>
    </row>
    <row r="210" spans="2:8" ht="15" thickBot="1" x14ac:dyDescent="0.35">
      <c r="B210" s="37" t="s">
        <v>342</v>
      </c>
      <c r="C210" s="40">
        <v>17670.45</v>
      </c>
      <c r="D210" s="41">
        <v>1.18E-2</v>
      </c>
      <c r="F210" s="37" t="s">
        <v>342</v>
      </c>
      <c r="G210" s="45">
        <v>542.70000000000005</v>
      </c>
      <c r="H210" s="41">
        <v>4.99E-2</v>
      </c>
    </row>
    <row r="211" spans="2:8" ht="15" thickBot="1" x14ac:dyDescent="0.35">
      <c r="B211" s="37" t="s">
        <v>343</v>
      </c>
      <c r="C211" s="38">
        <v>17464.75</v>
      </c>
      <c r="D211" s="39">
        <v>-1.9E-3</v>
      </c>
      <c r="F211" s="37" t="s">
        <v>343</v>
      </c>
      <c r="G211" s="45">
        <v>516.9</v>
      </c>
      <c r="H211" s="41">
        <v>0.05</v>
      </c>
    </row>
    <row r="212" spans="2:8" ht="15" thickBot="1" x14ac:dyDescent="0.35">
      <c r="B212" s="37" t="s">
        <v>344</v>
      </c>
      <c r="C212" s="40">
        <v>17498.25</v>
      </c>
      <c r="D212" s="41">
        <v>0.01</v>
      </c>
      <c r="F212" s="37" t="s">
        <v>344</v>
      </c>
      <c r="G212" s="44">
        <v>492.3</v>
      </c>
      <c r="H212" s="39">
        <v>-1.5299999999999999E-2</v>
      </c>
    </row>
    <row r="213" spans="2:8" ht="15" thickBot="1" x14ac:dyDescent="0.35">
      <c r="B213" s="37" t="s">
        <v>345</v>
      </c>
      <c r="C213" s="40">
        <v>17325.3</v>
      </c>
      <c r="D213" s="41">
        <v>6.0000000000000001E-3</v>
      </c>
      <c r="F213" s="37" t="s">
        <v>345</v>
      </c>
      <c r="G213" s="45">
        <v>499.95</v>
      </c>
      <c r="H213" s="41">
        <v>8.4500000000000006E-2</v>
      </c>
    </row>
    <row r="214" spans="2:8" ht="15" thickBot="1" x14ac:dyDescent="0.35">
      <c r="B214" s="37" t="s">
        <v>346</v>
      </c>
      <c r="C214" s="40">
        <v>17222</v>
      </c>
      <c r="D214" s="41">
        <v>4.0000000000000001E-3</v>
      </c>
      <c r="F214" s="37" t="s">
        <v>346</v>
      </c>
      <c r="G214" s="45">
        <v>461</v>
      </c>
      <c r="H214" s="41">
        <v>9.9599999999999994E-2</v>
      </c>
    </row>
    <row r="215" spans="2:8" ht="15" thickBot="1" x14ac:dyDescent="0.35">
      <c r="B215" s="37" t="s">
        <v>347</v>
      </c>
      <c r="C215" s="38">
        <v>17153</v>
      </c>
      <c r="D215" s="39">
        <v>-4.0000000000000001E-3</v>
      </c>
      <c r="F215" s="37" t="s">
        <v>347</v>
      </c>
      <c r="G215" s="45">
        <v>419.25</v>
      </c>
      <c r="H215" s="41">
        <v>2.98E-2</v>
      </c>
    </row>
    <row r="216" spans="2:8" ht="15" thickBot="1" x14ac:dyDescent="0.35">
      <c r="B216" s="37" t="s">
        <v>348</v>
      </c>
      <c r="C216" s="38">
        <v>17222.75</v>
      </c>
      <c r="D216" s="39">
        <v>-1.2999999999999999E-3</v>
      </c>
      <c r="F216" s="37" t="s">
        <v>348</v>
      </c>
      <c r="G216" s="45">
        <v>407.1</v>
      </c>
      <c r="H216" s="41">
        <v>2.4799999999999999E-2</v>
      </c>
    </row>
    <row r="217" spans="2:8" ht="15" thickBot="1" x14ac:dyDescent="0.35">
      <c r="B217" s="37" t="s">
        <v>349</v>
      </c>
      <c r="C217" s="38">
        <v>17245.650000000001</v>
      </c>
      <c r="D217" s="39">
        <v>-4.0000000000000001E-3</v>
      </c>
      <c r="F217" s="37" t="s">
        <v>349</v>
      </c>
      <c r="G217" s="45">
        <v>397.25</v>
      </c>
      <c r="H217" s="41">
        <v>1.06E-2</v>
      </c>
    </row>
    <row r="218" spans="2:8" ht="15" thickBot="1" x14ac:dyDescent="0.35">
      <c r="B218" s="37" t="s">
        <v>350</v>
      </c>
      <c r="C218" s="40">
        <v>17315.5</v>
      </c>
      <c r="D218" s="41">
        <v>1.1599999999999999E-2</v>
      </c>
      <c r="F218" s="37" t="s">
        <v>350</v>
      </c>
      <c r="G218" s="45">
        <v>393.1</v>
      </c>
      <c r="H218" s="41">
        <v>4.7000000000000002E-3</v>
      </c>
    </row>
    <row r="219" spans="2:8" ht="15" thickBot="1" x14ac:dyDescent="0.35">
      <c r="B219" s="37" t="s">
        <v>351</v>
      </c>
      <c r="C219" s="38">
        <v>17117.599999999999</v>
      </c>
      <c r="D219" s="39">
        <v>-9.7999999999999997E-3</v>
      </c>
      <c r="F219" s="37" t="s">
        <v>351</v>
      </c>
      <c r="G219" s="45">
        <v>391.25</v>
      </c>
      <c r="H219" s="41">
        <v>3.0099999999999998E-2</v>
      </c>
    </row>
    <row r="220" spans="2:8" ht="15" thickBot="1" x14ac:dyDescent="0.35">
      <c r="B220" s="37" t="s">
        <v>352</v>
      </c>
      <c r="C220" s="40">
        <v>17287.05</v>
      </c>
      <c r="D220" s="41">
        <v>1.84E-2</v>
      </c>
      <c r="F220" s="37" t="s">
        <v>352</v>
      </c>
      <c r="G220" s="45">
        <v>379.8</v>
      </c>
      <c r="H220" s="41">
        <v>9.69E-2</v>
      </c>
    </row>
    <row r="221" spans="2:8" ht="15" thickBot="1" x14ac:dyDescent="0.35">
      <c r="B221" s="37" t="s">
        <v>353</v>
      </c>
      <c r="C221" s="40">
        <v>16975.349999999999</v>
      </c>
      <c r="D221" s="41">
        <v>1.8700000000000001E-2</v>
      </c>
      <c r="F221" s="37" t="s">
        <v>353</v>
      </c>
      <c r="G221" s="45">
        <v>346.25</v>
      </c>
      <c r="H221" s="41">
        <v>1.7600000000000001E-2</v>
      </c>
    </row>
    <row r="222" spans="2:8" ht="15" thickBot="1" x14ac:dyDescent="0.35">
      <c r="B222" s="37" t="s">
        <v>354</v>
      </c>
      <c r="C222" s="38">
        <v>16663</v>
      </c>
      <c r="D222" s="39">
        <v>-1.23E-2</v>
      </c>
      <c r="F222" s="37" t="s">
        <v>354</v>
      </c>
      <c r="G222" s="44">
        <v>340.25</v>
      </c>
      <c r="H222" s="39">
        <v>-2.5000000000000001E-3</v>
      </c>
    </row>
    <row r="223" spans="2:8" ht="15" thickBot="1" x14ac:dyDescent="0.35">
      <c r="B223" s="37" t="s">
        <v>355</v>
      </c>
      <c r="C223" s="40">
        <v>16871.3</v>
      </c>
      <c r="D223" s="41">
        <v>1.4500000000000001E-2</v>
      </c>
      <c r="F223" s="37" t="s">
        <v>355</v>
      </c>
      <c r="G223" s="44">
        <v>341.1</v>
      </c>
      <c r="H223" s="39">
        <v>-8.9999999999999993E-3</v>
      </c>
    </row>
    <row r="224" spans="2:8" ht="15" thickBot="1" x14ac:dyDescent="0.35">
      <c r="B224" s="37" t="s">
        <v>356</v>
      </c>
      <c r="C224" s="40">
        <v>16630.45</v>
      </c>
      <c r="D224" s="41">
        <v>2.0999999999999999E-3</v>
      </c>
      <c r="F224" s="37" t="s">
        <v>356</v>
      </c>
      <c r="G224" s="45">
        <v>344.2</v>
      </c>
      <c r="H224" s="41">
        <v>2.3E-3</v>
      </c>
    </row>
    <row r="225" spans="2:8" ht="15" thickBot="1" x14ac:dyDescent="0.35">
      <c r="B225" s="37" t="s">
        <v>357</v>
      </c>
      <c r="C225" s="40">
        <v>16594.900000000001</v>
      </c>
      <c r="D225" s="41">
        <v>1.5299999999999999E-2</v>
      </c>
      <c r="F225" s="37" t="s">
        <v>357</v>
      </c>
      <c r="G225" s="45">
        <v>343.4</v>
      </c>
      <c r="H225" s="41">
        <v>8.8000000000000005E-3</v>
      </c>
    </row>
    <row r="226" spans="2:8" ht="15" thickBot="1" x14ac:dyDescent="0.35">
      <c r="B226" s="37" t="s">
        <v>358</v>
      </c>
      <c r="C226" s="40">
        <v>16345.35</v>
      </c>
      <c r="D226" s="41">
        <v>2.07E-2</v>
      </c>
      <c r="F226" s="37" t="s">
        <v>358</v>
      </c>
      <c r="G226" s="44">
        <v>340.4</v>
      </c>
      <c r="H226" s="39">
        <v>-7.0000000000000001E-3</v>
      </c>
    </row>
    <row r="227" spans="2:8" ht="15" thickBot="1" x14ac:dyDescent="0.35">
      <c r="B227" s="37" t="s">
        <v>359</v>
      </c>
      <c r="C227" s="40">
        <v>16013.45</v>
      </c>
      <c r="D227" s="41">
        <v>9.4999999999999998E-3</v>
      </c>
      <c r="F227" s="37" t="s">
        <v>359</v>
      </c>
      <c r="G227" s="45">
        <v>342.8</v>
      </c>
      <c r="H227" s="41">
        <v>5.8999999999999999E-3</v>
      </c>
    </row>
    <row r="228" spans="2:8" ht="15" thickBot="1" x14ac:dyDescent="0.35">
      <c r="B228" s="37" t="s">
        <v>360</v>
      </c>
      <c r="C228" s="38">
        <v>15863.15</v>
      </c>
      <c r="D228" s="39">
        <v>-2.35E-2</v>
      </c>
      <c r="F228" s="37" t="s">
        <v>360</v>
      </c>
      <c r="G228" s="44">
        <v>340.8</v>
      </c>
      <c r="H228" s="39">
        <v>-5.5399999999999998E-2</v>
      </c>
    </row>
    <row r="229" spans="2:8" ht="15" thickBot="1" x14ac:dyDescent="0.35">
      <c r="B229" s="37" t="s">
        <v>361</v>
      </c>
      <c r="C229" s="38">
        <v>16245.35</v>
      </c>
      <c r="D229" s="39">
        <v>-1.5299999999999999E-2</v>
      </c>
      <c r="F229" s="37" t="s">
        <v>361</v>
      </c>
      <c r="G229" s="44">
        <v>360.8</v>
      </c>
      <c r="H229" s="39">
        <v>-5.1200000000000002E-2</v>
      </c>
    </row>
    <row r="230" spans="2:8" ht="15" thickBot="1" x14ac:dyDescent="0.35">
      <c r="B230" s="37" t="s">
        <v>362</v>
      </c>
      <c r="C230" s="38">
        <v>16498.05</v>
      </c>
      <c r="D230" s="39">
        <v>-6.4999999999999997E-3</v>
      </c>
      <c r="F230" s="37" t="s">
        <v>362</v>
      </c>
      <c r="G230" s="44">
        <v>380.25</v>
      </c>
      <c r="H230" s="39">
        <v>-5.4000000000000003E-3</v>
      </c>
    </row>
    <row r="231" spans="2:8" ht="15" thickBot="1" x14ac:dyDescent="0.35">
      <c r="B231" s="37" t="s">
        <v>363</v>
      </c>
      <c r="C231" s="38">
        <v>16605.95</v>
      </c>
      <c r="D231" s="39">
        <v>-1.12E-2</v>
      </c>
      <c r="F231" s="37" t="s">
        <v>363</v>
      </c>
      <c r="G231" s="45">
        <v>382.3</v>
      </c>
      <c r="H231" s="41">
        <v>7.7999999999999996E-3</v>
      </c>
    </row>
    <row r="232" spans="2:8" ht="15" thickBot="1" x14ac:dyDescent="0.35">
      <c r="B232" s="37" t="s">
        <v>364</v>
      </c>
      <c r="C232" s="40">
        <v>16793.900000000001</v>
      </c>
      <c r="D232" s="41">
        <v>8.0999999999999996E-3</v>
      </c>
      <c r="F232" s="37" t="s">
        <v>364</v>
      </c>
      <c r="G232" s="45">
        <v>379.35</v>
      </c>
      <c r="H232" s="41">
        <v>3.6200000000000003E-2</v>
      </c>
    </row>
    <row r="233" spans="2:8" ht="15" thickBot="1" x14ac:dyDescent="0.35">
      <c r="B233" s="37" t="s">
        <v>365</v>
      </c>
      <c r="C233" s="40">
        <v>16658.400000000001</v>
      </c>
      <c r="D233" s="41">
        <v>2.53E-2</v>
      </c>
      <c r="F233" s="37" t="s">
        <v>365</v>
      </c>
      <c r="G233" s="45">
        <v>366.1</v>
      </c>
      <c r="H233" s="41">
        <v>9.9599999999999994E-2</v>
      </c>
    </row>
    <row r="234" spans="2:8" ht="15" thickBot="1" x14ac:dyDescent="0.35">
      <c r="B234" s="37" t="s">
        <v>366</v>
      </c>
      <c r="C234" s="38">
        <v>16247.95</v>
      </c>
      <c r="D234" s="39">
        <v>-4.7800000000000002E-2</v>
      </c>
      <c r="F234" s="37" t="s">
        <v>366</v>
      </c>
      <c r="G234" s="44">
        <v>332.95</v>
      </c>
      <c r="H234" s="39">
        <v>-3.5099999999999999E-2</v>
      </c>
    </row>
    <row r="235" spans="2:8" ht="15" thickBot="1" x14ac:dyDescent="0.35">
      <c r="B235" s="37" t="s">
        <v>367</v>
      </c>
      <c r="C235" s="38">
        <v>17063.25</v>
      </c>
      <c r="D235" s="39">
        <v>-1.6999999999999999E-3</v>
      </c>
      <c r="F235" s="37" t="s">
        <v>367</v>
      </c>
      <c r="G235" s="45">
        <v>345.05</v>
      </c>
      <c r="H235" s="41">
        <v>9.7799999999999998E-2</v>
      </c>
    </row>
    <row r="236" spans="2:8" ht="15" thickBot="1" x14ac:dyDescent="0.35">
      <c r="B236" s="37" t="s">
        <v>368</v>
      </c>
      <c r="C236" s="38">
        <v>17092.2</v>
      </c>
      <c r="D236" s="39">
        <v>-6.7000000000000002E-3</v>
      </c>
      <c r="F236" s="37" t="s">
        <v>368</v>
      </c>
      <c r="G236" s="44">
        <v>314.3</v>
      </c>
      <c r="H236" s="39">
        <v>-4.0599999999999997E-2</v>
      </c>
    </row>
    <row r="237" spans="2:8" ht="15" thickBot="1" x14ac:dyDescent="0.35">
      <c r="B237" s="37" t="s">
        <v>369</v>
      </c>
      <c r="C237" s="38">
        <v>17206.650000000001</v>
      </c>
      <c r="D237" s="39">
        <v>-4.0000000000000001E-3</v>
      </c>
      <c r="F237" s="37" t="s">
        <v>369</v>
      </c>
      <c r="G237" s="44">
        <v>327.60000000000002</v>
      </c>
      <c r="H237" s="39">
        <v>-7.5399999999999995E-2</v>
      </c>
    </row>
    <row r="238" spans="2:8" ht="15" thickBot="1" x14ac:dyDescent="0.35">
      <c r="B238" s="37" t="s">
        <v>370</v>
      </c>
      <c r="C238" s="38">
        <v>17276.3</v>
      </c>
      <c r="D238" s="39">
        <v>-1.6000000000000001E-3</v>
      </c>
      <c r="F238" s="37" t="s">
        <v>370</v>
      </c>
      <c r="G238" s="44">
        <v>354.3</v>
      </c>
      <c r="H238" s="39">
        <v>-1.5299999999999999E-2</v>
      </c>
    </row>
    <row r="239" spans="2:8" ht="15" thickBot="1" x14ac:dyDescent="0.35">
      <c r="B239" s="37" t="s">
        <v>371</v>
      </c>
      <c r="C239" s="38">
        <v>17304.599999999999</v>
      </c>
      <c r="D239" s="39">
        <v>-1E-3</v>
      </c>
      <c r="F239" s="37" t="s">
        <v>371</v>
      </c>
      <c r="G239" s="44">
        <v>359.8</v>
      </c>
      <c r="H239" s="39">
        <v>-4.5699999999999998E-2</v>
      </c>
    </row>
    <row r="240" spans="2:8" ht="15" thickBot="1" x14ac:dyDescent="0.35">
      <c r="B240" s="37" t="s">
        <v>372</v>
      </c>
      <c r="C240" s="38">
        <v>17322.2</v>
      </c>
      <c r="D240" s="39">
        <v>-1.6999999999999999E-3</v>
      </c>
      <c r="F240" s="37" t="s">
        <v>372</v>
      </c>
      <c r="G240" s="44">
        <v>377.05</v>
      </c>
      <c r="H240" s="39">
        <v>-1.77E-2</v>
      </c>
    </row>
    <row r="241" spans="2:8" ht="15" thickBot="1" x14ac:dyDescent="0.35">
      <c r="B241" s="37" t="s">
        <v>373</v>
      </c>
      <c r="C241" s="40">
        <v>17352.45</v>
      </c>
      <c r="D241" s="41">
        <v>3.0300000000000001E-2</v>
      </c>
      <c r="F241" s="37" t="s">
        <v>373</v>
      </c>
      <c r="G241" s="45">
        <v>383.85</v>
      </c>
      <c r="H241" s="41">
        <v>2.01E-2</v>
      </c>
    </row>
    <row r="242" spans="2:8" ht="15" thickBot="1" x14ac:dyDescent="0.35">
      <c r="B242" s="37" t="s">
        <v>379</v>
      </c>
      <c r="C242" s="38">
        <v>16842.8</v>
      </c>
      <c r="D242" s="39">
        <v>-3.0599999999999999E-2</v>
      </c>
      <c r="F242" s="37" t="s">
        <v>374</v>
      </c>
      <c r="G242" s="44">
        <v>376.3</v>
      </c>
      <c r="H242" s="39">
        <v>-1.23E-2</v>
      </c>
    </row>
    <row r="243" spans="2:8" ht="15" thickBot="1" x14ac:dyDescent="0.35">
      <c r="B243" s="37" t="s">
        <v>375</v>
      </c>
      <c r="C243" s="38">
        <v>17374.75</v>
      </c>
      <c r="D243" s="39">
        <v>-1.3100000000000001E-2</v>
      </c>
      <c r="F243" s="37" t="s">
        <v>375</v>
      </c>
      <c r="G243" s="44">
        <v>381</v>
      </c>
      <c r="H243" s="39">
        <v>-1.3599999999999999E-2</v>
      </c>
    </row>
    <row r="244" spans="2:8" ht="15" thickBot="1" x14ac:dyDescent="0.35">
      <c r="B244" s="37" t="s">
        <v>376</v>
      </c>
      <c r="C244" s="40">
        <v>17605.849999999999</v>
      </c>
      <c r="D244" s="41">
        <v>8.0999999999999996E-3</v>
      </c>
      <c r="F244" s="37" t="s">
        <v>376</v>
      </c>
      <c r="G244" s="45">
        <v>386.25</v>
      </c>
      <c r="H244" s="41">
        <v>0.19989999999999999</v>
      </c>
    </row>
    <row r="245" spans="2:8" ht="15" thickBot="1" x14ac:dyDescent="0.35">
      <c r="B245" s="37" t="s">
        <v>377</v>
      </c>
      <c r="C245" s="40">
        <v>17463.8</v>
      </c>
      <c r="D245" s="41">
        <v>1.14E-2</v>
      </c>
      <c r="F245" s="42" t="s">
        <v>377</v>
      </c>
      <c r="G245" s="46">
        <v>321.89999999999998</v>
      </c>
      <c r="H245" s="43">
        <v>0.2</v>
      </c>
    </row>
  </sheetData>
  <sheetProtection password="C58F" sheet="1" objects="1" scenarios="1"/>
  <customSheetViews>
    <customSheetView guid="{0D1F9D0C-3063-4A9B-A68D-79FADEF997F9}" showGridLines="0">
      <selection activeCell="L5" sqref="L5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29"/>
  <sheetViews>
    <sheetView showGridLines="0" tabSelected="1" topLeftCell="A2" workbookViewId="0">
      <pane ySplit="1" topLeftCell="A3" activePane="bottomLeft" state="frozen"/>
      <selection activeCell="A2" sqref="A2"/>
      <selection pane="bottomLeft" activeCell="E9" sqref="E9"/>
    </sheetView>
  </sheetViews>
  <sheetFormatPr defaultRowHeight="14.4" x14ac:dyDescent="0.3"/>
  <cols>
    <col min="1" max="1" width="1.88671875" customWidth="1"/>
    <col min="5" max="5" width="8" bestFit="1" customWidth="1"/>
    <col min="12" max="12" width="12.6640625" customWidth="1"/>
    <col min="13" max="13" width="9.109375" bestFit="1" customWidth="1"/>
  </cols>
  <sheetData>
    <row r="2" spans="2:19" x14ac:dyDescent="0.3">
      <c r="B2" s="17" t="s">
        <v>411</v>
      </c>
      <c r="C2" s="16"/>
      <c r="D2" s="16"/>
      <c r="E2" s="16"/>
      <c r="F2" s="17" t="s">
        <v>448</v>
      </c>
      <c r="G2" s="16"/>
      <c r="H2" s="16"/>
      <c r="I2" s="16"/>
      <c r="J2" s="16"/>
      <c r="K2" s="16"/>
      <c r="L2" s="16"/>
      <c r="M2" s="18">
        <f>'Cash Flow Statement'!M2</f>
        <v>45352</v>
      </c>
      <c r="N2" s="18">
        <f>'Cash Flow Statement'!N2</f>
        <v>45718</v>
      </c>
      <c r="O2" s="18">
        <f>'Cash Flow Statement'!O2</f>
        <v>46084</v>
      </c>
      <c r="P2" s="18">
        <f>'Cash Flow Statement'!P2</f>
        <v>46450</v>
      </c>
      <c r="Q2" s="18">
        <f>'Cash Flow Statement'!Q2</f>
        <v>46816</v>
      </c>
      <c r="R2" s="18">
        <f>'Cash Flow Statement'!R2</f>
        <v>47182</v>
      </c>
      <c r="S2" s="18">
        <f>'Cash Flow Statement'!S2</f>
        <v>47548</v>
      </c>
    </row>
    <row r="3" spans="2:19" x14ac:dyDescent="0.3">
      <c r="B3" s="147" t="s">
        <v>412</v>
      </c>
      <c r="C3" s="148"/>
      <c r="D3" s="148"/>
      <c r="E3" s="149"/>
      <c r="K3" s="141" t="s">
        <v>425</v>
      </c>
      <c r="L3" s="142"/>
      <c r="M3" s="142"/>
      <c r="N3" s="142"/>
      <c r="O3" s="142"/>
      <c r="P3" s="142"/>
      <c r="Q3" s="142"/>
      <c r="R3" s="142"/>
      <c r="S3" s="143"/>
    </row>
    <row r="4" spans="2:19" x14ac:dyDescent="0.3">
      <c r="B4" s="55"/>
      <c r="C4" s="56"/>
      <c r="D4" s="56"/>
      <c r="E4" s="62"/>
      <c r="K4" s="164" t="s">
        <v>451</v>
      </c>
      <c r="L4" s="162"/>
      <c r="M4" s="162"/>
      <c r="N4" s="162"/>
      <c r="O4" s="162"/>
      <c r="P4" s="162"/>
      <c r="Q4" s="162"/>
      <c r="R4" s="162"/>
      <c r="S4" s="163"/>
    </row>
    <row r="5" spans="2:19" x14ac:dyDescent="0.3">
      <c r="B5" s="106" t="s">
        <v>413</v>
      </c>
      <c r="C5" s="56"/>
      <c r="D5" s="56"/>
      <c r="E5" s="150">
        <v>7.3899999999999993E-2</v>
      </c>
      <c r="K5" s="106" t="s">
        <v>53</v>
      </c>
      <c r="L5" s="116"/>
      <c r="M5" s="117">
        <f>'P&amp;L'!M12</f>
        <v>1873.3414701741685</v>
      </c>
      <c r="N5" s="117">
        <f>'P&amp;L'!N12</f>
        <v>2138.4230242679246</v>
      </c>
      <c r="O5" s="117">
        <f>'P&amp;L'!O12</f>
        <v>2388.5984049851409</v>
      </c>
      <c r="P5" s="117">
        <f>'P&amp;L'!P12</f>
        <v>2585.3754955204131</v>
      </c>
      <c r="Q5" s="117">
        <f>'P&amp;L'!Q12</f>
        <v>2629.4983586081489</v>
      </c>
      <c r="R5" s="117">
        <f>'P&amp;L'!R12</f>
        <v>2735.1729268648705</v>
      </c>
      <c r="S5" s="72">
        <f>'P&amp;L'!S12</f>
        <v>2961.4857096167239</v>
      </c>
    </row>
    <row r="6" spans="2:19" x14ac:dyDescent="0.3">
      <c r="B6" s="55" t="s">
        <v>414</v>
      </c>
      <c r="C6" s="56"/>
      <c r="D6" s="56"/>
      <c r="E6" s="151">
        <v>0.14180000000000001</v>
      </c>
      <c r="F6" s="19" t="s">
        <v>423</v>
      </c>
      <c r="K6" s="106" t="s">
        <v>426</v>
      </c>
      <c r="L6" s="116"/>
      <c r="M6" s="144">
        <f>'P&amp;L'!M16</f>
        <v>0.25169999999999998</v>
      </c>
      <c r="N6" s="144">
        <f>'P&amp;L'!N16</f>
        <v>0.25169999999999998</v>
      </c>
      <c r="O6" s="144">
        <f>'P&amp;L'!O16</f>
        <v>0.25169999999999998</v>
      </c>
      <c r="P6" s="144">
        <f>'P&amp;L'!P16</f>
        <v>0.25169999999999998</v>
      </c>
      <c r="Q6" s="144">
        <f>'P&amp;L'!Q16</f>
        <v>0.25169999999999998</v>
      </c>
      <c r="R6" s="144">
        <f>'P&amp;L'!R16</f>
        <v>0.25169999999999998</v>
      </c>
      <c r="S6" s="145">
        <f>'P&amp;L'!S16</f>
        <v>0.25169999999999998</v>
      </c>
    </row>
    <row r="7" spans="2:19" x14ac:dyDescent="0.3">
      <c r="B7" s="106" t="s">
        <v>415</v>
      </c>
      <c r="C7" s="56"/>
      <c r="D7" s="56"/>
      <c r="E7" s="145">
        <f>E6-E5</f>
        <v>6.7900000000000016E-2</v>
      </c>
      <c r="K7" s="106" t="s">
        <v>427</v>
      </c>
      <c r="L7" s="116"/>
      <c r="M7" s="117">
        <f>M5*(1-M6)</f>
        <v>1401.8214221313303</v>
      </c>
      <c r="N7" s="117">
        <f t="shared" ref="N7:S7" si="0">N5*(1-N6)</f>
        <v>1600.1819490596879</v>
      </c>
      <c r="O7" s="117">
        <f t="shared" si="0"/>
        <v>1787.3881864503808</v>
      </c>
      <c r="P7" s="117">
        <f t="shared" si="0"/>
        <v>1934.636483297925</v>
      </c>
      <c r="Q7" s="117">
        <f t="shared" si="0"/>
        <v>1967.6536217464777</v>
      </c>
      <c r="R7" s="117">
        <f t="shared" si="0"/>
        <v>2046.7299011729826</v>
      </c>
      <c r="S7" s="72">
        <f t="shared" si="0"/>
        <v>2216.0797565061944</v>
      </c>
    </row>
    <row r="8" spans="2:19" x14ac:dyDescent="0.3">
      <c r="B8" s="106" t="s">
        <v>416</v>
      </c>
      <c r="C8" s="56"/>
      <c r="D8" s="56"/>
      <c r="E8" s="152">
        <f>'BETA  Calculation'!L5</f>
        <v>1.2085644241443199</v>
      </c>
      <c r="K8" s="106" t="s">
        <v>430</v>
      </c>
      <c r="L8" s="116"/>
      <c r="M8" s="117">
        <f>'P&amp;L'!M10</f>
        <v>399.32843436297219</v>
      </c>
      <c r="N8" s="117">
        <f>'P&amp;L'!N10</f>
        <v>454.1895029730299</v>
      </c>
      <c r="O8" s="117">
        <f>'P&amp;L'!O10</f>
        <v>520.17117429635493</v>
      </c>
      <c r="P8" s="117">
        <f>'P&amp;L'!P10</f>
        <v>589.65791493767949</v>
      </c>
      <c r="Q8" s="117">
        <f>'P&amp;L'!Q10</f>
        <v>666.65065600218179</v>
      </c>
      <c r="R8" s="117">
        <f>'P&amp;L'!R10</f>
        <v>743.50020846386644</v>
      </c>
      <c r="S8" s="72">
        <f>'P&amp;L'!S10</f>
        <v>818.7026283217366</v>
      </c>
    </row>
    <row r="9" spans="2:19" x14ac:dyDescent="0.3">
      <c r="B9" s="108" t="s">
        <v>417</v>
      </c>
      <c r="C9" s="51"/>
      <c r="D9" s="51"/>
      <c r="E9" s="153">
        <f>E5+E8*E7</f>
        <v>0.15596152439939934</v>
      </c>
      <c r="K9" s="106" t="s">
        <v>428</v>
      </c>
      <c r="L9" s="116"/>
      <c r="M9" s="117">
        <f>'Cash Flow Statement'!M17</f>
        <v>1432.5935442949533</v>
      </c>
      <c r="N9" s="117">
        <f>'Cash Flow Statement'!N17</f>
        <v>273.18596155023209</v>
      </c>
      <c r="O9" s="117">
        <f>'Cash Flow Statement'!O17</f>
        <v>2.7183905084223738</v>
      </c>
      <c r="P9" s="117">
        <f>'Cash Flow Statement'!P17</f>
        <v>-374.77593288061473</v>
      </c>
      <c r="Q9" s="117">
        <f>'Cash Flow Statement'!Q17</f>
        <v>-468.32741453753727</v>
      </c>
      <c r="R9" s="117">
        <f>'Cash Flow Statement'!R17</f>
        <v>10.206698251912186</v>
      </c>
      <c r="S9" s="72">
        <f>'Cash Flow Statement'!S17</f>
        <v>-7.2906192189620356</v>
      </c>
    </row>
    <row r="10" spans="2:19" x14ac:dyDescent="0.3">
      <c r="B10" s="55"/>
      <c r="C10" s="56"/>
      <c r="D10" s="56"/>
      <c r="E10" s="62"/>
      <c r="K10" s="106" t="s">
        <v>429</v>
      </c>
      <c r="L10" s="116"/>
      <c r="M10" s="117">
        <f>'Cash Flow Statement'!M24</f>
        <v>-1120.3086065338407</v>
      </c>
      <c r="N10" s="117">
        <f>'Cash Flow Statement'!N24</f>
        <v>-1258.4534203041703</v>
      </c>
      <c r="O10" s="117">
        <f>'Cash Flow Statement'!O24</f>
        <v>-1406.0555196070957</v>
      </c>
      <c r="P10" s="117">
        <f>'Cash Flow Statement'!P24</f>
        <v>-1550.3756747296452</v>
      </c>
      <c r="Q10" s="117">
        <f>'Cash Flow Statement'!Q24</f>
        <v>-1662.0779487026527</v>
      </c>
      <c r="R10" s="117">
        <f>'Cash Flow Statement'!R24</f>
        <v>-1758.2105992273555</v>
      </c>
      <c r="S10" s="72">
        <f>'Cash Flow Statement'!S24</f>
        <v>-1898.5492006557934</v>
      </c>
    </row>
    <row r="11" spans="2:19" x14ac:dyDescent="0.3">
      <c r="B11" s="55" t="s">
        <v>418</v>
      </c>
      <c r="C11" s="56"/>
      <c r="D11" s="56"/>
      <c r="E11" s="154">
        <v>0.1</v>
      </c>
      <c r="K11" s="95"/>
      <c r="L11" s="53"/>
      <c r="M11" s="53"/>
      <c r="N11" s="53"/>
      <c r="O11" s="53"/>
      <c r="P11" s="53"/>
      <c r="Q11" s="53"/>
      <c r="R11" s="53"/>
      <c r="S11" s="98"/>
    </row>
    <row r="12" spans="2:19" x14ac:dyDescent="0.3">
      <c r="B12" s="55" t="s">
        <v>419</v>
      </c>
      <c r="C12" s="56"/>
      <c r="D12" s="56"/>
      <c r="E12" s="121">
        <v>0.25169999999999998</v>
      </c>
      <c r="K12" s="106" t="s">
        <v>431</v>
      </c>
      <c r="L12" s="116"/>
      <c r="M12" s="117">
        <f>M7+M8-M9-M10</f>
        <v>1488.8649187331901</v>
      </c>
      <c r="N12" s="117">
        <f t="shared" ref="N12:S12" si="1">N7+N8-N9-N10</f>
        <v>3039.6389107866557</v>
      </c>
      <c r="O12" s="117">
        <f t="shared" si="1"/>
        <v>3710.8964898454087</v>
      </c>
      <c r="P12" s="117">
        <f t="shared" si="1"/>
        <v>4449.4460058458644</v>
      </c>
      <c r="Q12" s="117">
        <f t="shared" si="1"/>
        <v>4764.7096409888491</v>
      </c>
      <c r="R12" s="117">
        <f t="shared" si="1"/>
        <v>4538.234010612292</v>
      </c>
      <c r="S12" s="72">
        <f t="shared" si="1"/>
        <v>4940.6222047026858</v>
      </c>
    </row>
    <row r="13" spans="2:19" x14ac:dyDescent="0.3">
      <c r="B13" s="108" t="s">
        <v>420</v>
      </c>
      <c r="C13" s="51"/>
      <c r="D13" s="51"/>
      <c r="E13" s="155">
        <f>E11*(1-E12)</f>
        <v>7.4829999999999994E-2</v>
      </c>
      <c r="K13" s="73" t="s">
        <v>432</v>
      </c>
      <c r="L13" s="74"/>
      <c r="M13" s="77"/>
      <c r="N13" s="77"/>
      <c r="O13" s="77"/>
      <c r="P13" s="77"/>
      <c r="Q13" s="77"/>
      <c r="R13" s="77"/>
      <c r="S13" s="78">
        <f>S12*(1+$E$19)/(E17-E19)</f>
        <v>49609.60076519967</v>
      </c>
    </row>
    <row r="14" spans="2:19" x14ac:dyDescent="0.3">
      <c r="B14" s="55"/>
      <c r="C14" s="56"/>
      <c r="D14" s="56"/>
      <c r="E14" s="62"/>
      <c r="K14" s="16" t="s">
        <v>447</v>
      </c>
      <c r="L14" s="16"/>
      <c r="M14" s="16"/>
      <c r="N14" s="16"/>
      <c r="O14" s="16"/>
      <c r="P14" s="16"/>
      <c r="Q14" s="16"/>
      <c r="R14" s="16"/>
      <c r="S14" s="16"/>
    </row>
    <row r="15" spans="2:19" x14ac:dyDescent="0.3">
      <c r="B15" s="55" t="s">
        <v>421</v>
      </c>
      <c r="C15" s="56"/>
      <c r="D15" s="56"/>
      <c r="E15" s="25">
        <f>'Supporting Schedules'!L22</f>
        <v>0.28279919879819732</v>
      </c>
      <c r="K15" s="161" t="s">
        <v>434</v>
      </c>
      <c r="L15" s="162"/>
      <c r="M15" s="162">
        <v>1</v>
      </c>
      <c r="N15" s="162">
        <f>M15+1</f>
        <v>2</v>
      </c>
      <c r="O15" s="162">
        <f t="shared" ref="O15:S15" si="2">N15+1</f>
        <v>3</v>
      </c>
      <c r="P15" s="162">
        <f t="shared" si="2"/>
        <v>4</v>
      </c>
      <c r="Q15" s="162">
        <f t="shared" si="2"/>
        <v>5</v>
      </c>
      <c r="R15" s="162">
        <f t="shared" si="2"/>
        <v>6</v>
      </c>
      <c r="S15" s="163">
        <f t="shared" si="2"/>
        <v>7</v>
      </c>
    </row>
    <row r="16" spans="2:19" x14ac:dyDescent="0.3">
      <c r="B16" s="106" t="s">
        <v>449</v>
      </c>
      <c r="C16" s="56"/>
      <c r="D16" s="56"/>
      <c r="E16" s="25">
        <f>E15/(1+E15)</f>
        <v>0.22045476724895094</v>
      </c>
      <c r="K16" s="55"/>
      <c r="L16" s="56"/>
      <c r="M16" s="56"/>
      <c r="N16" s="56"/>
      <c r="O16" s="56"/>
      <c r="P16" s="56"/>
      <c r="Q16" s="56"/>
      <c r="R16" s="56"/>
      <c r="S16" s="20"/>
    </row>
    <row r="17" spans="2:19" x14ac:dyDescent="0.3">
      <c r="B17" s="108" t="s">
        <v>422</v>
      </c>
      <c r="C17" s="52"/>
      <c r="D17" s="52"/>
      <c r="E17" s="156">
        <f>E9*(1-E16)+E13*E16</f>
        <v>0.13807569307137718</v>
      </c>
      <c r="K17" s="55" t="s">
        <v>435</v>
      </c>
      <c r="L17" s="56"/>
      <c r="M17" s="57">
        <f>1/(1+$E$17)^M15</f>
        <v>0.87867617776920803</v>
      </c>
      <c r="N17" s="57">
        <f t="shared" ref="N17:S17" si="3">1/(1+$E$17)^N15</f>
        <v>0.77207182537910479</v>
      </c>
      <c r="O17" s="57">
        <f t="shared" si="3"/>
        <v>0.67840112048740731</v>
      </c>
      <c r="P17" s="57">
        <f t="shared" si="3"/>
        <v>0.5960949035442229</v>
      </c>
      <c r="Q17" s="57">
        <f t="shared" si="3"/>
        <v>0.52377439143394255</v>
      </c>
      <c r="R17" s="57">
        <f t="shared" si="3"/>
        <v>0.4602280802785696</v>
      </c>
      <c r="S17" s="58">
        <f t="shared" si="3"/>
        <v>0.40439145048123382</v>
      </c>
    </row>
    <row r="18" spans="2:19" x14ac:dyDescent="0.3">
      <c r="B18" s="55"/>
      <c r="C18" s="56"/>
      <c r="D18" s="56"/>
      <c r="E18" s="62"/>
      <c r="K18" s="55" t="s">
        <v>436</v>
      </c>
      <c r="L18" s="56"/>
      <c r="M18" s="71">
        <f>M12*M17</f>
        <v>1308.2301360071419</v>
      </c>
      <c r="N18" s="71">
        <f t="shared" ref="N18:S18" si="4">N12*N17</f>
        <v>2346.8195623444071</v>
      </c>
      <c r="O18" s="71">
        <f t="shared" si="4"/>
        <v>2517.476336723912</v>
      </c>
      <c r="P18" s="71">
        <f t="shared" si="4"/>
        <v>2652.2920876799185</v>
      </c>
      <c r="Q18" s="71">
        <f t="shared" si="4"/>
        <v>2495.6328925683733</v>
      </c>
      <c r="R18" s="71">
        <f t="shared" si="4"/>
        <v>2088.6227265590087</v>
      </c>
      <c r="S18" s="64">
        <f t="shared" si="4"/>
        <v>1997.9453796395105</v>
      </c>
    </row>
    <row r="19" spans="2:19" x14ac:dyDescent="0.3">
      <c r="B19" s="146" t="s">
        <v>433</v>
      </c>
      <c r="C19" s="53"/>
      <c r="D19" s="53"/>
      <c r="E19" s="157">
        <v>3.5000000000000003E-2</v>
      </c>
      <c r="K19" s="55" t="s">
        <v>437</v>
      </c>
      <c r="L19" s="56"/>
      <c r="M19" s="71"/>
      <c r="N19" s="71"/>
      <c r="O19" s="71"/>
      <c r="P19" s="71"/>
      <c r="Q19" s="71"/>
      <c r="R19" s="71"/>
      <c r="S19" s="64">
        <f>S13*S17</f>
        <v>20061.698411234021</v>
      </c>
    </row>
    <row r="20" spans="2:19" x14ac:dyDescent="0.3">
      <c r="K20" s="73" t="s">
        <v>438</v>
      </c>
      <c r="L20" s="74"/>
      <c r="M20" s="77">
        <f>M18</f>
        <v>1308.2301360071419</v>
      </c>
      <c r="N20" s="77">
        <f t="shared" ref="N20:R20" si="5">N18</f>
        <v>2346.8195623444071</v>
      </c>
      <c r="O20" s="77">
        <f t="shared" si="5"/>
        <v>2517.476336723912</v>
      </c>
      <c r="P20" s="77">
        <f t="shared" si="5"/>
        <v>2652.2920876799185</v>
      </c>
      <c r="Q20" s="77">
        <f t="shared" si="5"/>
        <v>2495.6328925683733</v>
      </c>
      <c r="R20" s="77">
        <f t="shared" si="5"/>
        <v>2088.6227265590087</v>
      </c>
      <c r="S20" s="78">
        <f>S18+S19</f>
        <v>22059.643790873532</v>
      </c>
    </row>
    <row r="22" spans="2:19" x14ac:dyDescent="0.3">
      <c r="K22" s="108" t="s">
        <v>439</v>
      </c>
      <c r="L22" s="52"/>
      <c r="M22" s="69">
        <f>SUM(M20:S20)</f>
        <v>35468.717532756295</v>
      </c>
    </row>
    <row r="23" spans="2:19" x14ac:dyDescent="0.3">
      <c r="K23" s="55" t="s">
        <v>440</v>
      </c>
      <c r="L23" s="56"/>
      <c r="M23" s="64">
        <f>BS!L34</f>
        <v>3534</v>
      </c>
    </row>
    <row r="24" spans="2:19" x14ac:dyDescent="0.3">
      <c r="K24" s="55" t="s">
        <v>441</v>
      </c>
      <c r="L24" s="56"/>
      <c r="M24" s="64">
        <f>BS!L15</f>
        <v>2259</v>
      </c>
    </row>
    <row r="25" spans="2:19" x14ac:dyDescent="0.3">
      <c r="K25" s="108" t="s">
        <v>442</v>
      </c>
      <c r="L25" s="52"/>
      <c r="M25" s="69">
        <f>M22+M23-M24</f>
        <v>36743.717532756295</v>
      </c>
    </row>
    <row r="26" spans="2:19" x14ac:dyDescent="0.3">
      <c r="K26" s="55" t="s">
        <v>445</v>
      </c>
      <c r="L26" s="56"/>
      <c r="M26" s="158">
        <f>1302433862/10^7</f>
        <v>130.2433862</v>
      </c>
    </row>
    <row r="27" spans="2:19" x14ac:dyDescent="0.3">
      <c r="K27" s="91" t="s">
        <v>444</v>
      </c>
      <c r="L27" s="130"/>
      <c r="M27" s="159">
        <f>M25/M26</f>
        <v>282.11580338008974</v>
      </c>
    </row>
    <row r="28" spans="2:19" x14ac:dyDescent="0.3">
      <c r="K28" s="55" t="s">
        <v>446</v>
      </c>
      <c r="L28" s="56"/>
      <c r="M28" s="160">
        <v>412.15</v>
      </c>
    </row>
    <row r="29" spans="2:19" x14ac:dyDescent="0.3">
      <c r="K29" s="146" t="s">
        <v>443</v>
      </c>
      <c r="L29" s="53"/>
      <c r="M29" s="132">
        <f>M27/M28-1</f>
        <v>-0.31550211481235046</v>
      </c>
    </row>
  </sheetData>
  <sheetProtection password="C58F" sheet="1" objects="1" scenarios="1"/>
  <customSheetViews>
    <customSheetView guid="{0D1F9D0C-3063-4A9B-A68D-79FADEF997F9}" showGridLines="0" topLeftCell="A2">
      <pane ySplit="1" topLeftCell="A3" activePane="bottomLeft" state="frozen"/>
      <selection pane="bottomLeft" activeCell="E9" sqref="E9"/>
      <pageMargins left="0.7" right="0.7" top="0.75" bottom="0.75" header="0.3" footer="0.3"/>
      <pageSetup paperSize="9" orientation="portrait" r:id="rId1"/>
    </customSheetView>
  </customSheetViews>
  <conditionalFormatting sqref="M29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Historical FS</vt:lpstr>
      <vt:lpstr>Assumptions</vt:lpstr>
      <vt:lpstr>Supporting Schedules</vt:lpstr>
      <vt:lpstr>P&amp;L</vt:lpstr>
      <vt:lpstr>BS</vt:lpstr>
      <vt:lpstr>Cash Flow Statement</vt:lpstr>
      <vt:lpstr>BETA  Calculation</vt:lpstr>
      <vt:lpstr>Valuation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SHOUHAM. B.BANERJEE</dc:creator>
  <cp:lastModifiedBy>SHOUHAM. B.BANERJEE</cp:lastModifiedBy>
  <dcterms:created xsi:type="dcterms:W3CDTF">2023-06-27T07:26:28Z</dcterms:created>
  <dcterms:modified xsi:type="dcterms:W3CDTF">2023-07-12T04:27:07Z</dcterms:modified>
  <cp:contentStatus/>
</cp:coreProperties>
</file>